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0" yWindow="-15" windowWidth="12435" windowHeight="12870"/>
  </bookViews>
  <sheets>
    <sheet name="Léky_SZM" sheetId="3" r:id="rId1"/>
    <sheet name="Berger" sheetId="2" r:id="rId2"/>
  </sheets>
  <externalReferences>
    <externalReference r:id="rId3"/>
    <externalReference r:id="rId4"/>
  </externalReferences>
  <definedNames>
    <definedName name="měsíc">#REF!</definedName>
    <definedName name="Rozpis">'[1]V počítači'!$B$55:$B$70</definedName>
    <definedName name="SVÁTKY">'[1]V počítači'!$Z$8:$Z$67</definedName>
    <definedName name="test">INDIRECT('[2]ZV Vyžád. Detail FN'!A1048576)</definedName>
  </definedNames>
  <calcPr calcId="125725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K42" i="3"/>
  <c r="HQ40"/>
  <c r="HQ32"/>
  <c r="GK42"/>
  <c r="GK31"/>
  <c r="I42"/>
  <c r="I53"/>
  <c r="FU42"/>
  <c r="FS76"/>
  <c r="FT76"/>
  <c r="FR76"/>
  <c r="NA42"/>
  <c r="RD23"/>
  <c r="QV23"/>
  <c r="QP23"/>
  <c r="QJ23"/>
  <c r="QB23"/>
  <c r="PT23"/>
  <c r="PL23"/>
  <c r="PD23"/>
  <c r="OZ23"/>
  <c r="OS23"/>
  <c r="OR23"/>
  <c r="OK23"/>
  <c r="OJ23"/>
  <c r="OC23"/>
  <c r="OB23"/>
  <c r="NU23"/>
  <c r="NT23"/>
  <c r="NM23"/>
  <c r="NL23"/>
  <c r="ND23"/>
  <c r="NA23"/>
  <c r="MZ23"/>
  <c r="MR23"/>
  <c r="MK23"/>
  <c r="MJ23"/>
  <c r="MC23"/>
  <c r="MB23"/>
  <c r="LT23"/>
  <c r="LQ23"/>
  <c r="LP23"/>
  <c r="LI23"/>
  <c r="LH23"/>
  <c r="LA23"/>
  <c r="KZ23"/>
  <c r="KS23"/>
  <c r="KR23"/>
  <c r="KK23"/>
  <c r="KJ23"/>
  <c r="KC23"/>
  <c r="KB23"/>
  <c r="JU23"/>
  <c r="JT23"/>
  <c r="JM23"/>
  <c r="JL23"/>
  <c r="JE23"/>
  <c r="JD23"/>
  <c r="IW23"/>
  <c r="IV23"/>
  <c r="IO23"/>
  <c r="IN23"/>
  <c r="IG23"/>
  <c r="IF23"/>
  <c r="HY23"/>
  <c r="HX23"/>
  <c r="HQ23"/>
  <c r="HP23"/>
  <c r="HI23"/>
  <c r="HH23"/>
  <c r="HA23"/>
  <c r="GZ23"/>
  <c r="GS23"/>
  <c r="GR23"/>
  <c r="GK23"/>
  <c r="GJ23"/>
  <c r="GC23"/>
  <c r="GB23"/>
  <c r="FU23"/>
  <c r="FT23"/>
  <c r="FM23"/>
  <c r="FL23"/>
  <c r="FE23"/>
  <c r="FD23"/>
  <c r="EW23"/>
  <c r="EV23"/>
  <c r="EO23"/>
  <c r="EN23"/>
  <c r="EG23"/>
  <c r="EF23"/>
  <c r="DY23"/>
  <c r="DX23"/>
  <c r="DQ23"/>
  <c r="DP23"/>
  <c r="DI23"/>
  <c r="DH23"/>
  <c r="DA23"/>
  <c r="CZ23"/>
  <c r="CS23"/>
  <c r="CR23"/>
  <c r="CK23"/>
  <c r="CJ23"/>
  <c r="CC23"/>
  <c r="CB23"/>
  <c r="BT23"/>
  <c r="BL23"/>
  <c r="BD23"/>
  <c r="AV23"/>
  <c r="AN23"/>
  <c r="AF23"/>
  <c r="X23"/>
  <c r="P23"/>
  <c r="I23"/>
  <c r="H23"/>
  <c r="RD22"/>
  <c r="QV22"/>
  <c r="QP22"/>
  <c r="QJ22"/>
  <c r="QB22"/>
  <c r="PT22"/>
  <c r="PL22"/>
  <c r="PD22"/>
  <c r="OZ22"/>
  <c r="OS22"/>
  <c r="OR22"/>
  <c r="OK22"/>
  <c r="OJ22"/>
  <c r="OC22"/>
  <c r="OB22"/>
  <c r="NU22"/>
  <c r="NT22"/>
  <c r="NM22"/>
  <c r="NL22"/>
  <c r="ND22"/>
  <c r="NA22"/>
  <c r="MZ22"/>
  <c r="MS22"/>
  <c r="MR22"/>
  <c r="MK22"/>
  <c r="MJ22"/>
  <c r="MC22"/>
  <c r="MB22"/>
  <c r="LT22"/>
  <c r="LQ22"/>
  <c r="LP22"/>
  <c r="LH22"/>
  <c r="LA22"/>
  <c r="KZ22"/>
  <c r="KS22"/>
  <c r="KR22"/>
  <c r="KK22"/>
  <c r="KJ22"/>
  <c r="KC22"/>
  <c r="KB22"/>
  <c r="JU22"/>
  <c r="JT22"/>
  <c r="JM22"/>
  <c r="JL22"/>
  <c r="JE22"/>
  <c r="JD22"/>
  <c r="IW22"/>
  <c r="IV22"/>
  <c r="IO22"/>
  <c r="IN22"/>
  <c r="IG22"/>
  <c r="IF22"/>
  <c r="HY22"/>
  <c r="HX22"/>
  <c r="HQ22"/>
  <c r="HP22"/>
  <c r="HI22"/>
  <c r="HH22"/>
  <c r="HA22"/>
  <c r="GZ22"/>
  <c r="GS22"/>
  <c r="GR22"/>
  <c r="GK22"/>
  <c r="GJ22"/>
  <c r="GC22"/>
  <c r="GB22"/>
  <c r="FT22"/>
  <c r="FM22"/>
  <c r="FL22"/>
  <c r="FE22"/>
  <c r="FD22"/>
  <c r="EW22"/>
  <c r="EV22"/>
  <c r="EO22"/>
  <c r="EN22"/>
  <c r="EG22"/>
  <c r="EF22"/>
  <c r="DY22"/>
  <c r="DX22"/>
  <c r="DQ22"/>
  <c r="DP22"/>
  <c r="DI22"/>
  <c r="DH22"/>
  <c r="DA22"/>
  <c r="CZ22"/>
  <c r="CS22"/>
  <c r="CR22"/>
  <c r="CK22"/>
  <c r="CJ22"/>
  <c r="CC22"/>
  <c r="CB22"/>
  <c r="BU22"/>
  <c r="BT22"/>
  <c r="BM22"/>
  <c r="BL22"/>
  <c r="BE22"/>
  <c r="BD22"/>
  <c r="AW22"/>
  <c r="AV22"/>
  <c r="AO22"/>
  <c r="AN22"/>
  <c r="AF22"/>
  <c r="Y22"/>
  <c r="X22"/>
  <c r="Q22"/>
  <c r="P22"/>
  <c r="I22"/>
  <c r="H22"/>
  <c r="RD21"/>
  <c r="QV21"/>
  <c r="QP21"/>
  <c r="QJ21"/>
  <c r="QB21"/>
  <c r="PT21"/>
  <c r="PL21"/>
  <c r="PD21"/>
  <c r="OZ21"/>
  <c r="OS21"/>
  <c r="OR21"/>
  <c r="OK21"/>
  <c r="OJ21"/>
  <c r="OC21"/>
  <c r="OB21"/>
  <c r="NU21"/>
  <c r="NT21"/>
  <c r="NM21"/>
  <c r="NL21"/>
  <c r="ND21"/>
  <c r="NA21"/>
  <c r="MZ21"/>
  <c r="MS21"/>
  <c r="MR21"/>
  <c r="MK21"/>
  <c r="MJ21"/>
  <c r="MC21"/>
  <c r="MB21"/>
  <c r="LT21"/>
  <c r="LQ21"/>
  <c r="LP21"/>
  <c r="LI21"/>
  <c r="LH21"/>
  <c r="LA21"/>
  <c r="KZ21"/>
  <c r="KS21"/>
  <c r="KR21"/>
  <c r="KK21"/>
  <c r="KJ21"/>
  <c r="KC21"/>
  <c r="KB21"/>
  <c r="JU21"/>
  <c r="JT21"/>
  <c r="JM21"/>
  <c r="JL21"/>
  <c r="JE21"/>
  <c r="JD21"/>
  <c r="IW21"/>
  <c r="IV21"/>
  <c r="IN21"/>
  <c r="IG21"/>
  <c r="IF21"/>
  <c r="HY21"/>
  <c r="HX21"/>
  <c r="HQ21"/>
  <c r="HP21"/>
  <c r="HI21"/>
  <c r="HH21"/>
  <c r="HA21"/>
  <c r="GZ21"/>
  <c r="GS21"/>
  <c r="GR21"/>
  <c r="GK21"/>
  <c r="GJ21"/>
  <c r="GC21"/>
  <c r="GB21"/>
  <c r="FU21"/>
  <c r="FT21"/>
  <c r="FL21"/>
  <c r="FD21"/>
  <c r="EW21"/>
  <c r="EV21"/>
  <c r="EO21"/>
  <c r="EN21"/>
  <c r="EG21"/>
  <c r="EF21"/>
  <c r="DX21"/>
  <c r="DQ21"/>
  <c r="DP21"/>
  <c r="DI21"/>
  <c r="DH21"/>
  <c r="DA21"/>
  <c r="CZ21"/>
  <c r="CS21"/>
  <c r="CR21"/>
  <c r="CK21"/>
  <c r="CJ21"/>
  <c r="CB21"/>
  <c r="BU21"/>
  <c r="BT21"/>
  <c r="BM21"/>
  <c r="BL21"/>
  <c r="BE21"/>
  <c r="BD21"/>
  <c r="AV21"/>
  <c r="AO21"/>
  <c r="AN21"/>
  <c r="AG21"/>
  <c r="AF21"/>
  <c r="X21"/>
  <c r="P21"/>
  <c r="I21"/>
  <c r="H21"/>
  <c r="RD20"/>
  <c r="QV20"/>
  <c r="QP20"/>
  <c r="QJ20"/>
  <c r="QB20"/>
  <c r="PT20"/>
  <c r="PL20"/>
  <c r="PD20"/>
  <c r="OZ20"/>
  <c r="OS20"/>
  <c r="OR20"/>
  <c r="OK20"/>
  <c r="OJ20"/>
  <c r="OC20"/>
  <c r="OB20"/>
  <c r="NU20"/>
  <c r="NT20"/>
  <c r="NM20"/>
  <c r="NL20"/>
  <c r="ND20"/>
  <c r="NA20"/>
  <c r="MZ20"/>
  <c r="MS20"/>
  <c r="MR20"/>
  <c r="MK20"/>
  <c r="MJ20"/>
  <c r="MC20"/>
  <c r="MB20"/>
  <c r="LT20"/>
  <c r="LQ20"/>
  <c r="LP20"/>
  <c r="LI20"/>
  <c r="LH20"/>
  <c r="LA20"/>
  <c r="KZ20"/>
  <c r="KS20"/>
  <c r="KR20"/>
  <c r="KK20"/>
  <c r="KJ20"/>
  <c r="KC20"/>
  <c r="KB20"/>
  <c r="JU20"/>
  <c r="JT20"/>
  <c r="JM20"/>
  <c r="JL20"/>
  <c r="JE20"/>
  <c r="JD20"/>
  <c r="IW20"/>
  <c r="IV20"/>
  <c r="IN20"/>
  <c r="IG20"/>
  <c r="IF20"/>
  <c r="HY20"/>
  <c r="HX20"/>
  <c r="HQ20"/>
  <c r="HP20"/>
  <c r="HI20"/>
  <c r="HH20"/>
  <c r="HA20"/>
  <c r="GZ20"/>
  <c r="GS20"/>
  <c r="GR20"/>
  <c r="GK20"/>
  <c r="GJ20"/>
  <c r="GC20"/>
  <c r="GB20"/>
  <c r="FT20"/>
  <c r="FL20"/>
  <c r="FD20"/>
  <c r="EW20"/>
  <c r="EV20"/>
  <c r="EO20"/>
  <c r="EN20"/>
  <c r="EF20"/>
  <c r="DX20"/>
  <c r="DP20"/>
  <c r="DH20"/>
  <c r="DA20"/>
  <c r="CZ20"/>
  <c r="CS20"/>
  <c r="CR20"/>
  <c r="CK20"/>
  <c r="CJ20"/>
  <c r="CB20"/>
  <c r="BU20"/>
  <c r="BT20"/>
  <c r="BM20"/>
  <c r="BL20"/>
  <c r="BE20"/>
  <c r="BD20"/>
  <c r="AW20"/>
  <c r="AV20"/>
  <c r="AO20"/>
  <c r="AN20"/>
  <c r="AG20"/>
  <c r="AF20"/>
  <c r="X20"/>
  <c r="P20"/>
  <c r="H20"/>
  <c r="RD19"/>
  <c r="QV19"/>
  <c r="QP19"/>
  <c r="QJ19"/>
  <c r="QB19"/>
  <c r="PT19"/>
  <c r="PL19"/>
  <c r="PD19"/>
  <c r="OZ19"/>
  <c r="OS19"/>
  <c r="OR19"/>
  <c r="OK19"/>
  <c r="OJ19"/>
  <c r="OC19"/>
  <c r="OB19"/>
  <c r="NU19"/>
  <c r="NT19"/>
  <c r="NM19"/>
  <c r="NL19"/>
  <c r="ND19"/>
  <c r="NA19"/>
  <c r="MZ19"/>
  <c r="MS19"/>
  <c r="MR19"/>
  <c r="MK19"/>
  <c r="MJ19"/>
  <c r="MC19"/>
  <c r="MB19"/>
  <c r="LT19"/>
  <c r="LQ19"/>
  <c r="LP19"/>
  <c r="LI19"/>
  <c r="LH19"/>
  <c r="LA19"/>
  <c r="KZ19"/>
  <c r="KS19"/>
  <c r="KR19"/>
  <c r="KK19"/>
  <c r="KJ19"/>
  <c r="KC19"/>
  <c r="KB19"/>
  <c r="JU19"/>
  <c r="JT19"/>
  <c r="JM19"/>
  <c r="JL19"/>
  <c r="JE19"/>
  <c r="JD19"/>
  <c r="IW19"/>
  <c r="IV19"/>
  <c r="IO19"/>
  <c r="IN19"/>
  <c r="IG19"/>
  <c r="IF19"/>
  <c r="HY19"/>
  <c r="HX19"/>
  <c r="HQ19"/>
  <c r="HP19"/>
  <c r="HI19"/>
  <c r="HH19"/>
  <c r="HA19"/>
  <c r="GZ19"/>
  <c r="GS19"/>
  <c r="GR19"/>
  <c r="GK19"/>
  <c r="GJ19"/>
  <c r="GC19"/>
  <c r="GB19"/>
  <c r="FU19"/>
  <c r="FT19"/>
  <c r="FM19"/>
  <c r="FL19"/>
  <c r="FE19"/>
  <c r="FD19"/>
  <c r="EW19"/>
  <c r="EV19"/>
  <c r="EO19"/>
  <c r="EN19"/>
  <c r="EG19"/>
  <c r="EF19"/>
  <c r="DY19"/>
  <c r="DX19"/>
  <c r="DQ19"/>
  <c r="DP19"/>
  <c r="DI19"/>
  <c r="DH19"/>
  <c r="DA19"/>
  <c r="CZ19"/>
  <c r="CS19"/>
  <c r="CR19"/>
  <c r="CK19"/>
  <c r="CJ19"/>
  <c r="CC19"/>
  <c r="CB19"/>
  <c r="BU19"/>
  <c r="BT19"/>
  <c r="BM19"/>
  <c r="BL19"/>
  <c r="BE19"/>
  <c r="BD19"/>
  <c r="AW19"/>
  <c r="AV19"/>
  <c r="AO19"/>
  <c r="AN19"/>
  <c r="AG19"/>
  <c r="AF19"/>
  <c r="Y19"/>
  <c r="X19"/>
  <c r="Q19"/>
  <c r="P19"/>
  <c r="I19"/>
  <c r="H19"/>
  <c r="RD18"/>
  <c r="QV18"/>
  <c r="QP18"/>
  <c r="QJ18"/>
  <c r="QB18"/>
  <c r="PT18"/>
  <c r="PL18"/>
  <c r="PD18"/>
  <c r="OZ18"/>
  <c r="OS18"/>
  <c r="OR18"/>
  <c r="OK18"/>
  <c r="OJ18"/>
  <c r="OC18"/>
  <c r="OB18"/>
  <c r="NU18"/>
  <c r="NT18"/>
  <c r="NM18"/>
  <c r="NL18"/>
  <c r="ND18"/>
  <c r="NA18"/>
  <c r="MZ18"/>
  <c r="MS18"/>
  <c r="MR18"/>
  <c r="MK18"/>
  <c r="MJ18"/>
  <c r="MC18"/>
  <c r="MB18"/>
  <c r="LT18"/>
  <c r="LQ18"/>
  <c r="LP18"/>
  <c r="LI18"/>
  <c r="LH18"/>
  <c r="LA18"/>
  <c r="KZ18"/>
  <c r="KS18"/>
  <c r="KR18"/>
  <c r="KK18"/>
  <c r="KJ18"/>
  <c r="KC18"/>
  <c r="KB18"/>
  <c r="JU18"/>
  <c r="JT18"/>
  <c r="JM18"/>
  <c r="JL18"/>
  <c r="JE18"/>
  <c r="JD18"/>
  <c r="IW18"/>
  <c r="IV18"/>
  <c r="IO18"/>
  <c r="IN18"/>
  <c r="IG18"/>
  <c r="IF18"/>
  <c r="HY18"/>
  <c r="HX18"/>
  <c r="HQ18"/>
  <c r="HP18"/>
  <c r="HI18"/>
  <c r="HH18"/>
  <c r="HA18"/>
  <c r="GZ18"/>
  <c r="GS18"/>
  <c r="GR18"/>
  <c r="GK18"/>
  <c r="GJ18"/>
  <c r="GC18"/>
  <c r="GB18"/>
  <c r="FU18"/>
  <c r="FT18"/>
  <c r="FM18"/>
  <c r="FL18"/>
  <c r="FE18"/>
  <c r="FD18"/>
  <c r="EW18"/>
  <c r="EV18"/>
  <c r="EO18"/>
  <c r="EN18"/>
  <c r="EG18"/>
  <c r="EF18"/>
  <c r="DY18"/>
  <c r="DX18"/>
  <c r="DQ18"/>
  <c r="DP18"/>
  <c r="DI18"/>
  <c r="DH18"/>
  <c r="DA18"/>
  <c r="CZ18"/>
  <c r="CS18"/>
  <c r="CR18"/>
  <c r="CK18"/>
  <c r="CJ18"/>
  <c r="CC18"/>
  <c r="CB18"/>
  <c r="BU18"/>
  <c r="BT18"/>
  <c r="BM18"/>
  <c r="BL18"/>
  <c r="BE18"/>
  <c r="BD18"/>
  <c r="AW18"/>
  <c r="AV18"/>
  <c r="AO18"/>
  <c r="AN18"/>
  <c r="AG18"/>
  <c r="AF18"/>
  <c r="Y18"/>
  <c r="X18"/>
  <c r="Q18"/>
  <c r="P18"/>
  <c r="I18"/>
  <c r="H18"/>
  <c r="RD17"/>
  <c r="QV17"/>
  <c r="QP17"/>
  <c r="QJ17"/>
  <c r="QB17"/>
  <c r="PT17"/>
  <c r="PL17"/>
  <c r="PD17"/>
  <c r="OZ17"/>
  <c r="OS17"/>
  <c r="OR17"/>
  <c r="OK17"/>
  <c r="OJ17"/>
  <c r="OC17"/>
  <c r="OB17"/>
  <c r="NU17"/>
  <c r="NT17"/>
  <c r="NM17"/>
  <c r="NL17"/>
  <c r="ND17"/>
  <c r="NA17"/>
  <c r="MZ17"/>
  <c r="MS17"/>
  <c r="MR17"/>
  <c r="MK17"/>
  <c r="MJ17"/>
  <c r="MC17"/>
  <c r="MB17"/>
  <c r="LT17"/>
  <c r="LQ17"/>
  <c r="LP17"/>
  <c r="LI17"/>
  <c r="LH17"/>
  <c r="LA17"/>
  <c r="KZ17"/>
  <c r="KS17"/>
  <c r="KR17"/>
  <c r="KK17"/>
  <c r="KJ17"/>
  <c r="KC17"/>
  <c r="KB17"/>
  <c r="JU17"/>
  <c r="JT17"/>
  <c r="JM17"/>
  <c r="JL17"/>
  <c r="JE17"/>
  <c r="JD17"/>
  <c r="IW17"/>
  <c r="IV17"/>
  <c r="IO17"/>
  <c r="IN17"/>
  <c r="IG17"/>
  <c r="IF17"/>
  <c r="HY17"/>
  <c r="HX17"/>
  <c r="HQ17"/>
  <c r="HP17"/>
  <c r="HI17"/>
  <c r="HH17"/>
  <c r="HA17"/>
  <c r="GZ17"/>
  <c r="GS17"/>
  <c r="GR17"/>
  <c r="GK17"/>
  <c r="GJ17"/>
  <c r="GC17"/>
  <c r="GB17"/>
  <c r="FU17"/>
  <c r="FT17"/>
  <c r="FM17"/>
  <c r="FL17"/>
  <c r="FE17"/>
  <c r="FD17"/>
  <c r="EW17"/>
  <c r="EV17"/>
  <c r="EO17"/>
  <c r="EN17"/>
  <c r="EG17"/>
  <c r="EF17"/>
  <c r="DY17"/>
  <c r="DX17"/>
  <c r="DQ17"/>
  <c r="DP17"/>
  <c r="DI17"/>
  <c r="DH17"/>
  <c r="DA17"/>
  <c r="CZ17"/>
  <c r="CS17"/>
  <c r="CR17"/>
  <c r="CK17"/>
  <c r="CJ17"/>
  <c r="CC17"/>
  <c r="CB17"/>
  <c r="BU17"/>
  <c r="BT17"/>
  <c r="BM17"/>
  <c r="BL17"/>
  <c r="BE17"/>
  <c r="BD17"/>
  <c r="AW17"/>
  <c r="AV17"/>
  <c r="AO17"/>
  <c r="AN17"/>
  <c r="AG17"/>
  <c r="AF17"/>
  <c r="Y17"/>
  <c r="X17"/>
  <c r="Q17"/>
  <c r="P17"/>
  <c r="I17"/>
  <c r="H17"/>
  <c r="RD16"/>
  <c r="QV16"/>
  <c r="QP16"/>
  <c r="QJ16"/>
  <c r="QB16"/>
  <c r="PT16"/>
  <c r="PL16"/>
  <c r="PD16"/>
  <c r="OZ16"/>
  <c r="OS16"/>
  <c r="OR16"/>
  <c r="OK16"/>
  <c r="OJ16"/>
  <c r="OC16"/>
  <c r="OB16"/>
  <c r="NU16"/>
  <c r="NT16"/>
  <c r="NM16"/>
  <c r="NL16"/>
  <c r="ND16"/>
  <c r="MZ16"/>
  <c r="MS16"/>
  <c r="MR16"/>
  <c r="MK16"/>
  <c r="MJ16"/>
  <c r="MC16"/>
  <c r="MB16"/>
  <c r="LT16"/>
  <c r="LQ16"/>
  <c r="LP16"/>
  <c r="LI16"/>
  <c r="LH16"/>
  <c r="LA16"/>
  <c r="KZ16"/>
  <c r="KS16"/>
  <c r="KR16"/>
  <c r="KK16"/>
  <c r="KJ16"/>
  <c r="KC16"/>
  <c r="KB16"/>
  <c r="JU16"/>
  <c r="JT16"/>
  <c r="JM16"/>
  <c r="JL16"/>
  <c r="JE16"/>
  <c r="JD16"/>
  <c r="IW16"/>
  <c r="IV16"/>
  <c r="IO16"/>
  <c r="IN16"/>
  <c r="IG16"/>
  <c r="IF16"/>
  <c r="HY16"/>
  <c r="HX16"/>
  <c r="HQ16"/>
  <c r="HP16"/>
  <c r="HI16"/>
  <c r="HH16"/>
  <c r="HA16"/>
  <c r="GZ16"/>
  <c r="GS16"/>
  <c r="GR16"/>
  <c r="GK16"/>
  <c r="GJ16"/>
  <c r="GC16"/>
  <c r="GB16"/>
  <c r="FU16"/>
  <c r="FT16"/>
  <c r="FM16"/>
  <c r="FL16"/>
  <c r="FE16"/>
  <c r="FD16"/>
  <c r="EW16"/>
  <c r="EV16"/>
  <c r="EO16"/>
  <c r="EN16"/>
  <c r="EG16"/>
  <c r="EF16"/>
  <c r="DY16"/>
  <c r="DX16"/>
  <c r="DQ16"/>
  <c r="DP16"/>
  <c r="DI16"/>
  <c r="DH16"/>
  <c r="DA16"/>
  <c r="CZ16"/>
  <c r="CS16"/>
  <c r="CR16"/>
  <c r="CK16"/>
  <c r="CJ16"/>
  <c r="CC16"/>
  <c r="CB16"/>
  <c r="BU16"/>
  <c r="BT16"/>
  <c r="BM16"/>
  <c r="BL16"/>
  <c r="BE16"/>
  <c r="BD16"/>
  <c r="AW16"/>
  <c r="AV16"/>
  <c r="AO16"/>
  <c r="AN16"/>
  <c r="AG16"/>
  <c r="AF16"/>
  <c r="Y16"/>
  <c r="X16"/>
  <c r="Q16"/>
  <c r="P16"/>
  <c r="I16"/>
  <c r="H16"/>
  <c r="RD15"/>
  <c r="QV15"/>
  <c r="QP15"/>
  <c r="QJ15"/>
  <c r="QB15"/>
  <c r="PT15"/>
  <c r="PL15"/>
  <c r="PD15"/>
  <c r="OZ15"/>
  <c r="OS15"/>
  <c r="OR15"/>
  <c r="OK15"/>
  <c r="OJ15"/>
  <c r="OC15"/>
  <c r="OB15"/>
  <c r="NU15"/>
  <c r="NT15"/>
  <c r="NM15"/>
  <c r="NL15"/>
  <c r="ND15"/>
  <c r="NA15"/>
  <c r="MZ15"/>
  <c r="MS15"/>
  <c r="MR15"/>
  <c r="MK15"/>
  <c r="MJ15"/>
  <c r="MC15"/>
  <c r="MB15"/>
  <c r="LT15"/>
  <c r="LQ15"/>
  <c r="LP15"/>
  <c r="LI15"/>
  <c r="LH15"/>
  <c r="LA15"/>
  <c r="KZ15"/>
  <c r="KS15"/>
  <c r="KR15"/>
  <c r="KK15"/>
  <c r="KJ15"/>
  <c r="KC15"/>
  <c r="KB15"/>
  <c r="JU15"/>
  <c r="JT15"/>
  <c r="JM15"/>
  <c r="JL15"/>
  <c r="JE15"/>
  <c r="JD15"/>
  <c r="IW15"/>
  <c r="IV15"/>
  <c r="IO15"/>
  <c r="IN15"/>
  <c r="IG15"/>
  <c r="IF15"/>
  <c r="HY15"/>
  <c r="HX15"/>
  <c r="HQ15"/>
  <c r="HP15"/>
  <c r="HI15"/>
  <c r="HH15"/>
  <c r="HA15"/>
  <c r="GZ15"/>
  <c r="GS15"/>
  <c r="GR15"/>
  <c r="GK15"/>
  <c r="GJ15"/>
  <c r="GC15"/>
  <c r="GB15"/>
  <c r="FU15"/>
  <c r="FT15"/>
  <c r="FM15"/>
  <c r="FL15"/>
  <c r="FE15"/>
  <c r="FD15"/>
  <c r="EW15"/>
  <c r="EV15"/>
  <c r="EO15"/>
  <c r="EN15"/>
  <c r="EG15"/>
  <c r="EF15"/>
  <c r="DY15"/>
  <c r="DX15"/>
  <c r="DQ15"/>
  <c r="DP15"/>
  <c r="DI15"/>
  <c r="DH15"/>
  <c r="DA15"/>
  <c r="CZ15"/>
  <c r="CS15"/>
  <c r="CR15"/>
  <c r="CK15"/>
  <c r="CJ15"/>
  <c r="CC15"/>
  <c r="CB15"/>
  <c r="BU15"/>
  <c r="BT15"/>
  <c r="BM15"/>
  <c r="BL15"/>
  <c r="BE15"/>
  <c r="BD15"/>
  <c r="AW15"/>
  <c r="AV15"/>
  <c r="AO15"/>
  <c r="AN15"/>
  <c r="AG15"/>
  <c r="AF15"/>
  <c r="Y15"/>
  <c r="X15"/>
  <c r="P15"/>
  <c r="I15"/>
  <c r="H15"/>
  <c r="RD14"/>
  <c r="QV14"/>
  <c r="QP14"/>
  <c r="QJ14"/>
  <c r="QB14"/>
  <c r="PT14"/>
  <c r="PL14"/>
  <c r="PD14"/>
  <c r="OZ14"/>
  <c r="OS14"/>
  <c r="OR14"/>
  <c r="OK14"/>
  <c r="OJ14"/>
  <c r="OC14"/>
  <c r="OB14"/>
  <c r="NU14"/>
  <c r="NT14"/>
  <c r="NM14"/>
  <c r="NL14"/>
  <c r="ND14"/>
  <c r="NA14"/>
  <c r="MZ14"/>
  <c r="MS14"/>
  <c r="MR14"/>
  <c r="MK14"/>
  <c r="MJ14"/>
  <c r="MC14"/>
  <c r="MB14"/>
  <c r="LT14"/>
  <c r="LQ14"/>
  <c r="LP14"/>
  <c r="LI14"/>
  <c r="LH14"/>
  <c r="LA14"/>
  <c r="KZ14"/>
  <c r="KS14"/>
  <c r="KR14"/>
  <c r="KK14"/>
  <c r="KJ14"/>
  <c r="KC14"/>
  <c r="KB14"/>
  <c r="JU14"/>
  <c r="JT14"/>
  <c r="JM14"/>
  <c r="JL14"/>
  <c r="JE14"/>
  <c r="JD14"/>
  <c r="IW14"/>
  <c r="IV14"/>
  <c r="IO14"/>
  <c r="IN14"/>
  <c r="IG14"/>
  <c r="IF14"/>
  <c r="HY14"/>
  <c r="HX14"/>
  <c r="HQ14"/>
  <c r="HP14"/>
  <c r="HI14"/>
  <c r="HH14"/>
  <c r="HA14"/>
  <c r="GZ14"/>
  <c r="GS14"/>
  <c r="GR14"/>
  <c r="GK14"/>
  <c r="GJ14"/>
  <c r="GC14"/>
  <c r="GB14"/>
  <c r="FU14"/>
  <c r="FT14"/>
  <c r="FM14"/>
  <c r="FL14"/>
  <c r="FE14"/>
  <c r="FD14"/>
  <c r="EW14"/>
  <c r="EV14"/>
  <c r="EO14"/>
  <c r="EN14"/>
  <c r="EG14"/>
  <c r="EF14"/>
  <c r="DY14"/>
  <c r="DX14"/>
  <c r="DQ14"/>
  <c r="DP14"/>
  <c r="DI14"/>
  <c r="DH14"/>
  <c r="DA14"/>
  <c r="CZ14"/>
  <c r="CS14"/>
  <c r="CR14"/>
  <c r="CK14"/>
  <c r="CJ14"/>
  <c r="CC14"/>
  <c r="CB14"/>
  <c r="BU14"/>
  <c r="BT14"/>
  <c r="BM14"/>
  <c r="BL14"/>
  <c r="BE14"/>
  <c r="BD14"/>
  <c r="AW14"/>
  <c r="AV14"/>
  <c r="AO14"/>
  <c r="AN14"/>
  <c r="AG14"/>
  <c r="AF14"/>
  <c r="Y14"/>
  <c r="X14"/>
  <c r="Q14"/>
  <c r="P14"/>
  <c r="I14"/>
  <c r="H14"/>
  <c r="RD13"/>
  <c r="QV13"/>
  <c r="QP13"/>
  <c r="QJ13"/>
  <c r="QB13"/>
  <c r="PT13"/>
  <c r="PL13"/>
  <c r="PD13"/>
  <c r="OZ13"/>
  <c r="OS13"/>
  <c r="OR13"/>
  <c r="OK13"/>
  <c r="OJ13"/>
  <c r="OC13"/>
  <c r="OB13"/>
  <c r="NU13"/>
  <c r="NT13"/>
  <c r="NM13"/>
  <c r="NL13"/>
  <c r="ND13"/>
  <c r="NA13"/>
  <c r="MZ13"/>
  <c r="MS13"/>
  <c r="MR13"/>
  <c r="MK13"/>
  <c r="MJ13"/>
  <c r="MC13"/>
  <c r="MB13"/>
  <c r="LT13"/>
  <c r="LQ13"/>
  <c r="LP13"/>
  <c r="LI13"/>
  <c r="LH13"/>
  <c r="LA13"/>
  <c r="KZ13"/>
  <c r="KS13"/>
  <c r="KR13"/>
  <c r="KK13"/>
  <c r="KJ13"/>
  <c r="KC13"/>
  <c r="KB13"/>
  <c r="JU13"/>
  <c r="JT13"/>
  <c r="JM13"/>
  <c r="JL13"/>
  <c r="JE13"/>
  <c r="JD13"/>
  <c r="IW13"/>
  <c r="IV13"/>
  <c r="IO13"/>
  <c r="IN13"/>
  <c r="IG13"/>
  <c r="IF13"/>
  <c r="HY13"/>
  <c r="HX13"/>
  <c r="HQ13"/>
  <c r="HP13"/>
  <c r="HI13"/>
  <c r="HH13"/>
  <c r="HA13"/>
  <c r="GZ13"/>
  <c r="GS13"/>
  <c r="GR13"/>
  <c r="GK13"/>
  <c r="GJ13"/>
  <c r="GC13"/>
  <c r="GB13"/>
  <c r="FT13"/>
  <c r="FM13"/>
  <c r="FL13"/>
  <c r="FE13"/>
  <c r="FD13"/>
  <c r="EW13"/>
  <c r="EV13"/>
  <c r="EO13"/>
  <c r="EN13"/>
  <c r="EG13"/>
  <c r="EF13"/>
  <c r="DY13"/>
  <c r="DX13"/>
  <c r="DQ13"/>
  <c r="DP13"/>
  <c r="DI13"/>
  <c r="DH13"/>
  <c r="DA13"/>
  <c r="CZ13"/>
  <c r="CS13"/>
  <c r="CR13"/>
  <c r="CK13"/>
  <c r="CJ13"/>
  <c r="CC13"/>
  <c r="CB13"/>
  <c r="BU13"/>
  <c r="BT13"/>
  <c r="BM13"/>
  <c r="BL13"/>
  <c r="BE13"/>
  <c r="BD13"/>
  <c r="AW13"/>
  <c r="AV13"/>
  <c r="AO13"/>
  <c r="AN13"/>
  <c r="AG13"/>
  <c r="AF13"/>
  <c r="Y13"/>
  <c r="X13"/>
  <c r="Q13"/>
  <c r="P13"/>
  <c r="I13"/>
  <c r="H13"/>
  <c r="RD12"/>
  <c r="QV12"/>
  <c r="QP12"/>
  <c r="QJ12"/>
  <c r="QB12"/>
  <c r="PT12"/>
  <c r="PL12"/>
  <c r="PD12"/>
  <c r="OZ12"/>
  <c r="OS12"/>
  <c r="OR12"/>
  <c r="OK12"/>
  <c r="OJ12"/>
  <c r="OC12"/>
  <c r="OB12"/>
  <c r="NU12"/>
  <c r="NT12"/>
  <c r="NM12"/>
  <c r="NL12"/>
  <c r="ND12"/>
  <c r="NA12"/>
  <c r="MZ12"/>
  <c r="MS12"/>
  <c r="MR12"/>
  <c r="MK12"/>
  <c r="MJ12"/>
  <c r="MC12"/>
  <c r="MB12"/>
  <c r="LT12"/>
  <c r="LQ12"/>
  <c r="LP12"/>
  <c r="LI12"/>
  <c r="LH12"/>
  <c r="LA12"/>
  <c r="KZ12"/>
  <c r="KS12"/>
  <c r="KR12"/>
  <c r="KK12"/>
  <c r="KJ12"/>
  <c r="KC12"/>
  <c r="KB12"/>
  <c r="JU12"/>
  <c r="JT12"/>
  <c r="JM12"/>
  <c r="JL12"/>
  <c r="JE12"/>
  <c r="JD12"/>
  <c r="IW12"/>
  <c r="IV12"/>
  <c r="IO12"/>
  <c r="IN12"/>
  <c r="IG12"/>
  <c r="IF12"/>
  <c r="HY12"/>
  <c r="HX12"/>
  <c r="HQ12"/>
  <c r="HP12"/>
  <c r="HI12"/>
  <c r="HH12"/>
  <c r="HA12"/>
  <c r="GZ12"/>
  <c r="GS12"/>
  <c r="GR12"/>
  <c r="GK12"/>
  <c r="GJ12"/>
  <c r="GC12"/>
  <c r="GB12"/>
  <c r="FU12"/>
  <c r="FT12"/>
  <c r="FM12"/>
  <c r="FL12"/>
  <c r="FD12"/>
  <c r="EW12"/>
  <c r="EV12"/>
  <c r="EO12"/>
  <c r="EN12"/>
  <c r="EG12"/>
  <c r="EF12"/>
  <c r="DY12"/>
  <c r="DX12"/>
  <c r="DQ12"/>
  <c r="DP12"/>
  <c r="DI12"/>
  <c r="DH12"/>
  <c r="DA12"/>
  <c r="CZ12"/>
  <c r="CS12"/>
  <c r="CR12"/>
  <c r="CK12"/>
  <c r="CJ12"/>
  <c r="CC12"/>
  <c r="CB12"/>
  <c r="BU12"/>
  <c r="BT12"/>
  <c r="BM12"/>
  <c r="BL12"/>
  <c r="BE12"/>
  <c r="BD12"/>
  <c r="AW12"/>
  <c r="AV12"/>
  <c r="AO12"/>
  <c r="AN12"/>
  <c r="AG12"/>
  <c r="AF12"/>
  <c r="Y12"/>
  <c r="X12"/>
  <c r="Q12"/>
  <c r="P12"/>
  <c r="I12"/>
  <c r="H12"/>
  <c r="RD11"/>
  <c r="QV11"/>
  <c r="QP11"/>
  <c r="QJ11"/>
  <c r="QB11"/>
  <c r="PT11"/>
  <c r="PL11"/>
  <c r="PD11"/>
  <c r="OZ11"/>
  <c r="OS11"/>
  <c r="OR11"/>
  <c r="OK11"/>
  <c r="OJ11"/>
  <c r="OC11"/>
  <c r="OB11"/>
  <c r="NU11"/>
  <c r="NT11"/>
  <c r="NM11"/>
  <c r="NL11"/>
  <c r="ND11"/>
  <c r="NA11"/>
  <c r="MZ11"/>
  <c r="MS11"/>
  <c r="MR11"/>
  <c r="MK11"/>
  <c r="MJ11"/>
  <c r="MC11"/>
  <c r="MB11"/>
  <c r="LT11"/>
  <c r="LQ11"/>
  <c r="LP11"/>
  <c r="LI11"/>
  <c r="LH11"/>
  <c r="LA11"/>
  <c r="KZ11"/>
  <c r="KS11"/>
  <c r="KR11"/>
  <c r="KK11"/>
  <c r="KJ11"/>
  <c r="KC11"/>
  <c r="KB11"/>
  <c r="JU11"/>
  <c r="JT11"/>
  <c r="JM11"/>
  <c r="JL11"/>
  <c r="JE11"/>
  <c r="JD11"/>
  <c r="IW11"/>
  <c r="IV11"/>
  <c r="IO11"/>
  <c r="IN11"/>
  <c r="IG11"/>
  <c r="IF11"/>
  <c r="HY11"/>
  <c r="HX11"/>
  <c r="HQ11"/>
  <c r="HP11"/>
  <c r="HI11"/>
  <c r="HH11"/>
  <c r="HA11"/>
  <c r="GZ11"/>
  <c r="GS11"/>
  <c r="GR11"/>
  <c r="GK11"/>
  <c r="GJ11"/>
  <c r="GC11"/>
  <c r="GB11"/>
  <c r="FU11"/>
  <c r="FT11"/>
  <c r="FM11"/>
  <c r="FL11"/>
  <c r="FE11"/>
  <c r="FD11"/>
  <c r="EW11"/>
  <c r="EV11"/>
  <c r="EO11"/>
  <c r="EN11"/>
  <c r="EG11"/>
  <c r="EF11"/>
  <c r="DY11"/>
  <c r="DX11"/>
  <c r="DQ11"/>
  <c r="DP11"/>
  <c r="DI11"/>
  <c r="DH11"/>
  <c r="DA11"/>
  <c r="CZ11"/>
  <c r="CS11"/>
  <c r="CR11"/>
  <c r="CK11"/>
  <c r="CJ11"/>
  <c r="CC11"/>
  <c r="CB11"/>
  <c r="BU11"/>
  <c r="BT11"/>
  <c r="BM11"/>
  <c r="BL11"/>
  <c r="BE11"/>
  <c r="BD11"/>
  <c r="AW11"/>
  <c r="AV11"/>
  <c r="AO11"/>
  <c r="AN11"/>
  <c r="AG11"/>
  <c r="AF11"/>
  <c r="Y11"/>
  <c r="X11"/>
  <c r="Q11"/>
  <c r="P11"/>
  <c r="I11"/>
  <c r="H11"/>
  <c r="RD10"/>
  <c r="QV10"/>
  <c r="QP10"/>
  <c r="QJ10"/>
  <c r="QB10"/>
  <c r="PT10"/>
  <c r="PL10"/>
  <c r="PD10"/>
  <c r="OZ10"/>
  <c r="OS10"/>
  <c r="OR10"/>
  <c r="OJ10"/>
  <c r="OC10"/>
  <c r="OB10"/>
  <c r="NU10"/>
  <c r="NT10"/>
  <c r="NM10"/>
  <c r="NL10"/>
  <c r="ND10"/>
  <c r="MZ10"/>
  <c r="MS10"/>
  <c r="MR10"/>
  <c r="MK10"/>
  <c r="MJ10"/>
  <c r="MC10"/>
  <c r="MB10"/>
  <c r="LT10"/>
  <c r="LQ10"/>
  <c r="LP10"/>
  <c r="LI10"/>
  <c r="LH10"/>
  <c r="LA10"/>
  <c r="KZ10"/>
  <c r="KS10"/>
  <c r="KR10"/>
  <c r="KK10"/>
  <c r="KJ10"/>
  <c r="KC10"/>
  <c r="KB10"/>
  <c r="JU10"/>
  <c r="JT10"/>
  <c r="JM10"/>
  <c r="JL10"/>
  <c r="JE10"/>
  <c r="JD10"/>
  <c r="IW10"/>
  <c r="IV10"/>
  <c r="IN10"/>
  <c r="IF10"/>
  <c r="HY10"/>
  <c r="HX10"/>
  <c r="HQ10"/>
  <c r="HP10"/>
  <c r="HI10"/>
  <c r="HH10"/>
  <c r="HA10"/>
  <c r="GZ10"/>
  <c r="GS10"/>
  <c r="GR10"/>
  <c r="GK10"/>
  <c r="GJ10"/>
  <c r="GC10"/>
  <c r="GB10"/>
  <c r="FU10"/>
  <c r="FT10"/>
  <c r="FM10"/>
  <c r="FL10"/>
  <c r="FD10"/>
  <c r="EW10"/>
  <c r="EV10"/>
  <c r="EO10"/>
  <c r="EN10"/>
  <c r="EF10"/>
  <c r="DX10"/>
  <c r="DQ10"/>
  <c r="DP10"/>
  <c r="DI10"/>
  <c r="DH10"/>
  <c r="DA10"/>
  <c r="CZ10"/>
  <c r="CR10"/>
  <c r="CJ10"/>
  <c r="CB10"/>
  <c r="BU10"/>
  <c r="BT10"/>
  <c r="BL10"/>
  <c r="BD10"/>
  <c r="AW10"/>
  <c r="AV10"/>
  <c r="AO10"/>
  <c r="AN10"/>
  <c r="AF10"/>
  <c r="X10"/>
  <c r="P10"/>
  <c r="I10"/>
  <c r="H10"/>
  <c r="RD9"/>
  <c r="QV9"/>
  <c r="QP9"/>
  <c r="QJ9"/>
  <c r="QB9"/>
  <c r="PT9"/>
  <c r="PL9"/>
  <c r="PD9"/>
  <c r="OZ9"/>
  <c r="OS9"/>
  <c r="OR9"/>
  <c r="OK9"/>
  <c r="OJ9"/>
  <c r="OC9"/>
  <c r="OB9"/>
  <c r="NU9"/>
  <c r="NT9"/>
  <c r="NM9"/>
  <c r="NL9"/>
  <c r="ND9"/>
  <c r="NA9"/>
  <c r="MZ9"/>
  <c r="MS9"/>
  <c r="MR9"/>
  <c r="MK9"/>
  <c r="MJ9"/>
  <c r="MC9"/>
  <c r="MB9"/>
  <c r="LT9"/>
  <c r="LQ9"/>
  <c r="LP9"/>
  <c r="LI9"/>
  <c r="LH9"/>
  <c r="LA9"/>
  <c r="KZ9"/>
  <c r="KS9"/>
  <c r="KR9"/>
  <c r="KK9"/>
  <c r="KJ9"/>
  <c r="KC9"/>
  <c r="KB9"/>
  <c r="JU9"/>
  <c r="JT9"/>
  <c r="JM9"/>
  <c r="JL9"/>
  <c r="JE9"/>
  <c r="JD9"/>
  <c r="IW9"/>
  <c r="IV9"/>
  <c r="IO9"/>
  <c r="IN9"/>
  <c r="IG9"/>
  <c r="IF9"/>
  <c r="HY9"/>
  <c r="HX9"/>
  <c r="HQ9"/>
  <c r="HP9"/>
  <c r="HI9"/>
  <c r="HH9"/>
  <c r="HA9"/>
  <c r="GZ9"/>
  <c r="GS9"/>
  <c r="GR9"/>
  <c r="GK9"/>
  <c r="GJ9"/>
  <c r="GC9"/>
  <c r="GB9"/>
  <c r="FU9"/>
  <c r="FT9"/>
  <c r="FM9"/>
  <c r="FL9"/>
  <c r="FE9"/>
  <c r="FD9"/>
  <c r="EW9"/>
  <c r="EV9"/>
  <c r="EO9"/>
  <c r="EN9"/>
  <c r="EG9"/>
  <c r="EF9"/>
  <c r="DY9"/>
  <c r="DX9"/>
  <c r="DQ9"/>
  <c r="DP9"/>
  <c r="DI9"/>
  <c r="DH9"/>
  <c r="DA9"/>
  <c r="CZ9"/>
  <c r="CS9"/>
  <c r="CR9"/>
  <c r="CK9"/>
  <c r="CJ9"/>
  <c r="CC9"/>
  <c r="CB9"/>
  <c r="BU9"/>
  <c r="BT9"/>
  <c r="BM9"/>
  <c r="BL9"/>
  <c r="BE9"/>
  <c r="BD9"/>
  <c r="AW9"/>
  <c r="AV9"/>
  <c r="AO9"/>
  <c r="AN9"/>
  <c r="AG9"/>
  <c r="AF9"/>
  <c r="Y9"/>
  <c r="X9"/>
  <c r="Q9"/>
  <c r="P9"/>
  <c r="I9"/>
  <c r="H9"/>
  <c r="RD8"/>
  <c r="QV8"/>
  <c r="QP8"/>
  <c r="QJ8"/>
  <c r="QB8"/>
  <c r="PT8"/>
  <c r="PL8"/>
  <c r="PD8"/>
  <c r="OZ8"/>
  <c r="OS8"/>
  <c r="OR8"/>
  <c r="OK8"/>
  <c r="OJ8"/>
  <c r="OC8"/>
  <c r="OB8"/>
  <c r="NU8"/>
  <c r="NT8"/>
  <c r="NM8"/>
  <c r="NL8"/>
  <c r="ND8"/>
  <c r="NA8"/>
  <c r="MZ8"/>
  <c r="MS8"/>
  <c r="MR8"/>
  <c r="MK8"/>
  <c r="MJ8"/>
  <c r="MC8"/>
  <c r="MB8"/>
  <c r="LT8"/>
  <c r="LQ8"/>
  <c r="LP8"/>
  <c r="LI8"/>
  <c r="LH8"/>
  <c r="LA8"/>
  <c r="KZ8"/>
  <c r="KS8"/>
  <c r="KR8"/>
  <c r="KK8"/>
  <c r="KJ8"/>
  <c r="KC8"/>
  <c r="KB8"/>
  <c r="JU8"/>
  <c r="JT8"/>
  <c r="JM8"/>
  <c r="JL8"/>
  <c r="JE8"/>
  <c r="JD8"/>
  <c r="IW8"/>
  <c r="IV8"/>
  <c r="IO8"/>
  <c r="IN8"/>
  <c r="IG8"/>
  <c r="IF8"/>
  <c r="HY8"/>
  <c r="HX8"/>
  <c r="HQ8"/>
  <c r="HP8"/>
  <c r="HI8"/>
  <c r="HH8"/>
  <c r="HA8"/>
  <c r="GZ8"/>
  <c r="GS8"/>
  <c r="GR8"/>
  <c r="GK8"/>
  <c r="GJ8"/>
  <c r="GC8"/>
  <c r="GB8"/>
  <c r="FU8"/>
  <c r="FT8"/>
  <c r="FM8"/>
  <c r="FL8"/>
  <c r="FE8"/>
  <c r="FD8"/>
  <c r="EW8"/>
  <c r="EV8"/>
  <c r="EO8"/>
  <c r="EN8"/>
  <c r="EG8"/>
  <c r="EF8"/>
  <c r="DY8"/>
  <c r="DX8"/>
  <c r="DQ8"/>
  <c r="DP8"/>
  <c r="DI8"/>
  <c r="DH8"/>
  <c r="DA8"/>
  <c r="CZ8"/>
  <c r="CS8"/>
  <c r="CR8"/>
  <c r="CK8"/>
  <c r="CJ8"/>
  <c r="CC8"/>
  <c r="CB8"/>
  <c r="BU8"/>
  <c r="BT8"/>
  <c r="BM8"/>
  <c r="BL8"/>
  <c r="BE8"/>
  <c r="BD8"/>
  <c r="AW8"/>
  <c r="AV8"/>
  <c r="AO8"/>
  <c r="AN8"/>
  <c r="AG8"/>
  <c r="AF8"/>
  <c r="Y8"/>
  <c r="X8"/>
  <c r="Q8"/>
  <c r="P8"/>
  <c r="I8"/>
  <c r="H8"/>
  <c r="RD7"/>
  <c r="QV7"/>
  <c r="QP7"/>
  <c r="QJ7"/>
  <c r="QB7"/>
  <c r="PT7"/>
  <c r="PL7"/>
  <c r="PD7"/>
  <c r="OZ7"/>
  <c r="OS7"/>
  <c r="OR7"/>
  <c r="OK7"/>
  <c r="OJ7"/>
  <c r="OC7"/>
  <c r="OB7"/>
  <c r="NU7"/>
  <c r="NT7"/>
  <c r="NM7"/>
  <c r="NL7"/>
  <c r="ND7"/>
  <c r="NA7"/>
  <c r="MZ7"/>
  <c r="MS7"/>
  <c r="MR7"/>
  <c r="MK7"/>
  <c r="MJ7"/>
  <c r="MC7"/>
  <c r="MB7"/>
  <c r="LT7"/>
  <c r="LQ7"/>
  <c r="LP7"/>
  <c r="LI7"/>
  <c r="LH7"/>
  <c r="LA7"/>
  <c r="KZ7"/>
  <c r="KS7"/>
  <c r="KR7"/>
  <c r="KK7"/>
  <c r="KJ7"/>
  <c r="KC7"/>
  <c r="KB7"/>
  <c r="JU7"/>
  <c r="JT7"/>
  <c r="JM7"/>
  <c r="JL7"/>
  <c r="JE7"/>
  <c r="JD7"/>
  <c r="IW7"/>
  <c r="IV7"/>
  <c r="IO7"/>
  <c r="IN7"/>
  <c r="IG7"/>
  <c r="IF7"/>
  <c r="HY7"/>
  <c r="HX7"/>
  <c r="HQ7"/>
  <c r="HP7"/>
  <c r="HI7"/>
  <c r="HH7"/>
  <c r="HA7"/>
  <c r="GZ7"/>
  <c r="GS7"/>
  <c r="GR7"/>
  <c r="GK7"/>
  <c r="GJ7"/>
  <c r="GC7"/>
  <c r="GB7"/>
  <c r="FU7"/>
  <c r="FT7"/>
  <c r="FM7"/>
  <c r="FL7"/>
  <c r="FE7"/>
  <c r="FD7"/>
  <c r="EW7"/>
  <c r="EV7"/>
  <c r="EO7"/>
  <c r="EN7"/>
  <c r="EG7"/>
  <c r="EF7"/>
  <c r="DY7"/>
  <c r="DX7"/>
  <c r="DQ7"/>
  <c r="DP7"/>
  <c r="DI7"/>
  <c r="DH7"/>
  <c r="DA7"/>
  <c r="CZ7"/>
  <c r="CS7"/>
  <c r="CR7"/>
  <c r="CK7"/>
  <c r="CJ7"/>
  <c r="CC7"/>
  <c r="CB7"/>
  <c r="BU7"/>
  <c r="BT7"/>
  <c r="BM7"/>
  <c r="BL7"/>
  <c r="BE7"/>
  <c r="BD7"/>
  <c r="AW7"/>
  <c r="AV7"/>
  <c r="AO7"/>
  <c r="AN7"/>
  <c r="AG7"/>
  <c r="AF7"/>
  <c r="Y7"/>
  <c r="X7"/>
  <c r="Q7"/>
  <c r="P7"/>
  <c r="I7"/>
  <c r="H7"/>
  <c r="RD6"/>
  <c r="QV6"/>
  <c r="QP6"/>
  <c r="QJ6"/>
  <c r="QB6"/>
  <c r="PT6"/>
  <c r="PL6"/>
  <c r="PD6"/>
  <c r="OZ6"/>
  <c r="OS6"/>
  <c r="OR6"/>
  <c r="OJ6"/>
  <c r="OC6"/>
  <c r="OB6"/>
  <c r="NU6"/>
  <c r="NT6"/>
  <c r="NM6"/>
  <c r="NL6"/>
  <c r="ND6"/>
  <c r="NA6"/>
  <c r="MZ6"/>
  <c r="MS6"/>
  <c r="MR6"/>
  <c r="MK6"/>
  <c r="MJ6"/>
  <c r="MC6"/>
  <c r="MB6"/>
  <c r="LT6"/>
  <c r="LQ6"/>
  <c r="LP6"/>
  <c r="LI6"/>
  <c r="LH6"/>
  <c r="LA6"/>
  <c r="KZ6"/>
  <c r="KS6"/>
  <c r="KR6"/>
  <c r="KK6"/>
  <c r="KJ6"/>
  <c r="KC6"/>
  <c r="KB6"/>
  <c r="JU6"/>
  <c r="JT6"/>
  <c r="JM6"/>
  <c r="JL6"/>
  <c r="JE6"/>
  <c r="JD6"/>
  <c r="IW6"/>
  <c r="IV6"/>
  <c r="IN6"/>
  <c r="IG6"/>
  <c r="IF6"/>
  <c r="HY6"/>
  <c r="HX6"/>
  <c r="HQ6"/>
  <c r="HP6"/>
  <c r="HI6"/>
  <c r="HH6"/>
  <c r="HA6"/>
  <c r="GZ6"/>
  <c r="GS6"/>
  <c r="GR6"/>
  <c r="GK6"/>
  <c r="GJ6"/>
  <c r="GC6"/>
  <c r="GB6"/>
  <c r="FU6"/>
  <c r="FT6"/>
  <c r="FM6"/>
  <c r="FL6"/>
  <c r="FE6"/>
  <c r="FD6"/>
  <c r="EW6"/>
  <c r="EV6"/>
  <c r="EO6"/>
  <c r="EN6"/>
  <c r="EF6"/>
  <c r="DX6"/>
  <c r="DQ6"/>
  <c r="DP6"/>
  <c r="DI6"/>
  <c r="DH6"/>
  <c r="CZ6"/>
  <c r="CR6"/>
  <c r="CJ6"/>
  <c r="CC6"/>
  <c r="CB6"/>
  <c r="BT6"/>
  <c r="BM6"/>
  <c r="BL6"/>
  <c r="BE6"/>
  <c r="BD6"/>
  <c r="AW6"/>
  <c r="AV6"/>
  <c r="AO6"/>
  <c r="AN6"/>
  <c r="AG6"/>
  <c r="AF6"/>
  <c r="Y6"/>
  <c r="X6"/>
  <c r="P6"/>
  <c r="I6"/>
  <c r="H6"/>
  <c r="RD5"/>
  <c r="QV5"/>
  <c r="QP5"/>
  <c r="QJ5"/>
  <c r="QB5"/>
  <c r="PT5"/>
  <c r="PL5"/>
  <c r="PD5"/>
  <c r="OZ5"/>
  <c r="OS5"/>
  <c r="OR5"/>
  <c r="OK5"/>
  <c r="OJ5"/>
  <c r="OC5"/>
  <c r="OB5"/>
  <c r="NU5"/>
  <c r="NT5"/>
  <c r="NL5"/>
  <c r="ND5"/>
  <c r="NA5"/>
  <c r="MZ5"/>
  <c r="MS5"/>
  <c r="MR5"/>
  <c r="MK5"/>
  <c r="MJ5"/>
  <c r="MC5"/>
  <c r="MB5"/>
  <c r="LT5"/>
  <c r="LQ5"/>
  <c r="LP5"/>
  <c r="LI5"/>
  <c r="LH5"/>
  <c r="LA5"/>
  <c r="KZ5"/>
  <c r="KS5"/>
  <c r="KR5"/>
  <c r="KK5"/>
  <c r="KJ5"/>
  <c r="KC5"/>
  <c r="KB5"/>
  <c r="JU5"/>
  <c r="JT5"/>
  <c r="JM5"/>
  <c r="JL5"/>
  <c r="JE5"/>
  <c r="JD5"/>
  <c r="IW5"/>
  <c r="IV5"/>
  <c r="IO5"/>
  <c r="IN5"/>
  <c r="IG5"/>
  <c r="IF5"/>
  <c r="HY5"/>
  <c r="HX5"/>
  <c r="HQ5"/>
  <c r="HP5"/>
  <c r="HI5"/>
  <c r="HH5"/>
  <c r="HA5"/>
  <c r="GZ5"/>
  <c r="GS5"/>
  <c r="GR5"/>
  <c r="GK5"/>
  <c r="GJ5"/>
  <c r="GC5"/>
  <c r="GB5"/>
  <c r="FU5"/>
  <c r="FT5"/>
  <c r="FM5"/>
  <c r="FL5"/>
  <c r="FE5"/>
  <c r="FD5"/>
  <c r="EW5"/>
  <c r="EV5"/>
  <c r="EO5"/>
  <c r="EN5"/>
  <c r="EG5"/>
  <c r="EF5"/>
  <c r="DX5"/>
  <c r="DQ5"/>
  <c r="DP5"/>
  <c r="DI5"/>
  <c r="DH5"/>
  <c r="DA5"/>
  <c r="CZ5"/>
  <c r="CS5"/>
  <c r="CR5"/>
  <c r="CK5"/>
  <c r="CJ5"/>
  <c r="CC5"/>
  <c r="CB5"/>
  <c r="BU5"/>
  <c r="BT5"/>
  <c r="BM5"/>
  <c r="BL5"/>
  <c r="BE5"/>
  <c r="BD5"/>
  <c r="AW5"/>
  <c r="AV5"/>
  <c r="AO5"/>
  <c r="AN5"/>
  <c r="AG5"/>
  <c r="AF5"/>
  <c r="Y5"/>
  <c r="X5"/>
  <c r="Q5"/>
  <c r="P5"/>
  <c r="I5"/>
  <c r="H5"/>
  <c r="RE4"/>
  <c r="RD4"/>
  <c r="RC4"/>
  <c r="RB4"/>
  <c r="RA4"/>
  <c r="QZ4"/>
  <c r="QY4"/>
  <c r="QX4"/>
  <c r="QW4"/>
  <c r="QV4"/>
  <c r="QU4"/>
  <c r="QT4"/>
  <c r="QS4"/>
  <c r="QR4"/>
  <c r="QQ4"/>
  <c r="QP4"/>
  <c r="QO4"/>
  <c r="QN4"/>
  <c r="QM4"/>
  <c r="QL4"/>
  <c r="QK4"/>
  <c r="QJ4"/>
  <c r="QI4"/>
  <c r="QH4"/>
  <c r="QG4"/>
  <c r="QF4"/>
  <c r="QE4"/>
  <c r="QD4"/>
  <c r="QC4"/>
  <c r="QB4"/>
  <c r="QA4"/>
  <c r="PZ4"/>
  <c r="PY4"/>
  <c r="PX4"/>
  <c r="PW4"/>
  <c r="PV4"/>
  <c r="PU4"/>
  <c r="PT4"/>
  <c r="PS4"/>
  <c r="PR4"/>
  <c r="PQ4"/>
  <c r="PP4"/>
  <c r="PO4"/>
  <c r="PN4"/>
  <c r="PM4"/>
  <c r="PL4"/>
  <c r="PK4"/>
  <c r="PJ4"/>
  <c r="PI4"/>
  <c r="PH4"/>
  <c r="PG4"/>
  <c r="PF4"/>
  <c r="PE4"/>
  <c r="PD4"/>
  <c r="PC4"/>
  <c r="PB4"/>
  <c r="PA4"/>
  <c r="OZ4"/>
  <c r="OY4"/>
  <c r="OX4"/>
  <c r="OW4"/>
  <c r="OV4"/>
  <c r="OU4"/>
  <c r="OT4"/>
  <c r="OS4"/>
  <c r="OR4"/>
  <c r="OQ4"/>
  <c r="OP4"/>
  <c r="OO4"/>
  <c r="ON4"/>
  <c r="OM4"/>
  <c r="OL4"/>
  <c r="OK4"/>
  <c r="OJ4"/>
  <c r="OI4"/>
  <c r="OH4"/>
  <c r="OG4"/>
  <c r="OF4"/>
  <c r="OE4"/>
  <c r="OD4"/>
  <c r="OC4"/>
  <c r="OB4"/>
  <c r="OA4"/>
  <c r="NZ4"/>
  <c r="NY4"/>
  <c r="NX4"/>
  <c r="NW4"/>
  <c r="NV4"/>
  <c r="NU4"/>
  <c r="NT4"/>
  <c r="NS4"/>
  <c r="NR4"/>
  <c r="NQ4"/>
  <c r="NP4"/>
  <c r="NO4"/>
  <c r="NN4"/>
  <c r="NM4"/>
  <c r="NL4"/>
  <c r="NK4"/>
  <c r="NJ4"/>
  <c r="NI4"/>
  <c r="NH4"/>
  <c r="NG4"/>
  <c r="NF4"/>
  <c r="NE4"/>
  <c r="ND4"/>
  <c r="NC4"/>
  <c r="NB4"/>
  <c r="NA4"/>
  <c r="MZ4"/>
  <c r="MY4"/>
  <c r="MX4"/>
  <c r="MW4"/>
  <c r="MV4"/>
  <c r="MU4"/>
  <c r="MT4"/>
  <c r="MS4"/>
  <c r="MR4"/>
  <c r="MQ4"/>
  <c r="MP4"/>
  <c r="MO4"/>
  <c r="MN4"/>
  <c r="MM4"/>
  <c r="ML4"/>
  <c r="MK4"/>
  <c r="MJ4"/>
  <c r="MI4"/>
  <c r="MH4"/>
  <c r="MG4"/>
  <c r="MF4"/>
  <c r="ME4"/>
  <c r="MD4"/>
  <c r="MC4"/>
  <c r="MB4"/>
  <c r="MA4"/>
  <c r="LZ4"/>
  <c r="LY4"/>
  <c r="LX4"/>
  <c r="LW4"/>
  <c r="LV4"/>
  <c r="LU4"/>
  <c r="LT4"/>
  <c r="LS4"/>
  <c r="LR4"/>
  <c r="LQ4"/>
  <c r="LP4"/>
  <c r="LO4"/>
  <c r="LN4"/>
  <c r="LM4"/>
  <c r="LL4"/>
  <c r="LK4"/>
  <c r="LJ4"/>
  <c r="LI4"/>
  <c r="LH4"/>
  <c r="LG4"/>
  <c r="LF4"/>
  <c r="LE4"/>
  <c r="LD4"/>
  <c r="LC4"/>
  <c r="LB4"/>
  <c r="LA4"/>
  <c r="KZ4"/>
  <c r="KY4"/>
  <c r="KX4"/>
  <c r="KW4"/>
  <c r="KV4"/>
  <c r="KU4"/>
  <c r="KT4"/>
  <c r="KS4"/>
  <c r="KR4"/>
  <c r="KQ4"/>
  <c r="KP4"/>
  <c r="KO4"/>
  <c r="KN4"/>
  <c r="KM4"/>
  <c r="KL4"/>
  <c r="KK4"/>
  <c r="KJ4"/>
  <c r="KI4"/>
  <c r="KH4"/>
  <c r="KG4"/>
  <c r="KF4"/>
  <c r="KE4"/>
  <c r="KD4"/>
  <c r="KC4"/>
  <c r="KB4"/>
  <c r="KA4"/>
  <c r="JZ4"/>
  <c r="JY4"/>
  <c r="JX4"/>
  <c r="JW4"/>
  <c r="JV4"/>
  <c r="JU4"/>
  <c r="JT4"/>
  <c r="JS4"/>
  <c r="JR4"/>
  <c r="JQ4"/>
  <c r="JP4"/>
  <c r="JO4"/>
  <c r="JN4"/>
  <c r="JM4"/>
  <c r="JL4"/>
  <c r="JK4"/>
  <c r="JJ4"/>
  <c r="JI4"/>
  <c r="JH4"/>
  <c r="JG4"/>
  <c r="JF4"/>
  <c r="JE4"/>
  <c r="JD4"/>
  <c r="JC4"/>
  <c r="JB4"/>
  <c r="JA4"/>
  <c r="IZ4"/>
  <c r="IY4"/>
  <c r="IX4"/>
  <c r="IW4"/>
  <c r="IV4"/>
  <c r="IU4"/>
  <c r="IT4"/>
  <c r="IS4"/>
  <c r="IR4"/>
  <c r="IQ4"/>
  <c r="IP4"/>
  <c r="IO4"/>
  <c r="IN4"/>
  <c r="IM4"/>
  <c r="IL4"/>
  <c r="IK4"/>
  <c r="IJ4"/>
  <c r="II4"/>
  <c r="IH4"/>
  <c r="IG4"/>
  <c r="IF4"/>
  <c r="IE4"/>
  <c r="ID4"/>
  <c r="IC4"/>
  <c r="IB4"/>
  <c r="IA4"/>
  <c r="HZ4"/>
  <c r="HY4"/>
  <c r="HX4"/>
  <c r="HW4"/>
  <c r="HV4"/>
  <c r="HU4"/>
  <c r="HT4"/>
  <c r="HS4"/>
  <c r="HR4"/>
  <c r="HQ4"/>
  <c r="HP4"/>
  <c r="HO4"/>
  <c r="HN4"/>
  <c r="HM4"/>
  <c r="HL4"/>
  <c r="HK4"/>
  <c r="HJ4"/>
  <c r="HI4"/>
  <c r="HH4"/>
  <c r="HG4"/>
  <c r="HF4"/>
  <c r="HE4"/>
  <c r="HD4"/>
  <c r="HC4"/>
  <c r="HB4"/>
  <c r="HA4"/>
  <c r="GZ4"/>
  <c r="GY4"/>
  <c r="GX4"/>
  <c r="GW4"/>
  <c r="GV4"/>
  <c r="GU4"/>
  <c r="GT4"/>
  <c r="GS4"/>
  <c r="GR4"/>
  <c r="GQ4"/>
  <c r="GP4"/>
  <c r="GO4"/>
  <c r="GN4"/>
  <c r="GM4"/>
  <c r="GL4"/>
  <c r="GK4"/>
  <c r="GJ4"/>
  <c r="GI4"/>
  <c r="GH4"/>
  <c r="GG4"/>
  <c r="GF4"/>
  <c r="GE4"/>
  <c r="GD4"/>
  <c r="GC4"/>
  <c r="GB4"/>
  <c r="GA4"/>
  <c r="FZ4"/>
  <c r="FY4"/>
  <c r="FX4"/>
  <c r="FW4"/>
  <c r="FV4"/>
  <c r="FU4"/>
  <c r="FT4"/>
  <c r="FS4"/>
  <c r="FR4"/>
  <c r="FQ4"/>
  <c r="FP4"/>
  <c r="FO4"/>
  <c r="FN4"/>
  <c r="FM4"/>
  <c r="FL4"/>
  <c r="FK4"/>
  <c r="FJ4"/>
  <c r="FI4"/>
  <c r="FH4"/>
  <c r="FG4"/>
  <c r="FF4"/>
  <c r="FE4"/>
  <c r="FD4"/>
  <c r="FC4"/>
  <c r="FB4"/>
  <c r="FA4"/>
  <c r="EZ4"/>
  <c r="EY4"/>
  <c r="EX4"/>
  <c r="EW4"/>
  <c r="EV4"/>
  <c r="EU4"/>
  <c r="ET4"/>
  <c r="ES4"/>
  <c r="ER4"/>
  <c r="EQ4"/>
  <c r="EP4"/>
  <c r="EO4"/>
  <c r="EN4"/>
  <c r="EM4"/>
  <c r="EL4"/>
  <c r="EK4"/>
  <c r="EJ4"/>
  <c r="EI4"/>
  <c r="EH4"/>
  <c r="EG4"/>
  <c r="EF4"/>
  <c r="EE4"/>
  <c r="ED4"/>
  <c r="EC4"/>
  <c r="EB4"/>
  <c r="EA4"/>
  <c r="DZ4"/>
  <c r="DY4"/>
  <c r="DX4"/>
  <c r="DW4"/>
  <c r="DV4"/>
  <c r="DU4"/>
  <c r="DT4"/>
  <c r="DS4"/>
  <c r="DR4"/>
  <c r="DQ4"/>
  <c r="DP4"/>
  <c r="DO4"/>
  <c r="DN4"/>
  <c r="DM4"/>
  <c r="DL4"/>
  <c r="DK4"/>
  <c r="DJ4"/>
  <c r="DI4"/>
  <c r="DH4"/>
  <c r="DG4"/>
  <c r="DF4"/>
  <c r="DE4"/>
  <c r="DD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X4"/>
  <c r="BW4"/>
  <c r="BV4"/>
  <c r="BU4"/>
  <c r="BT4"/>
  <c r="BS4"/>
  <c r="BR4"/>
  <c r="BQ4"/>
  <c r="BP4"/>
  <c r="BO4"/>
  <c r="BN4"/>
  <c r="BM4"/>
  <c r="BL4"/>
  <c r="BK4"/>
  <c r="BJ4"/>
  <c r="BI4"/>
  <c r="BH4"/>
  <c r="BG4"/>
  <c r="BF4"/>
  <c r="BE4"/>
  <c r="BD4"/>
  <c r="BC4"/>
  <c r="BB4"/>
  <c r="BA4"/>
  <c r="AZ4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NA52" l="1"/>
  <c r="MX78"/>
  <c r="MY76"/>
  <c r="MZ76"/>
  <c r="MX76"/>
  <c r="MS76"/>
  <c r="LP79"/>
  <c r="LP80"/>
  <c r="LP81"/>
  <c r="LP78"/>
  <c r="JE24"/>
  <c r="IG35"/>
  <c r="GS42"/>
  <c r="GS49"/>
  <c r="GS47"/>
  <c r="GS45"/>
  <c r="GS40"/>
  <c r="GS37"/>
  <c r="GS24" s="1"/>
  <c r="GS76" s="1"/>
  <c r="GS78" s="1"/>
  <c r="GS80" s="1"/>
  <c r="GB42"/>
  <c r="FU24"/>
  <c r="FU76" s="1"/>
  <c r="FU78" s="1"/>
  <c r="FM42"/>
  <c r="EG42"/>
  <c r="EG24" s="1"/>
  <c r="CS35"/>
  <c r="CS24" s="1"/>
  <c r="CP77"/>
  <c r="CB37"/>
  <c r="BU42"/>
  <c r="BU24" s="1"/>
  <c r="BM42"/>
  <c r="BE42"/>
  <c r="AW28"/>
  <c r="AO42"/>
  <c r="AG42"/>
  <c r="Y44"/>
  <c r="RG68"/>
  <c r="RG75"/>
  <c r="PT75"/>
  <c r="PT68"/>
  <c r="C24"/>
  <c r="D24"/>
  <c r="E24"/>
  <c r="F24"/>
  <c r="F76" s="1"/>
  <c r="G24"/>
  <c r="G76" s="1"/>
  <c r="I24"/>
  <c r="I76" s="1"/>
  <c r="J24"/>
  <c r="K24"/>
  <c r="L24"/>
  <c r="M24"/>
  <c r="N24"/>
  <c r="N76" s="1"/>
  <c r="N78" s="1"/>
  <c r="O24"/>
  <c r="O76" s="1"/>
  <c r="R24"/>
  <c r="S24"/>
  <c r="T24"/>
  <c r="U24"/>
  <c r="V24"/>
  <c r="W24"/>
  <c r="W76" s="1"/>
  <c r="Z24"/>
  <c r="AA24"/>
  <c r="AB24"/>
  <c r="AC24"/>
  <c r="AD24"/>
  <c r="AE24"/>
  <c r="AH24"/>
  <c r="AI24"/>
  <c r="AJ24"/>
  <c r="AK24"/>
  <c r="AL24"/>
  <c r="AM24"/>
  <c r="AP24"/>
  <c r="AQ24"/>
  <c r="AR24"/>
  <c r="AS24"/>
  <c r="AT24"/>
  <c r="AU24"/>
  <c r="AU76" s="1"/>
  <c r="AX24"/>
  <c r="AY24"/>
  <c r="AZ24"/>
  <c r="BA24"/>
  <c r="BB24"/>
  <c r="BC24"/>
  <c r="BF24"/>
  <c r="BG24"/>
  <c r="BH24"/>
  <c r="BI24"/>
  <c r="BJ24"/>
  <c r="BK24"/>
  <c r="BK76" s="1"/>
  <c r="BN24"/>
  <c r="BO24"/>
  <c r="BP24"/>
  <c r="BQ24"/>
  <c r="BR24"/>
  <c r="BS24"/>
  <c r="BV24"/>
  <c r="BW24"/>
  <c r="BX24"/>
  <c r="BY24"/>
  <c r="BZ24"/>
  <c r="CA24"/>
  <c r="CD24"/>
  <c r="CE24"/>
  <c r="CF24"/>
  <c r="CG24"/>
  <c r="CH24"/>
  <c r="CH76" s="1"/>
  <c r="CI24"/>
  <c r="CI76" s="1"/>
  <c r="CL24"/>
  <c r="CM24"/>
  <c r="CN24"/>
  <c r="CO24"/>
  <c r="CP24"/>
  <c r="CP76" s="1"/>
  <c r="CP78" s="1"/>
  <c r="CQ24"/>
  <c r="CT24"/>
  <c r="CU24"/>
  <c r="CV24"/>
  <c r="CW24"/>
  <c r="CX24"/>
  <c r="CY24"/>
  <c r="DB24"/>
  <c r="DC24"/>
  <c r="DD24"/>
  <c r="DE24"/>
  <c r="DF24"/>
  <c r="DG24"/>
  <c r="DJ24"/>
  <c r="DK24"/>
  <c r="DL24"/>
  <c r="DM24"/>
  <c r="DN24"/>
  <c r="DO24"/>
  <c r="DQ24"/>
  <c r="DQ76" s="1"/>
  <c r="DR24"/>
  <c r="DS24"/>
  <c r="DT24"/>
  <c r="DU24"/>
  <c r="DV24"/>
  <c r="DW24"/>
  <c r="DZ24"/>
  <c r="EA24"/>
  <c r="EB24"/>
  <c r="EC24"/>
  <c r="ED24"/>
  <c r="EE24"/>
  <c r="EH24"/>
  <c r="EI24"/>
  <c r="EJ24"/>
  <c r="EK24"/>
  <c r="EL24"/>
  <c r="EM24"/>
  <c r="EO24"/>
  <c r="EO76" s="1"/>
  <c r="EP24"/>
  <c r="EQ24"/>
  <c r="ER24"/>
  <c r="ES24"/>
  <c r="ET24"/>
  <c r="EU24"/>
  <c r="EW24"/>
  <c r="EW76" s="1"/>
  <c r="EX24"/>
  <c r="EY24"/>
  <c r="EZ24"/>
  <c r="FA24"/>
  <c r="FB24"/>
  <c r="FC24"/>
  <c r="FF24"/>
  <c r="FG24"/>
  <c r="FH24"/>
  <c r="FI24"/>
  <c r="FJ24"/>
  <c r="FK24"/>
  <c r="FN24"/>
  <c r="FO24"/>
  <c r="FP24"/>
  <c r="FQ24"/>
  <c r="FR24"/>
  <c r="FS24"/>
  <c r="FV24"/>
  <c r="FW24"/>
  <c r="FX24"/>
  <c r="FY24"/>
  <c r="FZ24"/>
  <c r="FZ76" s="1"/>
  <c r="GA24"/>
  <c r="GA76" s="1"/>
  <c r="GC24"/>
  <c r="GC76" s="1"/>
  <c r="GD24"/>
  <c r="GE24"/>
  <c r="GF24"/>
  <c r="GG24"/>
  <c r="GH24"/>
  <c r="GI24"/>
  <c r="GK24"/>
  <c r="GK76" s="1"/>
  <c r="GL24"/>
  <c r="GM24"/>
  <c r="GN24"/>
  <c r="GO24"/>
  <c r="GP24"/>
  <c r="GP76" s="1"/>
  <c r="GP78" s="1"/>
  <c r="GQ24"/>
  <c r="GQ76" s="1"/>
  <c r="GT24"/>
  <c r="GU24"/>
  <c r="GV24"/>
  <c r="GW24"/>
  <c r="GX24"/>
  <c r="GY24"/>
  <c r="HA24"/>
  <c r="HA76" s="1"/>
  <c r="HB24"/>
  <c r="HC24"/>
  <c r="HD24"/>
  <c r="HE24"/>
  <c r="HF24"/>
  <c r="HG24"/>
  <c r="HI24"/>
  <c r="HI76" s="1"/>
  <c r="HJ24"/>
  <c r="HK24"/>
  <c r="HL24"/>
  <c r="HM24"/>
  <c r="HN24"/>
  <c r="HO24"/>
  <c r="HQ24"/>
  <c r="HQ76" s="1"/>
  <c r="HR24"/>
  <c r="HS24"/>
  <c r="HT24"/>
  <c r="HU24"/>
  <c r="HV24"/>
  <c r="HW24"/>
  <c r="HY24"/>
  <c r="HY76" s="1"/>
  <c r="HZ24"/>
  <c r="IA24"/>
  <c r="IB24"/>
  <c r="IC24"/>
  <c r="ID24"/>
  <c r="IE24"/>
  <c r="IH24"/>
  <c r="II24"/>
  <c r="IJ24"/>
  <c r="IK24"/>
  <c r="IL24"/>
  <c r="IM24"/>
  <c r="IP24"/>
  <c r="IQ24"/>
  <c r="IR24"/>
  <c r="IS24"/>
  <c r="IT24"/>
  <c r="IU24"/>
  <c r="IW24"/>
  <c r="IW76" s="1"/>
  <c r="IX24"/>
  <c r="IY24"/>
  <c r="IZ24"/>
  <c r="JA24"/>
  <c r="JB24"/>
  <c r="JC24"/>
  <c r="JF24"/>
  <c r="JG24"/>
  <c r="JH24"/>
  <c r="JI24"/>
  <c r="JJ24"/>
  <c r="JK24"/>
  <c r="JM24"/>
  <c r="JM76" s="1"/>
  <c r="JN24"/>
  <c r="JO24"/>
  <c r="JP24"/>
  <c r="JQ24"/>
  <c r="JR24"/>
  <c r="JS24"/>
  <c r="JU24"/>
  <c r="JV24"/>
  <c r="JW24"/>
  <c r="JX24"/>
  <c r="JY24"/>
  <c r="JZ24"/>
  <c r="KA24"/>
  <c r="KC24"/>
  <c r="KC76" s="1"/>
  <c r="KD24"/>
  <c r="KE24"/>
  <c r="KF24"/>
  <c r="KG24"/>
  <c r="KH24"/>
  <c r="KI24"/>
  <c r="KK24"/>
  <c r="KK76" s="1"/>
  <c r="KL24"/>
  <c r="KM24"/>
  <c r="KN24"/>
  <c r="KO24"/>
  <c r="KP24"/>
  <c r="KQ24"/>
  <c r="KS24"/>
  <c r="KT24"/>
  <c r="KU24"/>
  <c r="KV24"/>
  <c r="KW24"/>
  <c r="KX24"/>
  <c r="KY24"/>
  <c r="LA24"/>
  <c r="LA76" s="1"/>
  <c r="LB24"/>
  <c r="LC24"/>
  <c r="LD24"/>
  <c r="LE24"/>
  <c r="LF24"/>
  <c r="LG24"/>
  <c r="LI24"/>
  <c r="LI76" s="1"/>
  <c r="LJ24"/>
  <c r="LK24"/>
  <c r="LL24"/>
  <c r="LM24"/>
  <c r="LN24"/>
  <c r="LO24"/>
  <c r="LR24"/>
  <c r="LS24"/>
  <c r="LU24"/>
  <c r="LV24"/>
  <c r="LW24"/>
  <c r="LX24"/>
  <c r="LY24"/>
  <c r="LZ24"/>
  <c r="MA24"/>
  <c r="MC24"/>
  <c r="MC76" s="1"/>
  <c r="MD24"/>
  <c r="ME24"/>
  <c r="MF24"/>
  <c r="MG24"/>
  <c r="MH24"/>
  <c r="MI24"/>
  <c r="ML24"/>
  <c r="MM24"/>
  <c r="MN24"/>
  <c r="MO24"/>
  <c r="MP24"/>
  <c r="MQ24"/>
  <c r="MS24"/>
  <c r="MT24"/>
  <c r="MU24"/>
  <c r="MV24"/>
  <c r="MW24"/>
  <c r="MX24"/>
  <c r="MY24"/>
  <c r="NB24"/>
  <c r="NC24"/>
  <c r="NE24"/>
  <c r="NF24"/>
  <c r="NG24"/>
  <c r="NH24"/>
  <c r="NI24"/>
  <c r="NJ24"/>
  <c r="NK24"/>
  <c r="NM24"/>
  <c r="NM76" s="1"/>
  <c r="NN24"/>
  <c r="NO24"/>
  <c r="NP24"/>
  <c r="NQ24"/>
  <c r="NR24"/>
  <c r="NS24"/>
  <c r="NU24"/>
  <c r="NU76" s="1"/>
  <c r="NV24"/>
  <c r="NW24"/>
  <c r="NX24"/>
  <c r="NY24"/>
  <c r="NZ24"/>
  <c r="OA24"/>
  <c r="OC24"/>
  <c r="OC76" s="1"/>
  <c r="OD24"/>
  <c r="OE24"/>
  <c r="OF24"/>
  <c r="OG24"/>
  <c r="OH24"/>
  <c r="OI24"/>
  <c r="OL24"/>
  <c r="OM24"/>
  <c r="ON24"/>
  <c r="OO24"/>
  <c r="OP24"/>
  <c r="OQ24"/>
  <c r="OT24"/>
  <c r="OU24"/>
  <c r="OV24"/>
  <c r="OW24"/>
  <c r="OX24"/>
  <c r="OY24"/>
  <c r="PA24"/>
  <c r="PB24"/>
  <c r="PC24"/>
  <c r="PE24"/>
  <c r="PF24"/>
  <c r="PG24"/>
  <c r="PH24"/>
  <c r="PI24"/>
  <c r="PJ24"/>
  <c r="PK24"/>
  <c r="PM24"/>
  <c r="PN24"/>
  <c r="PO24"/>
  <c r="PP24"/>
  <c r="PQ24"/>
  <c r="PR24"/>
  <c r="PS24"/>
  <c r="PU24"/>
  <c r="PV24"/>
  <c r="PW24"/>
  <c r="PX24"/>
  <c r="PY24"/>
  <c r="PZ24"/>
  <c r="QA24"/>
  <c r="QC24"/>
  <c r="QD24"/>
  <c r="QE24"/>
  <c r="QF24"/>
  <c r="QG24"/>
  <c r="QH24"/>
  <c r="QI24"/>
  <c r="QK24"/>
  <c r="QL24"/>
  <c r="QM24"/>
  <c r="QN24"/>
  <c r="QO24"/>
  <c r="QR24"/>
  <c r="QS24"/>
  <c r="QT24"/>
  <c r="QU24"/>
  <c r="QW24"/>
  <c r="QX24"/>
  <c r="QY24"/>
  <c r="QZ24"/>
  <c r="RA24"/>
  <c r="RB24"/>
  <c r="RC24"/>
  <c r="RE24"/>
  <c r="B24"/>
  <c r="RD26"/>
  <c r="RD27"/>
  <c r="RD28"/>
  <c r="RD29"/>
  <c r="RD30"/>
  <c r="RD31"/>
  <c r="RD32"/>
  <c r="RD33"/>
  <c r="RD34"/>
  <c r="RD35"/>
  <c r="RD36"/>
  <c r="RD37"/>
  <c r="RD38"/>
  <c r="RD39"/>
  <c r="RD40"/>
  <c r="RD41"/>
  <c r="RD42"/>
  <c r="RD43"/>
  <c r="RD44"/>
  <c r="RD45"/>
  <c r="RD46"/>
  <c r="RD47"/>
  <c r="RD48"/>
  <c r="RD49"/>
  <c r="RD50"/>
  <c r="RD51"/>
  <c r="RD52"/>
  <c r="RD53"/>
  <c r="RD54"/>
  <c r="RD55"/>
  <c r="RD56"/>
  <c r="RD57"/>
  <c r="RD58"/>
  <c r="RD59"/>
  <c r="RD60"/>
  <c r="RD61"/>
  <c r="RD62"/>
  <c r="RD63"/>
  <c r="RD64"/>
  <c r="RD65"/>
  <c r="RD66"/>
  <c r="RD67"/>
  <c r="RD68"/>
  <c r="RD69"/>
  <c r="RD70"/>
  <c r="RD71"/>
  <c r="RD72"/>
  <c r="RD73"/>
  <c r="RD74"/>
  <c r="RD75"/>
  <c r="RD25"/>
  <c r="QV26"/>
  <c r="QV27"/>
  <c r="QV28"/>
  <c r="QV29"/>
  <c r="QV30"/>
  <c r="QV31"/>
  <c r="QV32"/>
  <c r="QV33"/>
  <c r="QV34"/>
  <c r="QV35"/>
  <c r="QV36"/>
  <c r="QV37"/>
  <c r="QV38"/>
  <c r="QV39"/>
  <c r="QV40"/>
  <c r="QV41"/>
  <c r="QV42"/>
  <c r="QV43"/>
  <c r="QV44"/>
  <c r="QV45"/>
  <c r="QV46"/>
  <c r="QV47"/>
  <c r="QV48"/>
  <c r="QV49"/>
  <c r="QV50"/>
  <c r="QV51"/>
  <c r="QV52"/>
  <c r="QV53"/>
  <c r="QV54"/>
  <c r="QV55"/>
  <c r="QV56"/>
  <c r="QV57"/>
  <c r="QV58"/>
  <c r="QV59"/>
  <c r="QV60"/>
  <c r="QV61"/>
  <c r="QV62"/>
  <c r="QV63"/>
  <c r="QV64"/>
  <c r="QV65"/>
  <c r="QV66"/>
  <c r="QV67"/>
  <c r="QV68"/>
  <c r="QV69"/>
  <c r="QV70"/>
  <c r="QV71"/>
  <c r="QV72"/>
  <c r="QV73"/>
  <c r="QV74"/>
  <c r="QV75"/>
  <c r="QV25"/>
  <c r="QP26"/>
  <c r="QP27"/>
  <c r="QP28"/>
  <c r="QP29"/>
  <c r="QP30"/>
  <c r="QP31"/>
  <c r="QP32"/>
  <c r="QP33"/>
  <c r="QP34"/>
  <c r="QP35"/>
  <c r="QP36"/>
  <c r="QP37"/>
  <c r="QP38"/>
  <c r="QP39"/>
  <c r="QP40"/>
  <c r="QP41"/>
  <c r="QP42"/>
  <c r="QP43"/>
  <c r="QP44"/>
  <c r="QP45"/>
  <c r="QP46"/>
  <c r="QP47"/>
  <c r="QP48"/>
  <c r="QP49"/>
  <c r="QP50"/>
  <c r="QP51"/>
  <c r="QP52"/>
  <c r="QP53"/>
  <c r="QP54"/>
  <c r="QP55"/>
  <c r="QP56"/>
  <c r="QP57"/>
  <c r="QP58"/>
  <c r="QP59"/>
  <c r="QP60"/>
  <c r="QP61"/>
  <c r="QP62"/>
  <c r="QP63"/>
  <c r="QP64"/>
  <c r="QP65"/>
  <c r="QP66"/>
  <c r="QP67"/>
  <c r="QP68"/>
  <c r="QP69"/>
  <c r="QP70"/>
  <c r="QP71"/>
  <c r="QP72"/>
  <c r="QP73"/>
  <c r="QP74"/>
  <c r="QP75"/>
  <c r="QP25"/>
  <c r="QJ75"/>
  <c r="QJ26"/>
  <c r="QJ27"/>
  <c r="QJ28"/>
  <c r="QJ29"/>
  <c r="QJ30"/>
  <c r="QJ31"/>
  <c r="QJ32"/>
  <c r="QJ33"/>
  <c r="QJ34"/>
  <c r="QJ35"/>
  <c r="QJ36"/>
  <c r="QJ37"/>
  <c r="QJ38"/>
  <c r="QJ39"/>
  <c r="QJ40"/>
  <c r="QJ41"/>
  <c r="QJ42"/>
  <c r="QJ43"/>
  <c r="QJ44"/>
  <c r="QJ45"/>
  <c r="QJ46"/>
  <c r="QJ47"/>
  <c r="QJ48"/>
  <c r="QJ49"/>
  <c r="QJ50"/>
  <c r="QJ51"/>
  <c r="QJ52"/>
  <c r="QJ53"/>
  <c r="QJ54"/>
  <c r="QJ55"/>
  <c r="QJ56"/>
  <c r="QJ57"/>
  <c r="QJ58"/>
  <c r="QJ59"/>
  <c r="QJ60"/>
  <c r="QJ61"/>
  <c r="QJ62"/>
  <c r="QJ63"/>
  <c r="QJ64"/>
  <c r="QJ65"/>
  <c r="QJ66"/>
  <c r="QJ67"/>
  <c r="QJ68"/>
  <c r="QJ69"/>
  <c r="QJ70"/>
  <c r="QJ71"/>
  <c r="QJ72"/>
  <c r="QJ73"/>
  <c r="QJ74"/>
  <c r="QJ25"/>
  <c r="QB26"/>
  <c r="QB27"/>
  <c r="QB28"/>
  <c r="QB29"/>
  <c r="QB30"/>
  <c r="QB31"/>
  <c r="QB32"/>
  <c r="QB33"/>
  <c r="QB34"/>
  <c r="QB35"/>
  <c r="QB36"/>
  <c r="QB37"/>
  <c r="QB38"/>
  <c r="QB39"/>
  <c r="QB40"/>
  <c r="QB41"/>
  <c r="QB42"/>
  <c r="QB43"/>
  <c r="QB44"/>
  <c r="QB45"/>
  <c r="QB46"/>
  <c r="QB47"/>
  <c r="QB48"/>
  <c r="QB49"/>
  <c r="QB50"/>
  <c r="QB51"/>
  <c r="QB52"/>
  <c r="QB53"/>
  <c r="QB54"/>
  <c r="QB55"/>
  <c r="QB56"/>
  <c r="QB57"/>
  <c r="QB58"/>
  <c r="QB59"/>
  <c r="QB60"/>
  <c r="QB61"/>
  <c r="QB62"/>
  <c r="QB63"/>
  <c r="QB64"/>
  <c r="QB65"/>
  <c r="QB66"/>
  <c r="QB67"/>
  <c r="QB68"/>
  <c r="QB69"/>
  <c r="QB70"/>
  <c r="QB71"/>
  <c r="QB72"/>
  <c r="QB73"/>
  <c r="QB74"/>
  <c r="QB75"/>
  <c r="QB25"/>
  <c r="PT26"/>
  <c r="PT27"/>
  <c r="PT28"/>
  <c r="PT29"/>
  <c r="PT30"/>
  <c r="PT31"/>
  <c r="PT32"/>
  <c r="PT33"/>
  <c r="PT34"/>
  <c r="PT35"/>
  <c r="PT36"/>
  <c r="PT37"/>
  <c r="PT38"/>
  <c r="PT39"/>
  <c r="PT40"/>
  <c r="PT41"/>
  <c r="PT42"/>
  <c r="PT43"/>
  <c r="PT44"/>
  <c r="PT45"/>
  <c r="PT46"/>
  <c r="PT47"/>
  <c r="PT48"/>
  <c r="PT49"/>
  <c r="PT50"/>
  <c r="PT51"/>
  <c r="PT52"/>
  <c r="PT53"/>
  <c r="PT54"/>
  <c r="PT55"/>
  <c r="PT56"/>
  <c r="PT57"/>
  <c r="PT58"/>
  <c r="PT59"/>
  <c r="PT60"/>
  <c r="PT61"/>
  <c r="PT62"/>
  <c r="PT63"/>
  <c r="PT64"/>
  <c r="PT65"/>
  <c r="PT66"/>
  <c r="PT67"/>
  <c r="PT69"/>
  <c r="PT70"/>
  <c r="PT71"/>
  <c r="PT72"/>
  <c r="PT73"/>
  <c r="PT74"/>
  <c r="PT25"/>
  <c r="PL25"/>
  <c r="PL26"/>
  <c r="PL27"/>
  <c r="PL28"/>
  <c r="PL29"/>
  <c r="PL30"/>
  <c r="PL31"/>
  <c r="PL32"/>
  <c r="PL33"/>
  <c r="PL34"/>
  <c r="PL35"/>
  <c r="PL36"/>
  <c r="PL37"/>
  <c r="PL38"/>
  <c r="PL39"/>
  <c r="PL40"/>
  <c r="PL41"/>
  <c r="PL42"/>
  <c r="PL43"/>
  <c r="PL44"/>
  <c r="PL45"/>
  <c r="PL46"/>
  <c r="PL47"/>
  <c r="PL48"/>
  <c r="PL49"/>
  <c r="PL50"/>
  <c r="PL51"/>
  <c r="PL52"/>
  <c r="PL53"/>
  <c r="PL54"/>
  <c r="PL55"/>
  <c r="PL56"/>
  <c r="PL57"/>
  <c r="PL58"/>
  <c r="PL59"/>
  <c r="PL60"/>
  <c r="PL61"/>
  <c r="PL62"/>
  <c r="PL63"/>
  <c r="PL64"/>
  <c r="PL65"/>
  <c r="PL66"/>
  <c r="PL67"/>
  <c r="PL68"/>
  <c r="PL69"/>
  <c r="PL70"/>
  <c r="PL71"/>
  <c r="PL72"/>
  <c r="PL73"/>
  <c r="PL74"/>
  <c r="PL75"/>
  <c r="PD26"/>
  <c r="PD27"/>
  <c r="PD28"/>
  <c r="PD29"/>
  <c r="PD30"/>
  <c r="PD31"/>
  <c r="PD32"/>
  <c r="PD33"/>
  <c r="PD34"/>
  <c r="PD35"/>
  <c r="PD36"/>
  <c r="PD37"/>
  <c r="PD38"/>
  <c r="PD39"/>
  <c r="PD40"/>
  <c r="PD41"/>
  <c r="PD42"/>
  <c r="PD43"/>
  <c r="PD44"/>
  <c r="PD45"/>
  <c r="PD46"/>
  <c r="PD47"/>
  <c r="PD48"/>
  <c r="PD49"/>
  <c r="PD50"/>
  <c r="PD51"/>
  <c r="PD52"/>
  <c r="PD53"/>
  <c r="PD54"/>
  <c r="PD55"/>
  <c r="PD56"/>
  <c r="PD57"/>
  <c r="PD58"/>
  <c r="PD59"/>
  <c r="PD60"/>
  <c r="PD61"/>
  <c r="PD62"/>
  <c r="PD63"/>
  <c r="PD64"/>
  <c r="PD65"/>
  <c r="PD66"/>
  <c r="PD67"/>
  <c r="PD68"/>
  <c r="PD69"/>
  <c r="PD70"/>
  <c r="PD71"/>
  <c r="PD72"/>
  <c r="PD73"/>
  <c r="PD74"/>
  <c r="PD75"/>
  <c r="PD25"/>
  <c r="OZ26"/>
  <c r="OZ27"/>
  <c r="OZ28"/>
  <c r="OZ29"/>
  <c r="OZ30"/>
  <c r="OZ31"/>
  <c r="OZ32"/>
  <c r="OZ33"/>
  <c r="OZ34"/>
  <c r="OZ35"/>
  <c r="OZ36"/>
  <c r="OZ37"/>
  <c r="OZ38"/>
  <c r="OZ39"/>
  <c r="OZ40"/>
  <c r="OZ41"/>
  <c r="OZ42"/>
  <c r="OZ43"/>
  <c r="OZ44"/>
  <c r="OZ45"/>
  <c r="OZ46"/>
  <c r="OZ47"/>
  <c r="OZ48"/>
  <c r="OZ49"/>
  <c r="OZ50"/>
  <c r="OZ51"/>
  <c r="OZ52"/>
  <c r="OZ53"/>
  <c r="OZ54"/>
  <c r="OZ55"/>
  <c r="OZ56"/>
  <c r="OZ57"/>
  <c r="OZ58"/>
  <c r="OZ59"/>
  <c r="OZ60"/>
  <c r="OZ61"/>
  <c r="OZ62"/>
  <c r="OZ63"/>
  <c r="OZ64"/>
  <c r="OZ65"/>
  <c r="OZ66"/>
  <c r="OZ67"/>
  <c r="OZ68"/>
  <c r="OZ69"/>
  <c r="OZ70"/>
  <c r="OZ71"/>
  <c r="OZ72"/>
  <c r="OZ73"/>
  <c r="OZ74"/>
  <c r="OZ75"/>
  <c r="OZ25"/>
  <c r="OR26"/>
  <c r="OR27"/>
  <c r="OR28"/>
  <c r="OR29"/>
  <c r="OR30"/>
  <c r="OR31"/>
  <c r="OR32"/>
  <c r="OR33"/>
  <c r="OR34"/>
  <c r="OR35"/>
  <c r="OR36"/>
  <c r="OR37"/>
  <c r="OR38"/>
  <c r="OR39"/>
  <c r="OR40"/>
  <c r="OR41"/>
  <c r="OR42"/>
  <c r="OR43"/>
  <c r="OR44"/>
  <c r="OR45"/>
  <c r="OR46"/>
  <c r="OR47"/>
  <c r="OR48"/>
  <c r="OR49"/>
  <c r="OR50"/>
  <c r="OR51"/>
  <c r="OR52"/>
  <c r="OR53"/>
  <c r="OR54"/>
  <c r="OR55"/>
  <c r="OR56"/>
  <c r="OR57"/>
  <c r="OR58"/>
  <c r="OR59"/>
  <c r="OR60"/>
  <c r="OR61"/>
  <c r="OR62"/>
  <c r="OR63"/>
  <c r="OR64"/>
  <c r="OR65"/>
  <c r="OR66"/>
  <c r="OR67"/>
  <c r="OR68"/>
  <c r="OR69"/>
  <c r="OR70"/>
  <c r="OR71"/>
  <c r="OR72"/>
  <c r="OR73"/>
  <c r="OR74"/>
  <c r="OR75"/>
  <c r="OR25"/>
  <c r="OJ26"/>
  <c r="OJ27"/>
  <c r="OJ28"/>
  <c r="OJ29"/>
  <c r="OJ30"/>
  <c r="OJ31"/>
  <c r="OJ32"/>
  <c r="OJ33"/>
  <c r="OJ34"/>
  <c r="OJ35"/>
  <c r="OJ36"/>
  <c r="OJ37"/>
  <c r="OJ38"/>
  <c r="OJ39"/>
  <c r="OJ40"/>
  <c r="OJ41"/>
  <c r="OJ42"/>
  <c r="OJ43"/>
  <c r="OJ44"/>
  <c r="OJ45"/>
  <c r="OJ46"/>
  <c r="OJ47"/>
  <c r="OJ48"/>
  <c r="OJ49"/>
  <c r="OJ50"/>
  <c r="OJ51"/>
  <c r="OJ52"/>
  <c r="OJ53"/>
  <c r="OJ54"/>
  <c r="OJ55"/>
  <c r="OJ56"/>
  <c r="OJ57"/>
  <c r="OJ58"/>
  <c r="OJ59"/>
  <c r="OJ60"/>
  <c r="OJ61"/>
  <c r="OJ62"/>
  <c r="OJ63"/>
  <c r="OJ64"/>
  <c r="OJ65"/>
  <c r="OJ66"/>
  <c r="OJ67"/>
  <c r="OJ68"/>
  <c r="OJ69"/>
  <c r="OJ70"/>
  <c r="OJ71"/>
  <c r="OJ72"/>
  <c r="OJ73"/>
  <c r="OJ74"/>
  <c r="OJ75"/>
  <c r="OJ25"/>
  <c r="OB26"/>
  <c r="OB27"/>
  <c r="OB28"/>
  <c r="OB29"/>
  <c r="OB30"/>
  <c r="OB31"/>
  <c r="OB32"/>
  <c r="OB33"/>
  <c r="OB34"/>
  <c r="OB35"/>
  <c r="OB36"/>
  <c r="OB37"/>
  <c r="OB38"/>
  <c r="OB39"/>
  <c r="OB40"/>
  <c r="OB41"/>
  <c r="OB42"/>
  <c r="OB43"/>
  <c r="OB44"/>
  <c r="OB45"/>
  <c r="OB46"/>
  <c r="OB47"/>
  <c r="OB48"/>
  <c r="OB49"/>
  <c r="OB50"/>
  <c r="OB51"/>
  <c r="OB52"/>
  <c r="OB53"/>
  <c r="OB54"/>
  <c r="OB55"/>
  <c r="OB56"/>
  <c r="OB57"/>
  <c r="OB58"/>
  <c r="OB59"/>
  <c r="OB60"/>
  <c r="OB61"/>
  <c r="OB62"/>
  <c r="OB63"/>
  <c r="OB64"/>
  <c r="OB65"/>
  <c r="OB66"/>
  <c r="OB67"/>
  <c r="OB68"/>
  <c r="OB69"/>
  <c r="OB70"/>
  <c r="OB71"/>
  <c r="OB72"/>
  <c r="OB73"/>
  <c r="OB74"/>
  <c r="OB75"/>
  <c r="OB25"/>
  <c r="NT26"/>
  <c r="NT27"/>
  <c r="NT28"/>
  <c r="NT29"/>
  <c r="NT30"/>
  <c r="NT31"/>
  <c r="NT32"/>
  <c r="NT33"/>
  <c r="NT34"/>
  <c r="NT35"/>
  <c r="NT36"/>
  <c r="NT37"/>
  <c r="NT38"/>
  <c r="NT39"/>
  <c r="NT40"/>
  <c r="NT41"/>
  <c r="NT42"/>
  <c r="NT43"/>
  <c r="NT44"/>
  <c r="NT45"/>
  <c r="NT46"/>
  <c r="NT47"/>
  <c r="NT48"/>
  <c r="NT49"/>
  <c r="NT50"/>
  <c r="NT51"/>
  <c r="NT52"/>
  <c r="NT53"/>
  <c r="NT54"/>
  <c r="NT55"/>
  <c r="NT56"/>
  <c r="NT57"/>
  <c r="NT58"/>
  <c r="NT59"/>
  <c r="NT60"/>
  <c r="NT61"/>
  <c r="NT62"/>
  <c r="NT63"/>
  <c r="NT64"/>
  <c r="NT65"/>
  <c r="NT66"/>
  <c r="NT67"/>
  <c r="NT68"/>
  <c r="NT69"/>
  <c r="NT70"/>
  <c r="NT71"/>
  <c r="NT72"/>
  <c r="NT73"/>
  <c r="NT74"/>
  <c r="NT75"/>
  <c r="NT25"/>
  <c r="NL26"/>
  <c r="NL27"/>
  <c r="NL28"/>
  <c r="NL29"/>
  <c r="NL30"/>
  <c r="NL31"/>
  <c r="NL32"/>
  <c r="NL33"/>
  <c r="NL34"/>
  <c r="NL35"/>
  <c r="NL36"/>
  <c r="NL37"/>
  <c r="NL38"/>
  <c r="NL39"/>
  <c r="NL40"/>
  <c r="NL41"/>
  <c r="NL42"/>
  <c r="NL43"/>
  <c r="NL44"/>
  <c r="NL45"/>
  <c r="NL46"/>
  <c r="NL47"/>
  <c r="NL48"/>
  <c r="NL49"/>
  <c r="NL50"/>
  <c r="NL51"/>
  <c r="NL52"/>
  <c r="NL53"/>
  <c r="NL54"/>
  <c r="NL55"/>
  <c r="NL56"/>
  <c r="NL57"/>
  <c r="NL58"/>
  <c r="NL59"/>
  <c r="NL60"/>
  <c r="NL61"/>
  <c r="NL62"/>
  <c r="NL63"/>
  <c r="NL64"/>
  <c r="NL65"/>
  <c r="NL66"/>
  <c r="NL67"/>
  <c r="NL68"/>
  <c r="NL69"/>
  <c r="NL70"/>
  <c r="NL71"/>
  <c r="NL72"/>
  <c r="NL73"/>
  <c r="NL74"/>
  <c r="NL75"/>
  <c r="NL25"/>
  <c r="ND26"/>
  <c r="ND27"/>
  <c r="ND28"/>
  <c r="ND29"/>
  <c r="ND30"/>
  <c r="ND31"/>
  <c r="ND32"/>
  <c r="ND33"/>
  <c r="ND34"/>
  <c r="ND35"/>
  <c r="ND36"/>
  <c r="ND37"/>
  <c r="ND38"/>
  <c r="ND39"/>
  <c r="ND40"/>
  <c r="ND41"/>
  <c r="ND42"/>
  <c r="ND43"/>
  <c r="ND44"/>
  <c r="ND45"/>
  <c r="ND46"/>
  <c r="ND47"/>
  <c r="ND48"/>
  <c r="ND49"/>
  <c r="ND50"/>
  <c r="ND51"/>
  <c r="ND52"/>
  <c r="ND53"/>
  <c r="ND54"/>
  <c r="ND55"/>
  <c r="ND56"/>
  <c r="ND57"/>
  <c r="ND58"/>
  <c r="ND59"/>
  <c r="ND60"/>
  <c r="ND61"/>
  <c r="ND62"/>
  <c r="ND63"/>
  <c r="ND64"/>
  <c r="ND65"/>
  <c r="ND66"/>
  <c r="ND67"/>
  <c r="ND68"/>
  <c r="ND69"/>
  <c r="ND70"/>
  <c r="ND71"/>
  <c r="ND72"/>
  <c r="ND73"/>
  <c r="ND74"/>
  <c r="ND75"/>
  <c r="ND25"/>
  <c r="MZ75"/>
  <c r="MZ26"/>
  <c r="MZ27"/>
  <c r="MZ28"/>
  <c r="MZ29"/>
  <c r="MZ30"/>
  <c r="MZ31"/>
  <c r="MZ32"/>
  <c r="MZ33"/>
  <c r="MZ34"/>
  <c r="MZ35"/>
  <c r="MZ36"/>
  <c r="MZ37"/>
  <c r="MZ38"/>
  <c r="MZ39"/>
  <c r="MZ40"/>
  <c r="MZ41"/>
  <c r="MZ42"/>
  <c r="MZ43"/>
  <c r="MZ44"/>
  <c r="MZ45"/>
  <c r="MZ46"/>
  <c r="MZ47"/>
  <c r="MZ48"/>
  <c r="MZ49"/>
  <c r="MZ50"/>
  <c r="MZ51"/>
  <c r="MZ52"/>
  <c r="MZ53"/>
  <c r="MZ54"/>
  <c r="MZ55"/>
  <c r="MZ56"/>
  <c r="MZ57"/>
  <c r="MZ58"/>
  <c r="MZ59"/>
  <c r="MZ60"/>
  <c r="MZ61"/>
  <c r="MZ62"/>
  <c r="MZ63"/>
  <c r="MZ64"/>
  <c r="MZ65"/>
  <c r="MZ66"/>
  <c r="MZ67"/>
  <c r="MZ68"/>
  <c r="MZ69"/>
  <c r="MZ70"/>
  <c r="MZ71"/>
  <c r="MZ72"/>
  <c r="MZ73"/>
  <c r="MZ74"/>
  <c r="MZ25"/>
  <c r="MR26"/>
  <c r="MR27"/>
  <c r="MR28"/>
  <c r="MR29"/>
  <c r="MR30"/>
  <c r="MR31"/>
  <c r="MR32"/>
  <c r="MR33"/>
  <c r="MR34"/>
  <c r="MR35"/>
  <c r="MR36"/>
  <c r="MR37"/>
  <c r="MR38"/>
  <c r="MR39"/>
  <c r="MR40"/>
  <c r="MR41"/>
  <c r="MR42"/>
  <c r="MR43"/>
  <c r="MR44"/>
  <c r="MR45"/>
  <c r="MR46"/>
  <c r="MR47"/>
  <c r="MR48"/>
  <c r="MR49"/>
  <c r="MR50"/>
  <c r="MR51"/>
  <c r="MR52"/>
  <c r="MR53"/>
  <c r="MR54"/>
  <c r="MR55"/>
  <c r="MR56"/>
  <c r="MR57"/>
  <c r="MR58"/>
  <c r="MR59"/>
  <c r="MR60"/>
  <c r="MR61"/>
  <c r="MR62"/>
  <c r="MR63"/>
  <c r="MR64"/>
  <c r="MR65"/>
  <c r="MR66"/>
  <c r="MR67"/>
  <c r="MR68"/>
  <c r="MR69"/>
  <c r="MR70"/>
  <c r="MR71"/>
  <c r="MR72"/>
  <c r="MR73"/>
  <c r="MR74"/>
  <c r="MR75"/>
  <c r="MR25"/>
  <c r="MJ26"/>
  <c r="MJ27"/>
  <c r="MJ28"/>
  <c r="MJ29"/>
  <c r="MJ30"/>
  <c r="MJ31"/>
  <c r="MJ32"/>
  <c r="MJ33"/>
  <c r="MJ34"/>
  <c r="MJ35"/>
  <c r="MJ36"/>
  <c r="MJ37"/>
  <c r="MJ38"/>
  <c r="MJ39"/>
  <c r="MJ40"/>
  <c r="MJ41"/>
  <c r="MJ42"/>
  <c r="MJ43"/>
  <c r="MJ44"/>
  <c r="MJ45"/>
  <c r="MJ46"/>
  <c r="MJ47"/>
  <c r="MJ48"/>
  <c r="MJ49"/>
  <c r="MJ50"/>
  <c r="MJ51"/>
  <c r="MJ52"/>
  <c r="MJ53"/>
  <c r="MJ54"/>
  <c r="MJ55"/>
  <c r="MJ56"/>
  <c r="MJ57"/>
  <c r="MJ58"/>
  <c r="MJ59"/>
  <c r="MJ60"/>
  <c r="MJ61"/>
  <c r="MJ62"/>
  <c r="MJ63"/>
  <c r="MJ64"/>
  <c r="MJ65"/>
  <c r="MJ66"/>
  <c r="MJ67"/>
  <c r="MJ68"/>
  <c r="MJ69"/>
  <c r="MJ70"/>
  <c r="MJ71"/>
  <c r="MJ72"/>
  <c r="MJ73"/>
  <c r="MJ74"/>
  <c r="MJ75"/>
  <c r="MJ25"/>
  <c r="MB26"/>
  <c r="MB27"/>
  <c r="MB28"/>
  <c r="MB29"/>
  <c r="MB30"/>
  <c r="MB31"/>
  <c r="MB32"/>
  <c r="MB33"/>
  <c r="MB34"/>
  <c r="MB35"/>
  <c r="MB36"/>
  <c r="MB37"/>
  <c r="MB38"/>
  <c r="MB39"/>
  <c r="MB40"/>
  <c r="MB41"/>
  <c r="MB42"/>
  <c r="MB43"/>
  <c r="MB44"/>
  <c r="MB45"/>
  <c r="MB46"/>
  <c r="MB47"/>
  <c r="MB48"/>
  <c r="MB49"/>
  <c r="MB50"/>
  <c r="MB51"/>
  <c r="MB52"/>
  <c r="MB53"/>
  <c r="MB54"/>
  <c r="MB55"/>
  <c r="MB56"/>
  <c r="MB57"/>
  <c r="MB58"/>
  <c r="MB59"/>
  <c r="MB60"/>
  <c r="MB61"/>
  <c r="MB62"/>
  <c r="MB63"/>
  <c r="MB64"/>
  <c r="MB65"/>
  <c r="MB66"/>
  <c r="MB67"/>
  <c r="MB68"/>
  <c r="MB69"/>
  <c r="MB70"/>
  <c r="MB71"/>
  <c r="MB72"/>
  <c r="MB73"/>
  <c r="MB74"/>
  <c r="MB75"/>
  <c r="MB25"/>
  <c r="LT75"/>
  <c r="LT26"/>
  <c r="LT27"/>
  <c r="LT28"/>
  <c r="LT29"/>
  <c r="LT30"/>
  <c r="LT31"/>
  <c r="LT32"/>
  <c r="LT33"/>
  <c r="LT34"/>
  <c r="LT35"/>
  <c r="LT36"/>
  <c r="LT37"/>
  <c r="LT38"/>
  <c r="LT39"/>
  <c r="LT40"/>
  <c r="LT41"/>
  <c r="LT42"/>
  <c r="LT43"/>
  <c r="LT44"/>
  <c r="LT45"/>
  <c r="LT46"/>
  <c r="LT47"/>
  <c r="LT48"/>
  <c r="LT49"/>
  <c r="LT50"/>
  <c r="LT51"/>
  <c r="LT52"/>
  <c r="LT53"/>
  <c r="LT54"/>
  <c r="LT55"/>
  <c r="LT56"/>
  <c r="LT57"/>
  <c r="LT58"/>
  <c r="LT59"/>
  <c r="LT60"/>
  <c r="LT61"/>
  <c r="LT62"/>
  <c r="LT63"/>
  <c r="LT64"/>
  <c r="LT65"/>
  <c r="LT66"/>
  <c r="LT67"/>
  <c r="LT68"/>
  <c r="LT69"/>
  <c r="LT70"/>
  <c r="LT71"/>
  <c r="LT72"/>
  <c r="LT73"/>
  <c r="LT74"/>
  <c r="LT25"/>
  <c r="LP26"/>
  <c r="LP27"/>
  <c r="LP28"/>
  <c r="LP29"/>
  <c r="LP30"/>
  <c r="LP31"/>
  <c r="LP32"/>
  <c r="LP33"/>
  <c r="LP34"/>
  <c r="LP35"/>
  <c r="LP36"/>
  <c r="LP37"/>
  <c r="LP38"/>
  <c r="LP39"/>
  <c r="LP40"/>
  <c r="LP41"/>
  <c r="LP42"/>
  <c r="LP43"/>
  <c r="LP44"/>
  <c r="LP45"/>
  <c r="LP46"/>
  <c r="LP47"/>
  <c r="LP48"/>
  <c r="LP49"/>
  <c r="LP50"/>
  <c r="LP51"/>
  <c r="LP52"/>
  <c r="LP53"/>
  <c r="LP54"/>
  <c r="LP55"/>
  <c r="LP56"/>
  <c r="LP57"/>
  <c r="LP58"/>
  <c r="LP59"/>
  <c r="LP60"/>
  <c r="LP61"/>
  <c r="LP62"/>
  <c r="LP63"/>
  <c r="LP64"/>
  <c r="LP65"/>
  <c r="LP66"/>
  <c r="LP67"/>
  <c r="LP68"/>
  <c r="LP69"/>
  <c r="LP70"/>
  <c r="LP71"/>
  <c r="LP72"/>
  <c r="LP73"/>
  <c r="LP74"/>
  <c r="LP75"/>
  <c r="LP25"/>
  <c r="LH26"/>
  <c r="LH27"/>
  <c r="LH28"/>
  <c r="LH29"/>
  <c r="LH30"/>
  <c r="LH31"/>
  <c r="LH32"/>
  <c r="LH33"/>
  <c r="LH34"/>
  <c r="LH35"/>
  <c r="LH36"/>
  <c r="LH37"/>
  <c r="LH38"/>
  <c r="LH39"/>
  <c r="LH40"/>
  <c r="LH41"/>
  <c r="LH42"/>
  <c r="LH43"/>
  <c r="LH44"/>
  <c r="LH45"/>
  <c r="LH46"/>
  <c r="LH47"/>
  <c r="LH48"/>
  <c r="LH49"/>
  <c r="LH50"/>
  <c r="LH51"/>
  <c r="LH52"/>
  <c r="LH53"/>
  <c r="LH54"/>
  <c r="LH55"/>
  <c r="LH56"/>
  <c r="LH57"/>
  <c r="LH58"/>
  <c r="LH59"/>
  <c r="LH60"/>
  <c r="LH61"/>
  <c r="LH62"/>
  <c r="LH63"/>
  <c r="LH64"/>
  <c r="LH65"/>
  <c r="LH66"/>
  <c r="LH67"/>
  <c r="LH68"/>
  <c r="LH69"/>
  <c r="LH70"/>
  <c r="LH71"/>
  <c r="LH72"/>
  <c r="LH73"/>
  <c r="LH74"/>
  <c r="LH75"/>
  <c r="LH25"/>
  <c r="KZ26"/>
  <c r="KZ27"/>
  <c r="KZ28"/>
  <c r="KZ29"/>
  <c r="KZ30"/>
  <c r="KZ31"/>
  <c r="KZ32"/>
  <c r="KZ33"/>
  <c r="KZ34"/>
  <c r="KZ35"/>
  <c r="KZ36"/>
  <c r="KZ37"/>
  <c r="KZ38"/>
  <c r="KZ39"/>
  <c r="KZ40"/>
  <c r="KZ41"/>
  <c r="KZ42"/>
  <c r="KZ43"/>
  <c r="KZ44"/>
  <c r="KZ45"/>
  <c r="KZ46"/>
  <c r="KZ47"/>
  <c r="KZ48"/>
  <c r="KZ49"/>
  <c r="KZ50"/>
  <c r="KZ51"/>
  <c r="KZ52"/>
  <c r="KZ53"/>
  <c r="KZ54"/>
  <c r="KZ55"/>
  <c r="KZ56"/>
  <c r="KZ57"/>
  <c r="KZ58"/>
  <c r="KZ59"/>
  <c r="KZ60"/>
  <c r="KZ61"/>
  <c r="KZ62"/>
  <c r="KZ63"/>
  <c r="KZ64"/>
  <c r="KZ65"/>
  <c r="KZ66"/>
  <c r="KZ67"/>
  <c r="KZ68"/>
  <c r="KZ69"/>
  <c r="KZ70"/>
  <c r="KZ71"/>
  <c r="KZ72"/>
  <c r="KZ73"/>
  <c r="KZ74"/>
  <c r="KZ25"/>
  <c r="KR26"/>
  <c r="KR27"/>
  <c r="KR28"/>
  <c r="KR29"/>
  <c r="KR30"/>
  <c r="KR31"/>
  <c r="KR32"/>
  <c r="KR33"/>
  <c r="KR34"/>
  <c r="KR35"/>
  <c r="KR36"/>
  <c r="KR37"/>
  <c r="KR38"/>
  <c r="KR39"/>
  <c r="KR40"/>
  <c r="KR41"/>
  <c r="KR42"/>
  <c r="KR43"/>
  <c r="KR44"/>
  <c r="KR45"/>
  <c r="KR46"/>
  <c r="KR47"/>
  <c r="KR48"/>
  <c r="KR49"/>
  <c r="KR50"/>
  <c r="KR51"/>
  <c r="KR52"/>
  <c r="KR53"/>
  <c r="KR54"/>
  <c r="KR55"/>
  <c r="KR56"/>
  <c r="KR57"/>
  <c r="KR58"/>
  <c r="KR59"/>
  <c r="KR60"/>
  <c r="KR61"/>
  <c r="KR62"/>
  <c r="KR63"/>
  <c r="KR64"/>
  <c r="KR65"/>
  <c r="KR66"/>
  <c r="KR67"/>
  <c r="KR68"/>
  <c r="KR69"/>
  <c r="KR70"/>
  <c r="KR71"/>
  <c r="KR72"/>
  <c r="KR73"/>
  <c r="KR74"/>
  <c r="KR75"/>
  <c r="KR25"/>
  <c r="KJ26"/>
  <c r="KJ27"/>
  <c r="KJ28"/>
  <c r="KJ29"/>
  <c r="KJ30"/>
  <c r="KJ31"/>
  <c r="KJ32"/>
  <c r="KJ33"/>
  <c r="KJ34"/>
  <c r="KJ35"/>
  <c r="KJ36"/>
  <c r="KJ37"/>
  <c r="KJ38"/>
  <c r="KJ39"/>
  <c r="KJ40"/>
  <c r="KJ41"/>
  <c r="KJ42"/>
  <c r="KJ43"/>
  <c r="KJ44"/>
  <c r="KJ45"/>
  <c r="KJ46"/>
  <c r="KJ47"/>
  <c r="KJ48"/>
  <c r="KJ49"/>
  <c r="KJ50"/>
  <c r="KJ51"/>
  <c r="KJ52"/>
  <c r="KJ53"/>
  <c r="KJ54"/>
  <c r="KJ55"/>
  <c r="KJ56"/>
  <c r="KJ57"/>
  <c r="KJ58"/>
  <c r="KJ59"/>
  <c r="KJ60"/>
  <c r="KJ61"/>
  <c r="KJ62"/>
  <c r="KJ63"/>
  <c r="KJ64"/>
  <c r="KJ65"/>
  <c r="KJ66"/>
  <c r="KJ67"/>
  <c r="KJ68"/>
  <c r="KJ69"/>
  <c r="KJ70"/>
  <c r="KJ71"/>
  <c r="KJ72"/>
  <c r="KJ73"/>
  <c r="KJ74"/>
  <c r="KJ75"/>
  <c r="KJ25"/>
  <c r="KB26"/>
  <c r="KB27"/>
  <c r="KB28"/>
  <c r="KB29"/>
  <c r="KB30"/>
  <c r="KB31"/>
  <c r="KB32"/>
  <c r="KB33"/>
  <c r="KB34"/>
  <c r="KB35"/>
  <c r="KB36"/>
  <c r="KB37"/>
  <c r="KB38"/>
  <c r="KB39"/>
  <c r="KB40"/>
  <c r="KB41"/>
  <c r="KB42"/>
  <c r="KB43"/>
  <c r="KB44"/>
  <c r="KB45"/>
  <c r="KB46"/>
  <c r="KB47"/>
  <c r="KB48"/>
  <c r="KB49"/>
  <c r="KB50"/>
  <c r="KB51"/>
  <c r="KB52"/>
  <c r="KB53"/>
  <c r="KB54"/>
  <c r="KB55"/>
  <c r="KB56"/>
  <c r="KB57"/>
  <c r="KB58"/>
  <c r="KB59"/>
  <c r="KB60"/>
  <c r="KB61"/>
  <c r="KB62"/>
  <c r="KB63"/>
  <c r="KB64"/>
  <c r="KB65"/>
  <c r="KB66"/>
  <c r="KB67"/>
  <c r="KB68"/>
  <c r="KB69"/>
  <c r="KB70"/>
  <c r="KB71"/>
  <c r="KB72"/>
  <c r="KB73"/>
  <c r="KB74"/>
  <c r="KB75"/>
  <c r="KB25"/>
  <c r="JT26"/>
  <c r="JT27"/>
  <c r="JT28"/>
  <c r="JT29"/>
  <c r="JT30"/>
  <c r="JT31"/>
  <c r="JT32"/>
  <c r="JT33"/>
  <c r="JT34"/>
  <c r="JT35"/>
  <c r="JT36"/>
  <c r="JT37"/>
  <c r="JT38"/>
  <c r="JT39"/>
  <c r="JT40"/>
  <c r="JT41"/>
  <c r="JT42"/>
  <c r="JT43"/>
  <c r="JT44"/>
  <c r="JT45"/>
  <c r="JT46"/>
  <c r="JT47"/>
  <c r="JT48"/>
  <c r="JT49"/>
  <c r="JT50"/>
  <c r="JT51"/>
  <c r="JT52"/>
  <c r="JT53"/>
  <c r="JT54"/>
  <c r="JT55"/>
  <c r="JT56"/>
  <c r="JT57"/>
  <c r="JT58"/>
  <c r="JT59"/>
  <c r="JT60"/>
  <c r="JT61"/>
  <c r="JT62"/>
  <c r="JT63"/>
  <c r="JT64"/>
  <c r="JT65"/>
  <c r="JT66"/>
  <c r="JT67"/>
  <c r="JT68"/>
  <c r="JT69"/>
  <c r="JT70"/>
  <c r="JT71"/>
  <c r="JT72"/>
  <c r="JT73"/>
  <c r="JT74"/>
  <c r="JT75"/>
  <c r="JT25"/>
  <c r="JL26"/>
  <c r="JL27"/>
  <c r="JL28"/>
  <c r="JL29"/>
  <c r="JL30"/>
  <c r="JL31"/>
  <c r="JL32"/>
  <c r="JL33"/>
  <c r="JL34"/>
  <c r="JL35"/>
  <c r="JL36"/>
  <c r="JL37"/>
  <c r="JL38"/>
  <c r="JL39"/>
  <c r="JL40"/>
  <c r="JL41"/>
  <c r="JL42"/>
  <c r="JL43"/>
  <c r="JL44"/>
  <c r="JL45"/>
  <c r="JL46"/>
  <c r="JL47"/>
  <c r="JL48"/>
  <c r="JL49"/>
  <c r="JL50"/>
  <c r="JL51"/>
  <c r="JL52"/>
  <c r="JL53"/>
  <c r="JL54"/>
  <c r="JL55"/>
  <c r="JL56"/>
  <c r="JL57"/>
  <c r="JL58"/>
  <c r="JL59"/>
  <c r="JL60"/>
  <c r="JL61"/>
  <c r="JL62"/>
  <c r="JL63"/>
  <c r="JL64"/>
  <c r="JL65"/>
  <c r="JL66"/>
  <c r="JL67"/>
  <c r="JL68"/>
  <c r="JL69"/>
  <c r="JL70"/>
  <c r="JL71"/>
  <c r="JL72"/>
  <c r="JL73"/>
  <c r="JL74"/>
  <c r="JL75"/>
  <c r="JL25"/>
  <c r="JD26"/>
  <c r="JD27"/>
  <c r="JD28"/>
  <c r="JD29"/>
  <c r="JD30"/>
  <c r="JD31"/>
  <c r="JD32"/>
  <c r="JD33"/>
  <c r="JD34"/>
  <c r="JD35"/>
  <c r="JD36"/>
  <c r="JD37"/>
  <c r="JD38"/>
  <c r="JD39"/>
  <c r="JD40"/>
  <c r="JD41"/>
  <c r="JD42"/>
  <c r="JD43"/>
  <c r="JD44"/>
  <c r="JD45"/>
  <c r="JD46"/>
  <c r="JD47"/>
  <c r="JD48"/>
  <c r="JD49"/>
  <c r="JD50"/>
  <c r="JD51"/>
  <c r="JD52"/>
  <c r="JD53"/>
  <c r="JD54"/>
  <c r="JD55"/>
  <c r="JD56"/>
  <c r="JD57"/>
  <c r="JD58"/>
  <c r="JD59"/>
  <c r="JD60"/>
  <c r="JD61"/>
  <c r="JD62"/>
  <c r="JD63"/>
  <c r="JD64"/>
  <c r="JD65"/>
  <c r="JD66"/>
  <c r="JD67"/>
  <c r="JD68"/>
  <c r="JD69"/>
  <c r="JD70"/>
  <c r="JD71"/>
  <c r="JD72"/>
  <c r="JD73"/>
  <c r="JD74"/>
  <c r="JD75"/>
  <c r="JD25"/>
  <c r="IV26"/>
  <c r="IV27"/>
  <c r="IV28"/>
  <c r="IV29"/>
  <c r="IV30"/>
  <c r="IV31"/>
  <c r="IV32"/>
  <c r="IV33"/>
  <c r="IV34"/>
  <c r="IV35"/>
  <c r="IV36"/>
  <c r="IV37"/>
  <c r="IV38"/>
  <c r="IV39"/>
  <c r="IV40"/>
  <c r="IV41"/>
  <c r="IV42"/>
  <c r="IV43"/>
  <c r="IV44"/>
  <c r="IV45"/>
  <c r="IV46"/>
  <c r="IV47"/>
  <c r="IV48"/>
  <c r="IV49"/>
  <c r="IV50"/>
  <c r="IV51"/>
  <c r="IV52"/>
  <c r="IV53"/>
  <c r="IV54"/>
  <c r="IV55"/>
  <c r="IV56"/>
  <c r="IV57"/>
  <c r="IV58"/>
  <c r="IV59"/>
  <c r="IV60"/>
  <c r="IV61"/>
  <c r="IV62"/>
  <c r="IV63"/>
  <c r="IV64"/>
  <c r="IV65"/>
  <c r="IV66"/>
  <c r="IV67"/>
  <c r="IV68"/>
  <c r="IV69"/>
  <c r="IV70"/>
  <c r="IV71"/>
  <c r="IV72"/>
  <c r="IV73"/>
  <c r="IV74"/>
  <c r="IV75"/>
  <c r="IV25"/>
  <c r="IN26"/>
  <c r="IN27"/>
  <c r="IN28"/>
  <c r="IN29"/>
  <c r="IN30"/>
  <c r="IN31"/>
  <c r="IN32"/>
  <c r="IN33"/>
  <c r="IN34"/>
  <c r="IN35"/>
  <c r="IN36"/>
  <c r="IN37"/>
  <c r="IN38"/>
  <c r="IN39"/>
  <c r="IN40"/>
  <c r="IN41"/>
  <c r="IN42"/>
  <c r="IN43"/>
  <c r="IN44"/>
  <c r="IN45"/>
  <c r="IN46"/>
  <c r="IN47"/>
  <c r="IN48"/>
  <c r="IN49"/>
  <c r="IN50"/>
  <c r="IN51"/>
  <c r="IN52"/>
  <c r="IN53"/>
  <c r="IN54"/>
  <c r="IN55"/>
  <c r="IN56"/>
  <c r="IN57"/>
  <c r="IN58"/>
  <c r="IN59"/>
  <c r="IN60"/>
  <c r="IN61"/>
  <c r="IN62"/>
  <c r="IN63"/>
  <c r="IN64"/>
  <c r="IN65"/>
  <c r="IN66"/>
  <c r="IN67"/>
  <c r="IN68"/>
  <c r="IN69"/>
  <c r="IN70"/>
  <c r="IN71"/>
  <c r="IN72"/>
  <c r="IN73"/>
  <c r="IN74"/>
  <c r="IN75"/>
  <c r="IN25"/>
  <c r="IF26"/>
  <c r="IF27"/>
  <c r="IF28"/>
  <c r="IF29"/>
  <c r="IF30"/>
  <c r="IF31"/>
  <c r="IF32"/>
  <c r="IF33"/>
  <c r="IF34"/>
  <c r="IF35"/>
  <c r="IF36"/>
  <c r="IF37"/>
  <c r="IF38"/>
  <c r="IF39"/>
  <c r="IF40"/>
  <c r="IF41"/>
  <c r="IF42"/>
  <c r="IF43"/>
  <c r="IF44"/>
  <c r="IF45"/>
  <c r="IF46"/>
  <c r="IF47"/>
  <c r="IF48"/>
  <c r="IF49"/>
  <c r="IF50"/>
  <c r="IF51"/>
  <c r="IF52"/>
  <c r="IF53"/>
  <c r="IF54"/>
  <c r="IF55"/>
  <c r="IF56"/>
  <c r="IF57"/>
  <c r="IF58"/>
  <c r="IF59"/>
  <c r="IF60"/>
  <c r="IF61"/>
  <c r="IF62"/>
  <c r="IF63"/>
  <c r="IF64"/>
  <c r="IF65"/>
  <c r="IF66"/>
  <c r="IF67"/>
  <c r="IF68"/>
  <c r="IF69"/>
  <c r="IF70"/>
  <c r="IF71"/>
  <c r="IF72"/>
  <c r="IF73"/>
  <c r="IF74"/>
  <c r="IF75"/>
  <c r="IF25"/>
  <c r="HX26"/>
  <c r="HX27"/>
  <c r="HX28"/>
  <c r="HX29"/>
  <c r="HX30"/>
  <c r="HX31"/>
  <c r="HX32"/>
  <c r="HX33"/>
  <c r="HX34"/>
  <c r="HX35"/>
  <c r="HX36"/>
  <c r="HX37"/>
  <c r="HX38"/>
  <c r="HX39"/>
  <c r="HX40"/>
  <c r="HX41"/>
  <c r="HX42"/>
  <c r="HX43"/>
  <c r="HX44"/>
  <c r="HX45"/>
  <c r="HX46"/>
  <c r="HX47"/>
  <c r="HX48"/>
  <c r="HX49"/>
  <c r="HX50"/>
  <c r="HX51"/>
  <c r="HX52"/>
  <c r="HX53"/>
  <c r="HX54"/>
  <c r="HX55"/>
  <c r="HX56"/>
  <c r="HX57"/>
  <c r="HX58"/>
  <c r="HX59"/>
  <c r="HX60"/>
  <c r="HX61"/>
  <c r="HX62"/>
  <c r="HX63"/>
  <c r="HX64"/>
  <c r="HX65"/>
  <c r="HX66"/>
  <c r="HX67"/>
  <c r="HX68"/>
  <c r="HX69"/>
  <c r="HX70"/>
  <c r="HX71"/>
  <c r="HX72"/>
  <c r="HX73"/>
  <c r="HX74"/>
  <c r="HX75"/>
  <c r="HX25"/>
  <c r="HP26"/>
  <c r="HP27"/>
  <c r="HP28"/>
  <c r="HP29"/>
  <c r="HP30"/>
  <c r="HP31"/>
  <c r="HP32"/>
  <c r="HP33"/>
  <c r="HP34"/>
  <c r="HP35"/>
  <c r="HP36"/>
  <c r="HP37"/>
  <c r="HP38"/>
  <c r="HP39"/>
  <c r="HP40"/>
  <c r="HP41"/>
  <c r="HP42"/>
  <c r="HP43"/>
  <c r="HP44"/>
  <c r="HP45"/>
  <c r="HP46"/>
  <c r="HP47"/>
  <c r="HP48"/>
  <c r="HP49"/>
  <c r="HP50"/>
  <c r="HP51"/>
  <c r="HP52"/>
  <c r="HP53"/>
  <c r="HP54"/>
  <c r="HP55"/>
  <c r="HP56"/>
  <c r="HP57"/>
  <c r="HP58"/>
  <c r="HP59"/>
  <c r="HP60"/>
  <c r="HP61"/>
  <c r="HP62"/>
  <c r="HP63"/>
  <c r="HP64"/>
  <c r="HP65"/>
  <c r="HP66"/>
  <c r="HP67"/>
  <c r="HP68"/>
  <c r="HP69"/>
  <c r="HP70"/>
  <c r="HP71"/>
  <c r="HP72"/>
  <c r="HP73"/>
  <c r="HP74"/>
  <c r="HP75"/>
  <c r="HP25"/>
  <c r="HH26"/>
  <c r="HH27"/>
  <c r="HH28"/>
  <c r="HH29"/>
  <c r="HH30"/>
  <c r="HH31"/>
  <c r="HH32"/>
  <c r="HH33"/>
  <c r="HH34"/>
  <c r="HH35"/>
  <c r="HH36"/>
  <c r="HH37"/>
  <c r="HH38"/>
  <c r="HH39"/>
  <c r="HH40"/>
  <c r="HH41"/>
  <c r="HH42"/>
  <c r="HH43"/>
  <c r="HH44"/>
  <c r="HH45"/>
  <c r="HH46"/>
  <c r="HH47"/>
  <c r="HH48"/>
  <c r="HH49"/>
  <c r="HH50"/>
  <c r="HH51"/>
  <c r="HH52"/>
  <c r="HH53"/>
  <c r="HH54"/>
  <c r="HH55"/>
  <c r="HH56"/>
  <c r="HH57"/>
  <c r="HH58"/>
  <c r="HH59"/>
  <c r="HH60"/>
  <c r="HH61"/>
  <c r="HH62"/>
  <c r="HH63"/>
  <c r="HH64"/>
  <c r="HH65"/>
  <c r="HH66"/>
  <c r="HH67"/>
  <c r="HH68"/>
  <c r="HH69"/>
  <c r="HH70"/>
  <c r="HH71"/>
  <c r="HH72"/>
  <c r="HH73"/>
  <c r="HH74"/>
  <c r="HH75"/>
  <c r="HH25"/>
  <c r="GZ26"/>
  <c r="GZ27"/>
  <c r="GZ28"/>
  <c r="GZ29"/>
  <c r="GZ30"/>
  <c r="GZ31"/>
  <c r="GZ32"/>
  <c r="GZ33"/>
  <c r="GZ34"/>
  <c r="GZ35"/>
  <c r="GZ36"/>
  <c r="GZ37"/>
  <c r="GZ38"/>
  <c r="GZ39"/>
  <c r="GZ40"/>
  <c r="GZ41"/>
  <c r="GZ42"/>
  <c r="GZ43"/>
  <c r="GZ44"/>
  <c r="GZ45"/>
  <c r="GZ46"/>
  <c r="GZ47"/>
  <c r="GZ48"/>
  <c r="GZ49"/>
  <c r="GZ50"/>
  <c r="GZ51"/>
  <c r="GZ52"/>
  <c r="GZ53"/>
  <c r="GZ54"/>
  <c r="GZ55"/>
  <c r="GZ56"/>
  <c r="GZ57"/>
  <c r="GZ58"/>
  <c r="GZ59"/>
  <c r="GZ60"/>
  <c r="GZ61"/>
  <c r="GZ62"/>
  <c r="GZ63"/>
  <c r="GZ64"/>
  <c r="GZ65"/>
  <c r="GZ66"/>
  <c r="GZ67"/>
  <c r="GZ68"/>
  <c r="GZ69"/>
  <c r="GZ70"/>
  <c r="GZ71"/>
  <c r="GZ72"/>
  <c r="GZ73"/>
  <c r="GZ74"/>
  <c r="GZ75"/>
  <c r="GZ25"/>
  <c r="GR26"/>
  <c r="GR27"/>
  <c r="GR28"/>
  <c r="GR29"/>
  <c r="GR30"/>
  <c r="GR31"/>
  <c r="GR32"/>
  <c r="GR33"/>
  <c r="GR34"/>
  <c r="GR35"/>
  <c r="GR36"/>
  <c r="GR37"/>
  <c r="GR38"/>
  <c r="GR39"/>
  <c r="GR40"/>
  <c r="GR41"/>
  <c r="GR42"/>
  <c r="GR43"/>
  <c r="GR44"/>
  <c r="GR45"/>
  <c r="GR46"/>
  <c r="GR47"/>
  <c r="GR48"/>
  <c r="GR49"/>
  <c r="GR50"/>
  <c r="GR51"/>
  <c r="GR52"/>
  <c r="GR53"/>
  <c r="GR54"/>
  <c r="GR55"/>
  <c r="GR56"/>
  <c r="GR57"/>
  <c r="GR58"/>
  <c r="GR59"/>
  <c r="GR60"/>
  <c r="GR61"/>
  <c r="GR62"/>
  <c r="GR63"/>
  <c r="GR64"/>
  <c r="GR65"/>
  <c r="GR66"/>
  <c r="GR67"/>
  <c r="GR68"/>
  <c r="GR69"/>
  <c r="GR70"/>
  <c r="GR71"/>
  <c r="GR72"/>
  <c r="GR73"/>
  <c r="GR74"/>
  <c r="GR75"/>
  <c r="GR25"/>
  <c r="GJ26"/>
  <c r="GJ27"/>
  <c r="GJ28"/>
  <c r="GJ29"/>
  <c r="GJ30"/>
  <c r="GJ31"/>
  <c r="GJ32"/>
  <c r="GJ33"/>
  <c r="GJ34"/>
  <c r="GJ35"/>
  <c r="GJ36"/>
  <c r="GJ37"/>
  <c r="GJ38"/>
  <c r="GJ39"/>
  <c r="GJ40"/>
  <c r="GJ41"/>
  <c r="GJ42"/>
  <c r="GJ43"/>
  <c r="GJ44"/>
  <c r="GJ45"/>
  <c r="GJ46"/>
  <c r="GJ47"/>
  <c r="GJ48"/>
  <c r="GJ49"/>
  <c r="GJ50"/>
  <c r="GJ51"/>
  <c r="GJ52"/>
  <c r="GJ53"/>
  <c r="GJ54"/>
  <c r="GJ55"/>
  <c r="GJ56"/>
  <c r="GJ57"/>
  <c r="GJ58"/>
  <c r="GJ59"/>
  <c r="GJ60"/>
  <c r="GJ61"/>
  <c r="GJ62"/>
  <c r="GJ63"/>
  <c r="GJ64"/>
  <c r="GJ65"/>
  <c r="GJ66"/>
  <c r="GJ67"/>
  <c r="GJ68"/>
  <c r="GJ69"/>
  <c r="GJ70"/>
  <c r="GJ71"/>
  <c r="GJ72"/>
  <c r="GJ73"/>
  <c r="GJ74"/>
  <c r="GJ75"/>
  <c r="GJ25"/>
  <c r="GB26"/>
  <c r="GB27"/>
  <c r="GB28"/>
  <c r="GB29"/>
  <c r="GB30"/>
  <c r="GB31"/>
  <c r="GB32"/>
  <c r="GB33"/>
  <c r="GB34"/>
  <c r="GB35"/>
  <c r="GB36"/>
  <c r="GB37"/>
  <c r="GB38"/>
  <c r="GB39"/>
  <c r="GB40"/>
  <c r="GB41"/>
  <c r="GB43"/>
  <c r="GB44"/>
  <c r="GB45"/>
  <c r="GB46"/>
  <c r="GB47"/>
  <c r="GB48"/>
  <c r="GB49"/>
  <c r="GB50"/>
  <c r="GB51"/>
  <c r="GB52"/>
  <c r="GB53"/>
  <c r="GB54"/>
  <c r="GB55"/>
  <c r="GB56"/>
  <c r="GB57"/>
  <c r="GB58"/>
  <c r="GB59"/>
  <c r="GB60"/>
  <c r="GB61"/>
  <c r="GB62"/>
  <c r="GB63"/>
  <c r="GB64"/>
  <c r="GB65"/>
  <c r="GB66"/>
  <c r="GB67"/>
  <c r="GB68"/>
  <c r="GB69"/>
  <c r="GB70"/>
  <c r="GB71"/>
  <c r="GB72"/>
  <c r="GB73"/>
  <c r="GB74"/>
  <c r="GB75"/>
  <c r="GB25"/>
  <c r="FT26"/>
  <c r="FT27"/>
  <c r="FT28"/>
  <c r="FT29"/>
  <c r="FT30"/>
  <c r="FT31"/>
  <c r="FT32"/>
  <c r="FT33"/>
  <c r="FT34"/>
  <c r="FT35"/>
  <c r="FT36"/>
  <c r="FT37"/>
  <c r="FT38"/>
  <c r="FT39"/>
  <c r="FT40"/>
  <c r="FT41"/>
  <c r="FT42"/>
  <c r="FT43"/>
  <c r="FT44"/>
  <c r="FT45"/>
  <c r="FT46"/>
  <c r="FT47"/>
  <c r="FT48"/>
  <c r="FT49"/>
  <c r="FT50"/>
  <c r="FT51"/>
  <c r="FT52"/>
  <c r="FT53"/>
  <c r="FT54"/>
  <c r="FT55"/>
  <c r="FT56"/>
  <c r="FT57"/>
  <c r="FT58"/>
  <c r="FT59"/>
  <c r="FT60"/>
  <c r="FT61"/>
  <c r="FT62"/>
  <c r="FT63"/>
  <c r="FT64"/>
  <c r="FT65"/>
  <c r="FT66"/>
  <c r="FT67"/>
  <c r="FT68"/>
  <c r="FT69"/>
  <c r="FT70"/>
  <c r="FT71"/>
  <c r="FT72"/>
  <c r="FT73"/>
  <c r="FT74"/>
  <c r="FT75"/>
  <c r="FT25"/>
  <c r="FL26"/>
  <c r="FL27"/>
  <c r="FL28"/>
  <c r="FL29"/>
  <c r="FL30"/>
  <c r="FL31"/>
  <c r="FL32"/>
  <c r="FL33"/>
  <c r="FL34"/>
  <c r="FL35"/>
  <c r="FL36"/>
  <c r="FL37"/>
  <c r="FL38"/>
  <c r="FL39"/>
  <c r="FL40"/>
  <c r="FL41"/>
  <c r="FL42"/>
  <c r="FL43"/>
  <c r="FL44"/>
  <c r="FL45"/>
  <c r="FL46"/>
  <c r="FL47"/>
  <c r="FL48"/>
  <c r="FL49"/>
  <c r="FL50"/>
  <c r="FL51"/>
  <c r="FL52"/>
  <c r="FL53"/>
  <c r="FL54"/>
  <c r="FL55"/>
  <c r="FL56"/>
  <c r="FL57"/>
  <c r="FL58"/>
  <c r="FL59"/>
  <c r="FL60"/>
  <c r="FL61"/>
  <c r="FL62"/>
  <c r="FL63"/>
  <c r="FL64"/>
  <c r="FL65"/>
  <c r="FL66"/>
  <c r="FL67"/>
  <c r="FL68"/>
  <c r="FL69"/>
  <c r="FL70"/>
  <c r="FL71"/>
  <c r="FL72"/>
  <c r="FL73"/>
  <c r="FL74"/>
  <c r="FL75"/>
  <c r="FL25"/>
  <c r="FD26"/>
  <c r="FD27"/>
  <c r="FD28"/>
  <c r="FD29"/>
  <c r="FD30"/>
  <c r="FD31"/>
  <c r="FD32"/>
  <c r="FD33"/>
  <c r="FD34"/>
  <c r="FD35"/>
  <c r="FD36"/>
  <c r="FD37"/>
  <c r="FD38"/>
  <c r="FD39"/>
  <c r="FD40"/>
  <c r="FD41"/>
  <c r="FD42"/>
  <c r="FD43"/>
  <c r="FD44"/>
  <c r="FD45"/>
  <c r="FD46"/>
  <c r="FD47"/>
  <c r="FD48"/>
  <c r="FD49"/>
  <c r="FD50"/>
  <c r="FD51"/>
  <c r="FD52"/>
  <c r="FD53"/>
  <c r="FD54"/>
  <c r="FD55"/>
  <c r="FD56"/>
  <c r="FD57"/>
  <c r="FD58"/>
  <c r="FD59"/>
  <c r="FD60"/>
  <c r="FD61"/>
  <c r="FD62"/>
  <c r="FD63"/>
  <c r="FD64"/>
  <c r="FD65"/>
  <c r="FD66"/>
  <c r="FD67"/>
  <c r="FD68"/>
  <c r="FD69"/>
  <c r="FD70"/>
  <c r="FD71"/>
  <c r="FD72"/>
  <c r="FD73"/>
  <c r="FD74"/>
  <c r="FD75"/>
  <c r="FD25"/>
  <c r="EV26"/>
  <c r="EV27"/>
  <c r="EV28"/>
  <c r="EV29"/>
  <c r="EV30"/>
  <c r="EV31"/>
  <c r="EV32"/>
  <c r="EV33"/>
  <c r="EV34"/>
  <c r="EV35"/>
  <c r="EV36"/>
  <c r="EV37"/>
  <c r="EV38"/>
  <c r="EV39"/>
  <c r="EV40"/>
  <c r="EV41"/>
  <c r="EV42"/>
  <c r="EV43"/>
  <c r="EV44"/>
  <c r="EV45"/>
  <c r="EV46"/>
  <c r="EV47"/>
  <c r="EV48"/>
  <c r="EV49"/>
  <c r="EV50"/>
  <c r="EV51"/>
  <c r="EV52"/>
  <c r="EV53"/>
  <c r="EV54"/>
  <c r="EV55"/>
  <c r="EV56"/>
  <c r="EV57"/>
  <c r="EV58"/>
  <c r="EV59"/>
  <c r="EV60"/>
  <c r="EV61"/>
  <c r="EV62"/>
  <c r="EV63"/>
  <c r="EV64"/>
  <c r="EV65"/>
  <c r="EV66"/>
  <c r="EV67"/>
  <c r="EV68"/>
  <c r="EV69"/>
  <c r="EV70"/>
  <c r="EV71"/>
  <c r="EV72"/>
  <c r="EV73"/>
  <c r="EV74"/>
  <c r="EV75"/>
  <c r="EV25"/>
  <c r="EN26"/>
  <c r="EN27"/>
  <c r="EN28"/>
  <c r="EN29"/>
  <c r="EN30"/>
  <c r="EN31"/>
  <c r="EN32"/>
  <c r="EN33"/>
  <c r="EN34"/>
  <c r="EN35"/>
  <c r="EN36"/>
  <c r="EN37"/>
  <c r="EN38"/>
  <c r="EN39"/>
  <c r="EN40"/>
  <c r="EN41"/>
  <c r="EN42"/>
  <c r="EN43"/>
  <c r="EN44"/>
  <c r="EN45"/>
  <c r="EN46"/>
  <c r="EN47"/>
  <c r="EN48"/>
  <c r="EN49"/>
  <c r="EN50"/>
  <c r="EN51"/>
  <c r="EN52"/>
  <c r="EN53"/>
  <c r="EN54"/>
  <c r="EN55"/>
  <c r="EN56"/>
  <c r="EN57"/>
  <c r="EN58"/>
  <c r="EN59"/>
  <c r="EN60"/>
  <c r="EN61"/>
  <c r="EN62"/>
  <c r="EN63"/>
  <c r="EN64"/>
  <c r="EN65"/>
  <c r="EN66"/>
  <c r="EN67"/>
  <c r="EN68"/>
  <c r="EN69"/>
  <c r="EN70"/>
  <c r="EN71"/>
  <c r="EN72"/>
  <c r="EN73"/>
  <c r="EN74"/>
  <c r="EN75"/>
  <c r="EN25"/>
  <c r="EF26"/>
  <c r="EF27"/>
  <c r="EF28"/>
  <c r="EF29"/>
  <c r="EF30"/>
  <c r="EF31"/>
  <c r="EF32"/>
  <c r="EF33"/>
  <c r="EF34"/>
  <c r="EF35"/>
  <c r="EF36"/>
  <c r="EF37"/>
  <c r="EF38"/>
  <c r="EF39"/>
  <c r="EF40"/>
  <c r="EF41"/>
  <c r="EF42"/>
  <c r="EF43"/>
  <c r="EF44"/>
  <c r="EF45"/>
  <c r="EF46"/>
  <c r="EF47"/>
  <c r="EF48"/>
  <c r="EF49"/>
  <c r="EF50"/>
  <c r="EF51"/>
  <c r="EF52"/>
  <c r="EF53"/>
  <c r="EF54"/>
  <c r="EF55"/>
  <c r="EF56"/>
  <c r="EF57"/>
  <c r="EF58"/>
  <c r="EF59"/>
  <c r="EF60"/>
  <c r="EF61"/>
  <c r="EF62"/>
  <c r="EF63"/>
  <c r="EF64"/>
  <c r="EF65"/>
  <c r="EF66"/>
  <c r="EF67"/>
  <c r="EF68"/>
  <c r="EF69"/>
  <c r="EF70"/>
  <c r="EF71"/>
  <c r="EF72"/>
  <c r="EF73"/>
  <c r="EF74"/>
  <c r="EF75"/>
  <c r="EF25"/>
  <c r="DX26"/>
  <c r="DX27"/>
  <c r="DX28"/>
  <c r="DX29"/>
  <c r="DX30"/>
  <c r="DX31"/>
  <c r="DX32"/>
  <c r="DX33"/>
  <c r="DX34"/>
  <c r="DX35"/>
  <c r="DX36"/>
  <c r="DX37"/>
  <c r="DX38"/>
  <c r="DX39"/>
  <c r="DX40"/>
  <c r="DX41"/>
  <c r="DX42"/>
  <c r="DX43"/>
  <c r="DX44"/>
  <c r="DX45"/>
  <c r="DX46"/>
  <c r="DX47"/>
  <c r="DX48"/>
  <c r="DX49"/>
  <c r="DX50"/>
  <c r="DX51"/>
  <c r="DX52"/>
  <c r="DX53"/>
  <c r="DX54"/>
  <c r="DX55"/>
  <c r="DX56"/>
  <c r="DX57"/>
  <c r="DX58"/>
  <c r="DX59"/>
  <c r="DX60"/>
  <c r="DX61"/>
  <c r="DX62"/>
  <c r="DX63"/>
  <c r="DX64"/>
  <c r="DX65"/>
  <c r="DX66"/>
  <c r="DX67"/>
  <c r="DX68"/>
  <c r="DX69"/>
  <c r="DX70"/>
  <c r="DX71"/>
  <c r="DX72"/>
  <c r="DX73"/>
  <c r="DX74"/>
  <c r="DX75"/>
  <c r="DX25"/>
  <c r="DP26"/>
  <c r="DP27"/>
  <c r="DP28"/>
  <c r="DP29"/>
  <c r="DP30"/>
  <c r="DP31"/>
  <c r="DP32"/>
  <c r="DP33"/>
  <c r="DP34"/>
  <c r="DP35"/>
  <c r="DP36"/>
  <c r="DP37"/>
  <c r="DP38"/>
  <c r="DP39"/>
  <c r="DP40"/>
  <c r="DP41"/>
  <c r="DP42"/>
  <c r="DP43"/>
  <c r="DP44"/>
  <c r="DP45"/>
  <c r="DP46"/>
  <c r="DP47"/>
  <c r="DP48"/>
  <c r="DP49"/>
  <c r="DP50"/>
  <c r="DP51"/>
  <c r="DP52"/>
  <c r="DP53"/>
  <c r="DP54"/>
  <c r="DP55"/>
  <c r="DP56"/>
  <c r="DP57"/>
  <c r="DP58"/>
  <c r="DP59"/>
  <c r="DP60"/>
  <c r="DP61"/>
  <c r="DP62"/>
  <c r="DP63"/>
  <c r="DP64"/>
  <c r="DP65"/>
  <c r="DP66"/>
  <c r="DP67"/>
  <c r="DP68"/>
  <c r="DP69"/>
  <c r="DP70"/>
  <c r="DP71"/>
  <c r="DP72"/>
  <c r="DP73"/>
  <c r="DP74"/>
  <c r="DP75"/>
  <c r="DP25"/>
  <c r="DH26"/>
  <c r="DH27"/>
  <c r="DH28"/>
  <c r="DH29"/>
  <c r="DH30"/>
  <c r="DH31"/>
  <c r="DH32"/>
  <c r="DH33"/>
  <c r="DH34"/>
  <c r="DH35"/>
  <c r="DH36"/>
  <c r="DH37"/>
  <c r="DH38"/>
  <c r="DH39"/>
  <c r="DH40"/>
  <c r="DH41"/>
  <c r="DH42"/>
  <c r="DH43"/>
  <c r="DH44"/>
  <c r="DH45"/>
  <c r="DH46"/>
  <c r="DH47"/>
  <c r="DH48"/>
  <c r="DH49"/>
  <c r="DH50"/>
  <c r="DH51"/>
  <c r="DH52"/>
  <c r="DH53"/>
  <c r="DH54"/>
  <c r="DH55"/>
  <c r="DH56"/>
  <c r="DH57"/>
  <c r="DH58"/>
  <c r="DH59"/>
  <c r="DH60"/>
  <c r="DH61"/>
  <c r="DH62"/>
  <c r="DH63"/>
  <c r="DH64"/>
  <c r="DH65"/>
  <c r="DH66"/>
  <c r="DH67"/>
  <c r="DH68"/>
  <c r="DH69"/>
  <c r="DH70"/>
  <c r="DH71"/>
  <c r="DH72"/>
  <c r="DH73"/>
  <c r="DH74"/>
  <c r="DH75"/>
  <c r="DH25"/>
  <c r="CZ26"/>
  <c r="CZ27"/>
  <c r="CZ28"/>
  <c r="CZ29"/>
  <c r="CZ30"/>
  <c r="CZ31"/>
  <c r="CZ32"/>
  <c r="CZ33"/>
  <c r="CZ34"/>
  <c r="CZ35"/>
  <c r="CZ36"/>
  <c r="CZ37"/>
  <c r="CZ38"/>
  <c r="CZ39"/>
  <c r="CZ40"/>
  <c r="CZ41"/>
  <c r="CZ42"/>
  <c r="CZ43"/>
  <c r="CZ44"/>
  <c r="CZ45"/>
  <c r="CZ46"/>
  <c r="CZ47"/>
  <c r="CZ48"/>
  <c r="CZ49"/>
  <c r="CZ50"/>
  <c r="CZ51"/>
  <c r="CZ52"/>
  <c r="CZ53"/>
  <c r="CZ54"/>
  <c r="CZ55"/>
  <c r="CZ56"/>
  <c r="CZ57"/>
  <c r="CZ58"/>
  <c r="CZ59"/>
  <c r="CZ60"/>
  <c r="CZ61"/>
  <c r="CZ62"/>
  <c r="CZ63"/>
  <c r="CZ64"/>
  <c r="CZ65"/>
  <c r="CZ66"/>
  <c r="CZ67"/>
  <c r="CZ68"/>
  <c r="CZ69"/>
  <c r="CZ70"/>
  <c r="CZ71"/>
  <c r="CZ72"/>
  <c r="CZ73"/>
  <c r="CZ74"/>
  <c r="CZ75"/>
  <c r="CZ25"/>
  <c r="CR26"/>
  <c r="CR27"/>
  <c r="CR28"/>
  <c r="CR29"/>
  <c r="CR30"/>
  <c r="CR31"/>
  <c r="CR32"/>
  <c r="CR33"/>
  <c r="CR34"/>
  <c r="CR35"/>
  <c r="CR36"/>
  <c r="CR37"/>
  <c r="CR38"/>
  <c r="CR39"/>
  <c r="CR40"/>
  <c r="CR41"/>
  <c r="CR42"/>
  <c r="CR43"/>
  <c r="CR44"/>
  <c r="CR45"/>
  <c r="CR46"/>
  <c r="CR47"/>
  <c r="CR48"/>
  <c r="CR49"/>
  <c r="CR50"/>
  <c r="CR51"/>
  <c r="CR52"/>
  <c r="CR53"/>
  <c r="CR54"/>
  <c r="CR55"/>
  <c r="CR56"/>
  <c r="CR57"/>
  <c r="CR58"/>
  <c r="CR59"/>
  <c r="CR60"/>
  <c r="CR61"/>
  <c r="CR62"/>
  <c r="CR63"/>
  <c r="CR64"/>
  <c r="CR65"/>
  <c r="CR66"/>
  <c r="CR67"/>
  <c r="CR68"/>
  <c r="CR69"/>
  <c r="CR70"/>
  <c r="CR71"/>
  <c r="CR72"/>
  <c r="CR73"/>
  <c r="CR74"/>
  <c r="CR75"/>
  <c r="CR25"/>
  <c r="CJ26"/>
  <c r="CJ27"/>
  <c r="CJ28"/>
  <c r="CJ29"/>
  <c r="CJ30"/>
  <c r="CJ31"/>
  <c r="CJ32"/>
  <c r="CJ33"/>
  <c r="CJ34"/>
  <c r="CJ35"/>
  <c r="CJ36"/>
  <c r="CJ37"/>
  <c r="CJ38"/>
  <c r="CJ39"/>
  <c r="CJ40"/>
  <c r="CJ41"/>
  <c r="CJ42"/>
  <c r="CJ43"/>
  <c r="CJ44"/>
  <c r="CJ45"/>
  <c r="CJ46"/>
  <c r="CJ47"/>
  <c r="CJ48"/>
  <c r="CJ49"/>
  <c r="CJ50"/>
  <c r="CJ51"/>
  <c r="CJ52"/>
  <c r="CJ53"/>
  <c r="CJ54"/>
  <c r="CJ55"/>
  <c r="CJ56"/>
  <c r="CJ57"/>
  <c r="CJ58"/>
  <c r="CJ59"/>
  <c r="CJ60"/>
  <c r="CJ61"/>
  <c r="CJ62"/>
  <c r="CJ63"/>
  <c r="CJ64"/>
  <c r="CJ65"/>
  <c r="CJ66"/>
  <c r="CJ67"/>
  <c r="CJ68"/>
  <c r="CJ69"/>
  <c r="CJ70"/>
  <c r="CJ71"/>
  <c r="CJ72"/>
  <c r="CJ73"/>
  <c r="CJ74"/>
  <c r="CJ75"/>
  <c r="CJ25"/>
  <c r="CB26"/>
  <c r="CB27"/>
  <c r="CB28"/>
  <c r="CB29"/>
  <c r="CB30"/>
  <c r="CB31"/>
  <c r="CB32"/>
  <c r="CB33"/>
  <c r="CB34"/>
  <c r="CB35"/>
  <c r="CB36"/>
  <c r="CB38"/>
  <c r="CB39"/>
  <c r="CB40"/>
  <c r="CB41"/>
  <c r="CB42"/>
  <c r="CB43"/>
  <c r="CB44"/>
  <c r="CB45"/>
  <c r="CB46"/>
  <c r="CB47"/>
  <c r="CB48"/>
  <c r="CB49"/>
  <c r="CB50"/>
  <c r="CB51"/>
  <c r="CB52"/>
  <c r="CB53"/>
  <c r="CB54"/>
  <c r="CB55"/>
  <c r="CB56"/>
  <c r="CB57"/>
  <c r="CB58"/>
  <c r="CB59"/>
  <c r="CB60"/>
  <c r="CB61"/>
  <c r="CB62"/>
  <c r="CB63"/>
  <c r="CB64"/>
  <c r="CB65"/>
  <c r="CB66"/>
  <c r="CB67"/>
  <c r="CB68"/>
  <c r="CB69"/>
  <c r="CB70"/>
  <c r="CB71"/>
  <c r="CB72"/>
  <c r="CB73"/>
  <c r="CB74"/>
  <c r="CB75"/>
  <c r="CB25"/>
  <c r="BT26"/>
  <c r="BT27"/>
  <c r="BT28"/>
  <c r="BT29"/>
  <c r="BT30"/>
  <c r="BT31"/>
  <c r="BT32"/>
  <c r="BT33"/>
  <c r="BT34"/>
  <c r="BT35"/>
  <c r="BT36"/>
  <c r="BT37"/>
  <c r="BT38"/>
  <c r="BT39"/>
  <c r="BT40"/>
  <c r="BT41"/>
  <c r="BT42"/>
  <c r="BT43"/>
  <c r="BT44"/>
  <c r="BT45"/>
  <c r="BT46"/>
  <c r="BT47"/>
  <c r="BT48"/>
  <c r="BT49"/>
  <c r="BT50"/>
  <c r="BT51"/>
  <c r="BT52"/>
  <c r="BT53"/>
  <c r="BT54"/>
  <c r="BT55"/>
  <c r="BT56"/>
  <c r="BT57"/>
  <c r="BT58"/>
  <c r="BT59"/>
  <c r="BT60"/>
  <c r="BT61"/>
  <c r="BT62"/>
  <c r="BT63"/>
  <c r="BT64"/>
  <c r="BT65"/>
  <c r="BT66"/>
  <c r="BT67"/>
  <c r="BT68"/>
  <c r="BT69"/>
  <c r="BT70"/>
  <c r="BT71"/>
  <c r="BT72"/>
  <c r="BT73"/>
  <c r="BT74"/>
  <c r="BT75"/>
  <c r="BT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25"/>
  <c r="BD26"/>
  <c r="BD27"/>
  <c r="BD28"/>
  <c r="BD29"/>
  <c r="BD30"/>
  <c r="BD31"/>
  <c r="BD32"/>
  <c r="BD33"/>
  <c r="BD34"/>
  <c r="BD35"/>
  <c r="BD36"/>
  <c r="BD37"/>
  <c r="BD38"/>
  <c r="BD39"/>
  <c r="BD40"/>
  <c r="BD41"/>
  <c r="BD42"/>
  <c r="BD43"/>
  <c r="BD44"/>
  <c r="BD45"/>
  <c r="BD46"/>
  <c r="BD47"/>
  <c r="BD48"/>
  <c r="BD49"/>
  <c r="BD50"/>
  <c r="BD51"/>
  <c r="BD52"/>
  <c r="BD53"/>
  <c r="BD54"/>
  <c r="BD55"/>
  <c r="BD56"/>
  <c r="BD57"/>
  <c r="BD58"/>
  <c r="BD59"/>
  <c r="BD60"/>
  <c r="BD61"/>
  <c r="BD62"/>
  <c r="BD63"/>
  <c r="BD64"/>
  <c r="BD65"/>
  <c r="BD66"/>
  <c r="BD67"/>
  <c r="BD68"/>
  <c r="BD69"/>
  <c r="BD70"/>
  <c r="BD71"/>
  <c r="BD72"/>
  <c r="BD73"/>
  <c r="BD74"/>
  <c r="BD75"/>
  <c r="BD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V74"/>
  <c r="AV75"/>
  <c r="AV25"/>
  <c r="AN7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55"/>
  <c r="AN56"/>
  <c r="AN57"/>
  <c r="AN58"/>
  <c r="AN59"/>
  <c r="AN60"/>
  <c r="AN61"/>
  <c r="AN62"/>
  <c r="AN63"/>
  <c r="AN64"/>
  <c r="AN65"/>
  <c r="AN66"/>
  <c r="AN67"/>
  <c r="AN68"/>
  <c r="AN69"/>
  <c r="AN70"/>
  <c r="AN71"/>
  <c r="AN72"/>
  <c r="AN73"/>
  <c r="AN74"/>
  <c r="AN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25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25"/>
  <c r="FE24"/>
  <c r="FE76" s="1"/>
  <c r="BM24"/>
  <c r="BM76" s="1"/>
  <c r="CK24"/>
  <c r="CK76" s="1"/>
  <c r="AW24"/>
  <c r="AW76" s="1"/>
  <c r="AO24"/>
  <c r="AG24"/>
  <c r="AG76" s="1"/>
  <c r="Y65"/>
  <c r="Y24" s="1"/>
  <c r="Y76" s="1"/>
  <c r="Y78" s="1"/>
  <c r="RI68"/>
  <c r="RI69"/>
  <c r="RI70"/>
  <c r="RI71"/>
  <c r="RI72"/>
  <c r="RI73"/>
  <c r="RI74"/>
  <c r="RG69"/>
  <c r="RG70"/>
  <c r="RG71"/>
  <c r="RG72"/>
  <c r="RG73"/>
  <c r="RG74"/>
  <c r="RF68"/>
  <c r="RF69"/>
  <c r="RF70"/>
  <c r="RF71"/>
  <c r="RF72"/>
  <c r="RF73"/>
  <c r="RF74"/>
  <c r="OS24"/>
  <c r="OS76" s="1"/>
  <c r="OK24"/>
  <c r="OK76" s="1"/>
  <c r="NA24"/>
  <c r="NA76" s="1"/>
  <c r="NA78" s="1"/>
  <c r="NA80" s="1"/>
  <c r="MK24"/>
  <c r="MK76" s="1"/>
  <c r="LQ24"/>
  <c r="IO24"/>
  <c r="FM24"/>
  <c r="FM76" s="1"/>
  <c r="DY24"/>
  <c r="DY76" s="1"/>
  <c r="DI24"/>
  <c r="DI76" s="1"/>
  <c r="DA24"/>
  <c r="CC24"/>
  <c r="CC76" s="1"/>
  <c r="Q24"/>
  <c r="Q76" s="1"/>
  <c r="Q78" s="1"/>
  <c r="LQ76" l="1"/>
  <c r="DA76"/>
  <c r="IO76"/>
  <c r="AO76"/>
  <c r="LH24"/>
  <c r="LP24"/>
  <c r="LT24"/>
  <c r="MB24"/>
  <c r="MJ24"/>
  <c r="MR24"/>
  <c r="MZ24"/>
  <c r="ND24"/>
  <c r="NL24"/>
  <c r="NT24"/>
  <c r="QB24"/>
  <c r="QJ24"/>
  <c r="QP24"/>
  <c r="QV24"/>
  <c r="RD24"/>
  <c r="GC78"/>
  <c r="I78"/>
  <c r="JE76"/>
  <c r="CK78"/>
  <c r="H24"/>
  <c r="H76" s="1"/>
  <c r="P24"/>
  <c r="P76" s="1"/>
  <c r="X24"/>
  <c r="X76" s="1"/>
  <c r="AF24"/>
  <c r="AN24"/>
  <c r="AV24"/>
  <c r="AV76" s="1"/>
  <c r="BD24"/>
  <c r="BL24"/>
  <c r="BL76" s="1"/>
  <c r="BT24"/>
  <c r="EG76"/>
  <c r="Q80"/>
  <c r="IG24"/>
  <c r="IG76" s="1"/>
  <c r="CB24"/>
  <c r="CJ24"/>
  <c r="CJ76" s="1"/>
  <c r="CR24"/>
  <c r="CZ24"/>
  <c r="DH24"/>
  <c r="DP24"/>
  <c r="DX24"/>
  <c r="EF24"/>
  <c r="EN24"/>
  <c r="EV24"/>
  <c r="FD24"/>
  <c r="FL24"/>
  <c r="FT24"/>
  <c r="GB24"/>
  <c r="GB76" s="1"/>
  <c r="GJ24"/>
  <c r="GR24"/>
  <c r="GR76" s="1"/>
  <c r="GZ24"/>
  <c r="HH24"/>
  <c r="HP24"/>
  <c r="HX24"/>
  <c r="IF24"/>
  <c r="IN24"/>
  <c r="IV24"/>
  <c r="JD24"/>
  <c r="JL24"/>
  <c r="JT24"/>
  <c r="KB24"/>
  <c r="KJ24"/>
  <c r="KR24"/>
  <c r="OB24"/>
  <c r="OJ24"/>
  <c r="OR24"/>
  <c r="OZ24"/>
  <c r="PD24"/>
  <c r="PL24"/>
  <c r="RH69"/>
  <c r="BU76"/>
  <c r="RH71"/>
  <c r="RH73"/>
  <c r="PT24"/>
  <c r="RH74"/>
  <c r="RH72"/>
  <c r="RH70"/>
  <c r="RH68"/>
  <c r="RI18" l="1"/>
  <c r="RI10"/>
  <c r="RG5"/>
  <c r="RG6"/>
  <c r="RG7"/>
  <c r="RG8"/>
  <c r="RG9"/>
  <c r="RG10"/>
  <c r="RG11"/>
  <c r="RG12"/>
  <c r="RG13"/>
  <c r="RG14"/>
  <c r="RG15"/>
  <c r="RG16"/>
  <c r="RG17"/>
  <c r="RG18"/>
  <c r="RG19"/>
  <c r="RG20"/>
  <c r="RG21"/>
  <c r="RG22"/>
  <c r="RG23"/>
  <c r="RG25"/>
  <c r="RG26"/>
  <c r="RG27"/>
  <c r="RG28"/>
  <c r="RG29"/>
  <c r="RG30"/>
  <c r="RG31"/>
  <c r="RG32"/>
  <c r="RG33"/>
  <c r="RG34"/>
  <c r="RG35"/>
  <c r="RG36"/>
  <c r="RG37"/>
  <c r="RG38"/>
  <c r="RG39"/>
  <c r="RG40"/>
  <c r="RG41"/>
  <c r="RG42"/>
  <c r="RG43"/>
  <c r="RG44"/>
  <c r="RG45"/>
  <c r="RG46"/>
  <c r="RG47"/>
  <c r="RG48"/>
  <c r="RG49"/>
  <c r="RG50"/>
  <c r="RG51"/>
  <c r="RG52"/>
  <c r="RG53"/>
  <c r="RG54"/>
  <c r="RG55"/>
  <c r="RG56"/>
  <c r="RG57"/>
  <c r="RG58"/>
  <c r="RG59"/>
  <c r="RG60"/>
  <c r="RG61"/>
  <c r="RG62"/>
  <c r="RG63"/>
  <c r="RG64"/>
  <c r="RG65"/>
  <c r="RG66"/>
  <c r="RG67"/>
  <c r="RI6"/>
  <c r="RI14"/>
  <c r="RI22"/>
  <c r="RF6"/>
  <c r="RF7"/>
  <c r="RF8"/>
  <c r="RF9"/>
  <c r="RF10"/>
  <c r="RF11"/>
  <c r="RF12"/>
  <c r="RF13"/>
  <c r="RF14"/>
  <c r="RF15"/>
  <c r="RF16"/>
  <c r="RF17"/>
  <c r="RF18"/>
  <c r="RF19"/>
  <c r="RF20"/>
  <c r="RF21"/>
  <c r="RF22"/>
  <c r="RF23"/>
  <c r="RF25"/>
  <c r="RF26"/>
  <c r="RF27"/>
  <c r="RF28"/>
  <c r="RF29"/>
  <c r="RF30"/>
  <c r="RF31"/>
  <c r="RF32"/>
  <c r="RF33"/>
  <c r="RF34"/>
  <c r="RF35"/>
  <c r="RF36"/>
  <c r="RF37"/>
  <c r="RF38"/>
  <c r="RF39"/>
  <c r="RF40"/>
  <c r="RF41"/>
  <c r="RF42"/>
  <c r="RF43"/>
  <c r="RF44"/>
  <c r="RF45"/>
  <c r="RF46"/>
  <c r="RF47"/>
  <c r="RF48"/>
  <c r="RF49"/>
  <c r="RF50"/>
  <c r="RF51"/>
  <c r="RF52"/>
  <c r="RF53"/>
  <c r="RF54"/>
  <c r="RF55"/>
  <c r="RF56"/>
  <c r="RF57"/>
  <c r="RF58"/>
  <c r="RF59"/>
  <c r="RF60"/>
  <c r="RF61"/>
  <c r="RF62"/>
  <c r="RF63"/>
  <c r="RF64"/>
  <c r="RF65"/>
  <c r="RF66"/>
  <c r="RF67"/>
  <c r="RF75"/>
  <c r="RF5"/>
  <c r="V76"/>
  <c r="V78" s="1"/>
  <c r="Y80" s="1"/>
  <c r="AT76"/>
  <c r="AW79" s="1"/>
  <c r="BJ76"/>
  <c r="BM79" s="1"/>
  <c r="CQ76"/>
  <c r="CS76"/>
  <c r="CS78" s="1"/>
  <c r="CS80" s="1"/>
  <c r="QQ25"/>
  <c r="QQ26"/>
  <c r="RI26" s="1"/>
  <c r="QQ27"/>
  <c r="RI27" s="1"/>
  <c r="QQ28"/>
  <c r="RI28" s="1"/>
  <c r="QQ29"/>
  <c r="RI29" s="1"/>
  <c r="QQ30"/>
  <c r="RI30" s="1"/>
  <c r="QQ31"/>
  <c r="RI31" s="1"/>
  <c r="QQ32"/>
  <c r="RI32" s="1"/>
  <c r="QQ33"/>
  <c r="RI33" s="1"/>
  <c r="QQ34"/>
  <c r="RI34" s="1"/>
  <c r="QQ35"/>
  <c r="RI35" s="1"/>
  <c r="QQ36"/>
  <c r="RI36" s="1"/>
  <c r="QQ37"/>
  <c r="RI37" s="1"/>
  <c r="QQ38"/>
  <c r="RI38" s="1"/>
  <c r="QQ39"/>
  <c r="RI39" s="1"/>
  <c r="QQ40"/>
  <c r="RI40" s="1"/>
  <c r="QQ41"/>
  <c r="RI41" s="1"/>
  <c r="QQ42"/>
  <c r="QQ43"/>
  <c r="RI43" s="1"/>
  <c r="QQ44"/>
  <c r="RI44" s="1"/>
  <c r="QQ45"/>
  <c r="RI45" s="1"/>
  <c r="QQ46"/>
  <c r="RI46" s="1"/>
  <c r="QQ47"/>
  <c r="RI47" s="1"/>
  <c r="QQ48"/>
  <c r="RI48" s="1"/>
  <c r="QQ49"/>
  <c r="RI49" s="1"/>
  <c r="QQ50"/>
  <c r="RI50" s="1"/>
  <c r="QQ51"/>
  <c r="RI51" s="1"/>
  <c r="QQ52"/>
  <c r="RI52" s="1"/>
  <c r="QQ53"/>
  <c r="RI53" s="1"/>
  <c r="QQ54"/>
  <c r="RI54" s="1"/>
  <c r="QQ55"/>
  <c r="RI55" s="1"/>
  <c r="QQ56"/>
  <c r="RI56" s="1"/>
  <c r="QQ57"/>
  <c r="RI57" s="1"/>
  <c r="QQ58"/>
  <c r="RI58" s="1"/>
  <c r="QQ59"/>
  <c r="RI59" s="1"/>
  <c r="QQ60"/>
  <c r="RI60" s="1"/>
  <c r="QQ61"/>
  <c r="RI61" s="1"/>
  <c r="QQ62"/>
  <c r="RI62" s="1"/>
  <c r="QQ63"/>
  <c r="RI63" s="1"/>
  <c r="QQ64"/>
  <c r="RI64" s="1"/>
  <c r="QQ65"/>
  <c r="RI65" s="1"/>
  <c r="QQ66"/>
  <c r="RI66" s="1"/>
  <c r="QQ67"/>
  <c r="RI67" s="1"/>
  <c r="QQ75"/>
  <c r="RI75" s="1"/>
  <c r="RH6"/>
  <c r="RH7"/>
  <c r="RH10"/>
  <c r="RH13"/>
  <c r="RH14"/>
  <c r="RH15"/>
  <c r="RH17"/>
  <c r="RH20"/>
  <c r="RH21"/>
  <c r="RH22"/>
  <c r="RH26"/>
  <c r="RH28"/>
  <c r="RH30"/>
  <c r="RH32"/>
  <c r="RH33"/>
  <c r="RH35"/>
  <c r="RH36"/>
  <c r="RH38"/>
  <c r="RH40"/>
  <c r="RH41"/>
  <c r="RH43"/>
  <c r="RH44"/>
  <c r="RH46"/>
  <c r="RH48"/>
  <c r="RH49"/>
  <c r="RH50"/>
  <c r="RH53"/>
  <c r="RH54"/>
  <c r="RH56"/>
  <c r="RH57"/>
  <c r="RH58"/>
  <c r="RH60"/>
  <c r="RH61"/>
  <c r="RH64"/>
  <c r="RH65"/>
  <c r="RH66"/>
  <c r="RH11"/>
  <c r="RH19"/>
  <c r="RH34"/>
  <c r="RH42"/>
  <c r="RH52"/>
  <c r="RH62"/>
  <c r="RH9"/>
  <c r="RH23"/>
  <c r="RH8"/>
  <c r="RH12"/>
  <c r="RH16"/>
  <c r="RH27"/>
  <c r="RH47"/>
  <c r="RH51"/>
  <c r="RH55"/>
  <c r="RH59"/>
  <c r="RH63"/>
  <c r="RH18"/>
  <c r="RH29"/>
  <c r="RH39"/>
  <c r="RH45"/>
  <c r="RH37"/>
  <c r="KZ75"/>
  <c r="KZ24" s="1"/>
  <c r="RI12" l="1"/>
  <c r="RI16"/>
  <c r="RI20"/>
  <c r="RI8"/>
  <c r="RI5"/>
  <c r="RI11"/>
  <c r="RI13"/>
  <c r="RI15"/>
  <c r="RI17"/>
  <c r="RI19"/>
  <c r="RI21"/>
  <c r="RI9"/>
  <c r="RI23"/>
  <c r="RH75"/>
  <c r="RI7"/>
  <c r="RI4" s="1"/>
  <c r="RG24"/>
  <c r="RI25"/>
  <c r="QQ24"/>
  <c r="RG4"/>
  <c r="RH67"/>
  <c r="RH31"/>
  <c r="RH25"/>
  <c r="RH5"/>
  <c r="RH4" s="1"/>
  <c r="RF24"/>
  <c r="RF4"/>
  <c r="CR76"/>
  <c r="RH24" l="1"/>
  <c r="RI42"/>
  <c r="RI24" s="1"/>
  <c r="BE24"/>
  <c r="BE76" s="1"/>
</calcChain>
</file>

<file path=xl/comments1.xml><?xml version="1.0" encoding="utf-8"?>
<comments xmlns="http://schemas.openxmlformats.org/spreadsheetml/2006/main">
  <authors>
    <author>63222</author>
    <author>64428</author>
  </authors>
  <commentList>
    <comment ref="GS4" authorId="0">
      <text>
        <r>
          <rPr>
            <b/>
            <sz val="8"/>
            <color indexed="81"/>
            <rFont val="Tahoma"/>
            <family val="2"/>
            <charset val="238"/>
          </rPr>
          <t>63222:</t>
        </r>
        <r>
          <rPr>
            <sz val="8"/>
            <color indexed="81"/>
            <rFont val="Tahoma"/>
            <family val="2"/>
            <charset val="238"/>
          </rPr>
          <t xml:space="preserve">
300 tis. Kč - navýšení o 20 lůžek</t>
        </r>
      </text>
    </comment>
    <comment ref="FE5" authorId="0">
      <text>
        <r>
          <rPr>
            <b/>
            <sz val="8"/>
            <color indexed="81"/>
            <rFont val="Tahoma"/>
            <family val="2"/>
            <charset val="238"/>
          </rPr>
          <t>63222:</t>
        </r>
        <r>
          <rPr>
            <sz val="8"/>
            <color indexed="81"/>
            <rFont val="Tahoma"/>
            <family val="2"/>
            <charset val="238"/>
          </rPr>
          <t xml:space="preserve">
100 tis. navýšení</t>
        </r>
      </text>
    </comment>
    <comment ref="PU5" authorId="0">
      <text>
        <r>
          <rPr>
            <b/>
            <sz val="8"/>
            <color indexed="81"/>
            <rFont val="Tahoma"/>
            <family val="2"/>
            <charset val="238"/>
          </rPr>
          <t>63222:</t>
        </r>
        <r>
          <rPr>
            <sz val="8"/>
            <color indexed="81"/>
            <rFont val="Tahoma"/>
            <family val="2"/>
            <charset val="238"/>
          </rPr>
          <t xml:space="preserve">
REZERVA</t>
        </r>
      </text>
    </comment>
    <comment ref="PA24" authorId="0">
      <text>
        <r>
          <rPr>
            <b/>
            <sz val="8"/>
            <color indexed="81"/>
            <rFont val="Tahoma"/>
            <family val="2"/>
            <charset val="238"/>
          </rPr>
          <t>63222:</t>
        </r>
        <r>
          <rPr>
            <sz val="8"/>
            <color indexed="81"/>
            <rFont val="Tahoma"/>
            <family val="2"/>
            <charset val="238"/>
          </rPr>
          <t xml:space="preserve">
Onkologie - schválené čerpání z KH</t>
        </r>
      </text>
    </comment>
    <comment ref="AO28" authorId="1">
      <text>
        <r>
          <rPr>
            <b/>
            <sz val="9"/>
            <color indexed="81"/>
            <rFont val="Tahoma"/>
            <family val="2"/>
            <charset val="238"/>
          </rPr>
          <t>64428:</t>
        </r>
        <r>
          <rPr>
            <sz val="9"/>
            <color indexed="81"/>
            <rFont val="Tahoma"/>
            <family val="2"/>
            <charset val="238"/>
          </rPr>
          <t xml:space="preserve">
29.6.2015 převedeno 300.000,- Kč do Z 515, změna zařazení položek zboží</t>
        </r>
      </text>
    </comment>
    <comment ref="AO35" authorId="1">
      <text>
        <r>
          <rPr>
            <b/>
            <sz val="9"/>
            <color indexed="81"/>
            <rFont val="Tahoma"/>
            <family val="2"/>
            <charset val="238"/>
          </rPr>
          <t>64428:</t>
        </r>
        <r>
          <rPr>
            <sz val="9"/>
            <color indexed="81"/>
            <rFont val="Tahoma"/>
            <family val="2"/>
            <charset val="238"/>
          </rPr>
          <t xml:space="preserve">
29.6.2015 převedeno 300.000,- Kč z Z 506, změna zařazení položek zboží</t>
        </r>
      </text>
    </comment>
    <comment ref="CS35" authorId="1">
      <text>
        <r>
          <rPr>
            <b/>
            <sz val="9"/>
            <color indexed="81"/>
            <rFont val="Tahoma"/>
            <family val="2"/>
            <charset val="238"/>
          </rPr>
          <t>64428:</t>
        </r>
        <r>
          <rPr>
            <sz val="9"/>
            <color indexed="81"/>
            <rFont val="Tahoma"/>
            <family val="2"/>
            <charset val="238"/>
          </rPr>
          <t xml:space="preserve">
navýšení 720.000,- Kč, pásky ATOMS, schváleno EN</t>
        </r>
      </text>
    </comment>
    <comment ref="IG35" authorId="1">
      <text>
        <r>
          <rPr>
            <b/>
            <sz val="9"/>
            <color indexed="81"/>
            <rFont val="Tahoma"/>
            <family val="2"/>
            <charset val="238"/>
          </rPr>
          <t>64428:</t>
        </r>
        <r>
          <rPr>
            <sz val="9"/>
            <color indexed="81"/>
            <rFont val="Tahoma"/>
            <family val="2"/>
            <charset val="238"/>
          </rPr>
          <t xml:space="preserve">
ze Z 518 TEP přesunuto 240.000,- Kč</t>
        </r>
      </text>
    </comment>
    <comment ref="BU37" authorId="1">
      <text>
        <r>
          <rPr>
            <b/>
            <sz val="9"/>
            <color indexed="81"/>
            <rFont val="Tahoma"/>
            <family val="2"/>
            <charset val="238"/>
          </rPr>
          <t>64428:</t>
        </r>
        <r>
          <rPr>
            <sz val="9"/>
            <color indexed="81"/>
            <rFont val="Tahoma"/>
            <family val="2"/>
            <charset val="238"/>
          </rPr>
          <t xml:space="preserve">
29.7.2015 navýšení 100.000,- Kč, pořízení materiálu k analyzátoru
</t>
        </r>
        <r>
          <rPr>
            <b/>
            <sz val="9"/>
            <color indexed="81"/>
            <rFont val="Tahoma"/>
            <family val="2"/>
            <charset val="238"/>
          </rPr>
          <t xml:space="preserve">NEZOHLEDŇOVAT V 2016
</t>
        </r>
        <r>
          <rPr>
            <sz val="9"/>
            <color indexed="81"/>
            <rFont val="Tahoma"/>
            <family val="2"/>
            <charset val="238"/>
          </rPr>
          <t>původní rozpočet 2015: 406 tis. Kč</t>
        </r>
      </text>
    </comment>
    <comment ref="CC37" authorId="1">
      <text>
        <r>
          <rPr>
            <b/>
            <sz val="9"/>
            <color indexed="81"/>
            <rFont val="Tahoma"/>
            <family val="2"/>
            <charset val="238"/>
          </rPr>
          <t>64428:</t>
        </r>
        <r>
          <rPr>
            <sz val="9"/>
            <color indexed="81"/>
            <rFont val="Tahoma"/>
            <family val="2"/>
            <charset val="238"/>
          </rPr>
          <t xml:space="preserve">
16.7.2015 navýšení o 150.000,- Kč, schváleno EN
</t>
        </r>
        <r>
          <rPr>
            <b/>
            <sz val="9"/>
            <color indexed="81"/>
            <rFont val="Tahoma"/>
            <family val="2"/>
            <charset val="238"/>
          </rPr>
          <t>NEZOHLEDŇOVAT V 2016</t>
        </r>
        <r>
          <rPr>
            <sz val="9"/>
            <color indexed="81"/>
            <rFont val="Tahoma"/>
            <family val="2"/>
            <charset val="238"/>
          </rPr>
          <t xml:space="preserve">
původní rozpočet 2015: 847 tis. Kč</t>
        </r>
      </text>
    </comment>
    <comment ref="GS37" authorId="1">
      <text>
        <r>
          <rPr>
            <b/>
            <sz val="9"/>
            <color indexed="81"/>
            <rFont val="Tahoma"/>
            <family val="2"/>
            <charset val="238"/>
          </rPr>
          <t>64428:</t>
        </r>
        <r>
          <rPr>
            <sz val="9"/>
            <color indexed="81"/>
            <rFont val="Tahoma"/>
            <family val="2"/>
            <charset val="238"/>
          </rPr>
          <t xml:space="preserve">
Navýšení počtu lůžek, dle dopočtu navýšen rozpočet</t>
        </r>
      </text>
    </comment>
    <comment ref="FE40" authorId="1">
      <text>
        <r>
          <rPr>
            <b/>
            <sz val="9"/>
            <color indexed="81"/>
            <rFont val="Tahoma"/>
            <family val="2"/>
            <charset val="238"/>
          </rPr>
          <t>64428:</t>
        </r>
        <r>
          <rPr>
            <sz val="9"/>
            <color indexed="81"/>
            <rFont val="Tahoma"/>
            <family val="2"/>
            <charset val="238"/>
          </rPr>
          <t xml:space="preserve">
8.10.2015 navýšeno 60.000,- Kč, těžký pacient
</t>
        </r>
        <r>
          <rPr>
            <b/>
            <sz val="9"/>
            <color indexed="81"/>
            <rFont val="Tahoma"/>
            <family val="2"/>
            <charset val="238"/>
          </rPr>
          <t>PONECHAT V 2016</t>
        </r>
        <r>
          <rPr>
            <sz val="9"/>
            <color indexed="81"/>
            <rFont val="Tahoma"/>
            <family val="2"/>
            <charset val="238"/>
          </rPr>
          <t>, v lednu znovu pacient nastupuje</t>
        </r>
      </text>
    </comment>
    <comment ref="GS40" authorId="1">
      <text>
        <r>
          <rPr>
            <b/>
            <sz val="9"/>
            <color indexed="81"/>
            <rFont val="Tahoma"/>
            <family val="2"/>
            <charset val="238"/>
          </rPr>
          <t>64428:</t>
        </r>
        <r>
          <rPr>
            <sz val="9"/>
            <color indexed="81"/>
            <rFont val="Tahoma"/>
            <family val="2"/>
            <charset val="238"/>
          </rPr>
          <t xml:space="preserve">
Navýšení počtu lůžek, dle dopočtu navýšen rozpočet</t>
        </r>
      </text>
    </comment>
    <comment ref="FU42" authorId="1">
      <text>
        <r>
          <rPr>
            <b/>
            <sz val="9"/>
            <color indexed="81"/>
            <rFont val="Tahoma"/>
            <family val="2"/>
            <charset val="238"/>
          </rPr>
          <t>64428:</t>
        </r>
        <r>
          <rPr>
            <sz val="9"/>
            <color indexed="81"/>
            <rFont val="Tahoma"/>
            <family val="2"/>
            <charset val="238"/>
          </rPr>
          <t xml:space="preserve">
požadavek kliniky +1.500.000,- Kč</t>
        </r>
      </text>
    </comment>
    <comment ref="GS42" authorId="1">
      <text>
        <r>
          <rPr>
            <b/>
            <sz val="9"/>
            <color indexed="81"/>
            <rFont val="Tahoma"/>
            <family val="2"/>
            <charset val="238"/>
          </rPr>
          <t>64428:</t>
        </r>
        <r>
          <rPr>
            <sz val="9"/>
            <color indexed="81"/>
            <rFont val="Tahoma"/>
            <family val="2"/>
            <charset val="238"/>
          </rPr>
          <t xml:space="preserve">
Navýšení počtu lůžek, dle dopočtu navýšen rozpočet</t>
        </r>
      </text>
    </comment>
    <comment ref="NA42" authorId="1">
      <text>
        <r>
          <rPr>
            <b/>
            <sz val="9"/>
            <color indexed="81"/>
            <rFont val="Tahoma"/>
            <family val="2"/>
            <charset val="238"/>
          </rPr>
          <t>64428:</t>
        </r>
        <r>
          <rPr>
            <sz val="9"/>
            <color indexed="81"/>
            <rFont val="Tahoma"/>
            <family val="2"/>
            <charset val="238"/>
          </rPr>
          <t xml:space="preserve">
12.11.2015 navýšeno o 400.000,- Kč, schváleno EN</t>
        </r>
      </text>
    </comment>
    <comment ref="PU42" authorId="1">
      <text>
        <r>
          <rPr>
            <b/>
            <sz val="9"/>
            <color indexed="81"/>
            <rFont val="Tahoma"/>
            <charset val="1"/>
          </rPr>
          <t>64428:</t>
        </r>
        <r>
          <rPr>
            <sz val="9"/>
            <color indexed="81"/>
            <rFont val="Tahoma"/>
            <charset val="1"/>
          </rPr>
          <t xml:space="preserve">
906.000,- Kč z K48 Lékárna</t>
        </r>
      </text>
    </comment>
    <comment ref="Y44" authorId="1">
      <text>
        <r>
          <rPr>
            <b/>
            <sz val="9"/>
            <color indexed="81"/>
            <rFont val="Tahoma"/>
            <family val="2"/>
            <charset val="238"/>
          </rPr>
          <t>64428:</t>
        </r>
        <r>
          <rPr>
            <sz val="9"/>
            <color indexed="81"/>
            <rFont val="Tahoma"/>
            <family val="2"/>
            <charset val="238"/>
          </rPr>
          <t xml:space="preserve">
snížení o 180.000,- Kč, od začátku roku žádost o převod do Z 503</t>
        </r>
      </text>
    </comment>
    <comment ref="GS45" authorId="1">
      <text>
        <r>
          <rPr>
            <b/>
            <sz val="9"/>
            <color indexed="81"/>
            <rFont val="Tahoma"/>
            <family val="2"/>
            <charset val="238"/>
          </rPr>
          <t>64428:</t>
        </r>
        <r>
          <rPr>
            <sz val="9"/>
            <color indexed="81"/>
            <rFont val="Tahoma"/>
            <family val="2"/>
            <charset val="238"/>
          </rPr>
          <t xml:space="preserve">
Navýšení počtu lůžek, dle dopočtu navýšen rozpočet</t>
        </r>
      </text>
    </comment>
    <comment ref="GS47" authorId="1">
      <text>
        <r>
          <rPr>
            <b/>
            <sz val="9"/>
            <color indexed="81"/>
            <rFont val="Tahoma"/>
            <family val="2"/>
            <charset val="238"/>
          </rPr>
          <t>64428:</t>
        </r>
        <r>
          <rPr>
            <sz val="9"/>
            <color indexed="81"/>
            <rFont val="Tahoma"/>
            <family val="2"/>
            <charset val="238"/>
          </rPr>
          <t xml:space="preserve">
Navýšení počtu lůžek, dle dopočtu navýšen rozpočet</t>
        </r>
      </text>
    </comment>
    <comment ref="GS49" authorId="1">
      <text>
        <r>
          <rPr>
            <b/>
            <sz val="9"/>
            <color indexed="81"/>
            <rFont val="Tahoma"/>
            <family val="2"/>
            <charset val="238"/>
          </rPr>
          <t>64428:</t>
        </r>
        <r>
          <rPr>
            <sz val="9"/>
            <color indexed="81"/>
            <rFont val="Tahoma"/>
            <family val="2"/>
            <charset val="238"/>
          </rPr>
          <t xml:space="preserve">
Navýšení počtu lůžek, dle dopočtu navýšen rozpočet</t>
        </r>
      </text>
    </comment>
    <comment ref="NA52" authorId="1">
      <text>
        <r>
          <rPr>
            <b/>
            <sz val="9"/>
            <color indexed="81"/>
            <rFont val="Tahoma"/>
            <family val="2"/>
            <charset val="238"/>
          </rPr>
          <t>64428:</t>
        </r>
        <r>
          <rPr>
            <sz val="9"/>
            <color indexed="81"/>
            <rFont val="Tahoma"/>
            <family val="2"/>
            <charset val="238"/>
          </rPr>
          <t xml:space="preserve">
12.11.2015 navýšeno o 100.000,- Kč, schváleno EN</t>
        </r>
      </text>
    </comment>
    <comment ref="CC62" authorId="1">
      <text>
        <r>
          <rPr>
            <b/>
            <sz val="9"/>
            <color indexed="81"/>
            <rFont val="Tahoma"/>
            <family val="2"/>
            <charset val="238"/>
          </rPr>
          <t>64428:</t>
        </r>
        <r>
          <rPr>
            <sz val="9"/>
            <color indexed="81"/>
            <rFont val="Tahoma"/>
            <family val="2"/>
            <charset val="238"/>
          </rPr>
          <t xml:space="preserve">
21.4.2015 navýšeno 72.600,- Kč
</t>
        </r>
        <r>
          <rPr>
            <b/>
            <sz val="9"/>
            <color indexed="81"/>
            <rFont val="Tahoma"/>
            <family val="2"/>
            <charset val="238"/>
          </rPr>
          <t>NEZOHLEDŇOVAT V 2016</t>
        </r>
      </text>
    </comment>
    <comment ref="MS76" authorId="1">
      <text>
        <r>
          <rPr>
            <b/>
            <sz val="9"/>
            <color indexed="81"/>
            <rFont val="Tahoma"/>
            <charset val="1"/>
          </rPr>
          <t>64428: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LŽ1" type="1" refreshedVersion="6" deleted="1" saveData="1">
    <dbPr connection="" command=""/>
  </connection>
</connections>
</file>

<file path=xl/sharedStrings.xml><?xml version="1.0" encoding="utf-8"?>
<sst xmlns="http://schemas.openxmlformats.org/spreadsheetml/2006/main" count="1473" uniqueCount="166">
  <si>
    <t>Popisky sloupců</t>
  </si>
  <si>
    <t>skut</t>
  </si>
  <si>
    <t>rozp</t>
  </si>
  <si>
    <t>Popisky řádků</t>
  </si>
  <si>
    <t>2013</t>
  </si>
  <si>
    <t>2014</t>
  </si>
  <si>
    <t>2015</t>
  </si>
  <si>
    <t>01 - I. interní klinika - kardiologická</t>
  </si>
  <si>
    <t>50113001     léky - paušál+TISS (LEK)</t>
  </si>
  <si>
    <t>50113008     léky - krev.deriváty ZUL (TO)</t>
  </si>
  <si>
    <t>50113009     léky - RTG diagnostika ZUL (LEK)</t>
  </si>
  <si>
    <t>50113011     léky - hemofilici ZUL (TO)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</si>
  <si>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</si>
  <si>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</si>
  <si>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</si>
  <si>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</si>
  <si>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</si>
  <si>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02 - II. interní klinika - gastro-enterologická a hepatologická</t>
  </si>
  <si>
    <t>50113017     léky - dle §16 (LEK)</t>
  </si>
  <si>
    <t>03 - III. interní klinika - nefrologická, revmatologická a endokrinologická</t>
  </si>
  <si>
    <t>04 - I. chirurgická klinika</t>
  </si>
  <si>
    <t>05 - II. chirurgická klinika - cévně-transplantační</t>
  </si>
  <si>
    <t>50113007     léky - krev.deriváty ZUL (LEK)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</si>
  <si>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</si>
  <si>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</si>
  <si>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</si>
  <si>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</si>
  <si>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</si>
  <si>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</si>
  <si>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</si>
  <si>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</si>
  <si>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</si>
  <si>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50113015     léky - samoplátci (LEK)</t>
  </si>
  <si>
    <t>15 - Oddělení alergologie a kl. imun.</t>
  </si>
  <si>
    <t>16 - Klinika plicních nemocí a tuberkulózy</t>
  </si>
  <si>
    <t>17 - Neurologická klinika</t>
  </si>
  <si>
    <t>50113010     léky - botox (LEK)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</si>
  <si>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</si>
  <si>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</si>
  <si>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</si>
  <si>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</si>
  <si>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</si>
  <si>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50113005     léky - radiofarmaka (KNM)</t>
  </si>
  <si>
    <t>24 - Klinika zubního lékařství</t>
  </si>
  <si>
    <t>25 - Klinika ústní,čelistní a obličejové chirurgie</t>
  </si>
  <si>
    <t>26 - Oddělení rehabilitace</t>
  </si>
  <si>
    <t>27 - Klinika tělovýchovného lékařství a kardiovaskulární rehabilitace</t>
  </si>
  <si>
    <t>28 - Ústav lékařské genetiky</t>
  </si>
  <si>
    <t>29 - Oddělení plastické a estetické chirurgie</t>
  </si>
  <si>
    <t>30 - Oddělení geriatrie</t>
  </si>
  <si>
    <t>31 - Traumatologické oddělení</t>
  </si>
  <si>
    <t>32 - Hemato-onkologická klinika</t>
  </si>
  <si>
    <t>33 - Oddělení klinické biochemie</t>
  </si>
  <si>
    <t>34 - Radiologická klinika</t>
  </si>
  <si>
    <t>35 - Transfuzní oddělení</t>
  </si>
  <si>
    <t>36 - Oddělení klinické logopedie</t>
  </si>
  <si>
    <t>37 - Ústav klinické a molekulární patologie</t>
  </si>
  <si>
    <t>38 - Ústav soudního lékařství a medicínského práva</t>
  </si>
  <si>
    <t>39 - Oddělení klinické psychologie</t>
  </si>
  <si>
    <t>40 - Ústav mikrobiologie</t>
  </si>
  <si>
    <t>41 - Ústav imunologie</t>
  </si>
  <si>
    <t>44 - LEM</t>
  </si>
  <si>
    <t>45 - Sociální oddělení</t>
  </si>
  <si>
    <t xml:space="preserve">47 - Centrální operační sály </t>
  </si>
  <si>
    <t>48 - Lékárna</t>
  </si>
  <si>
    <t>50 - Kardiochirurgická klinika</t>
  </si>
  <si>
    <t>53 - Oddělení lékařské fyziky a radiační ochrany</t>
  </si>
  <si>
    <t>54 - Oddělení nemocniční hygieny</t>
  </si>
  <si>
    <t>56 - Oddělení centrální sterilizace</t>
  </si>
  <si>
    <t>59 - Oddělení intenzivní péče chirurgických oborů</t>
  </si>
  <si>
    <t>60 - Oddělení urgentního příjmu</t>
  </si>
  <si>
    <t>50113     Léky a léčiva</t>
  </si>
  <si>
    <t>50115     Zdravotnické prostředky</t>
  </si>
  <si>
    <t>50115001     implant.umělé těl.náhr.-kardiostim. (sk.Z_517)</t>
  </si>
  <si>
    <t>50115002     implant.umělé těl.náhr.-defibr.,kardiov.(Z_516)</t>
  </si>
  <si>
    <t>50115004     implant.umělé těl.náhr.-kovové (s.Z_506)</t>
  </si>
  <si>
    <t>50115009     implant.umělé těl.náhr.-chlopně (bal.TAVI) (sk.Z_524)</t>
  </si>
  <si>
    <t>50115011     implant.umělé těl.náhr.-ostat.nákl.PZT(s.Z_515)</t>
  </si>
  <si>
    <t>50115012     implant.umělé těl.náhr.-kardiostim. SQ (Z_544)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</si>
  <si>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</si>
  <si>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</si>
  <si>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</si>
  <si>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</si>
  <si>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</si>
  <si>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</si>
  <si>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</si>
  <si>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</si>
  <si>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</si>
  <si>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</si>
  <si>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50115071     ostatní ZPr - katetry ablační (sk.Z_514)</t>
  </si>
  <si>
    <t>50115072     ostatní ZPr - katetry diagnostické (sk.Z_535)</t>
  </si>
  <si>
    <t>50115073     ostatní ZPr - katetry PCI (sk.Z_536)</t>
  </si>
  <si>
    <t>50115074     ostatní ZPr - katetry zaváděcí (sk.Z_537)</t>
  </si>
  <si>
    <t>50115075     ostatní ZPr - stenty (sk.Z_538)</t>
  </si>
  <si>
    <t>50115076     ostatní ZPr - stenty kovové (sk.Z_539)</t>
  </si>
  <si>
    <t>50115077     ostatní ZPr - stenty lékové (sk.Z_540)</t>
  </si>
  <si>
    <t>50115078     ostatní ZPr - stenty absorbční (sk.Z_541)</t>
  </si>
  <si>
    <t>50115079     ostatní ZPr - intenzivní péče (sk.Z_542)</t>
  </si>
  <si>
    <t>50115080     ostatní ZPr - staplery, extraktory (sk.Z_523)</t>
  </si>
  <si>
    <t>50115082     ostatní ZPr - katetry extrakční (sk.Z_543)</t>
  </si>
  <si>
    <t>50115021     diagnostika laboratorní-skl.ZPr(sk.Z_501)</t>
  </si>
  <si>
    <t>50115084     ostatní ZPr - HCO membrány (sk.Z_546)</t>
  </si>
  <si>
    <t>50115061     ostatní ZPr - robotické centrum (sk.Z_512)</t>
  </si>
  <si>
    <t>50115066     ostatní ZPr - šicí materiál - robot (sk.Z_531)</t>
  </si>
  <si>
    <t>50115003     implant.umělé těl.náhr.-TEP (sk.Z_518)</t>
  </si>
  <si>
    <t>50115005     implant.umělé těl.náhr.-neuromodulace-ostatní.(s.Z_511)</t>
  </si>
  <si>
    <t>50115006     implant.umělé těl.náhr.-neuromod.-DBS(s.Z_508)</t>
  </si>
  <si>
    <t>50115068     ostatní ZPr - čidla (sk.Z_522)</t>
  </si>
  <si>
    <t>50115090     ostatní ZPr - zubolékařský materiál (sk.Z_509)</t>
  </si>
  <si>
    <t>50115069     ostatní ZPr - porty (sk.Z_534)</t>
  </si>
  <si>
    <t>50115051     nadstandard ZUM (hrazeno pac.) (sk.Z_520)</t>
  </si>
  <si>
    <t>50115010     RTG materiál, filmy a chemikálie (sk.Z_504)</t>
  </si>
  <si>
    <t>50115008     implant.-plastická, estetická chirurgie (sk.Z_521)</t>
  </si>
  <si>
    <t>50115083     ostatní ZPr - embolizace (sk.Z_545)</t>
  </si>
  <si>
    <t>46 - Transplantační centrum</t>
  </si>
  <si>
    <t>50113300     léky - finanční bonusy</t>
  </si>
  <si>
    <t>57 - Nutriční ambulance</t>
  </si>
  <si>
    <t>81 - Klinická hodnocení</t>
  </si>
  <si>
    <t>86 - Granty</t>
  </si>
  <si>
    <t>50113003     léky ostatní - faktury (VaV)</t>
  </si>
  <si>
    <t>89 - pomocná střediska</t>
  </si>
  <si>
    <t>50115300     ZPr - finanční bonusy</t>
  </si>
  <si>
    <t>90 - HTS</t>
  </si>
  <si>
    <t>93 - Sklady, ostatní provozy</t>
  </si>
  <si>
    <t>94 - Provozní služby</t>
  </si>
  <si>
    <t>95 - Provoz stravování</t>
  </si>
  <si>
    <t>85 - Granty</t>
  </si>
  <si>
    <t>98 - Transfery MZ ČR + refundace</t>
  </si>
  <si>
    <t>50113002     léky - parenterální výživa (LEK)</t>
  </si>
  <si>
    <t>50113004     léky - enter. a parenter. výživa  - výroba (LEK-OPSL)</t>
  </si>
  <si>
    <t>50113006     léky - enterální výživa (LEK)</t>
  </si>
  <si>
    <t>50115007     implant.dentální - samoplátci (sk.Z_526)</t>
  </si>
  <si>
    <t>50115085     ostatní ZPr - samoplátci (sk.Z_547)</t>
  </si>
  <si>
    <t>Položky</t>
  </si>
  <si>
    <t>Rozpočet v tis. Kč</t>
  </si>
  <si>
    <t>Skutečnost v tis. Kč</t>
  </si>
  <si>
    <t>Skutečnost 1-9    v tis. Kč</t>
  </si>
  <si>
    <t>CELKEM         2015</t>
  </si>
  <si>
    <t>ROZPOČET 2016 CELKEM</t>
  </si>
  <si>
    <t>CELKEM  2015</t>
  </si>
  <si>
    <t>HEMODYNAMICKÉ PODPORY - ECMO</t>
  </si>
  <si>
    <t>HEMOELIMINAČNÍ METODY</t>
  </si>
  <si>
    <t>CHLAZENÍ PACIENTŮ</t>
  </si>
  <si>
    <t>KATETRIZAČNÍ INTERVENCE MITRÁLNÍ CHLOPNÉ</t>
  </si>
  <si>
    <t>BEZELEKTRODOVÉ  KARDIOSTIMULÁTORY</t>
  </si>
  <si>
    <t>ENDOMIOKARDIÁLNÍ BIOPSIE</t>
  </si>
  <si>
    <t>PACIENTSKÁ MONITORY</t>
  </si>
  <si>
    <t>na součet</t>
  </si>
  <si>
    <t>onkola do limitu</t>
  </si>
  <si>
    <t>Skutečnost 1-10    v tis. Kč</t>
  </si>
  <si>
    <t>Skutečnost 1-10   v tis. Kč</t>
  </si>
  <si>
    <t>Skutečnost 1-10 v tis. Kč</t>
  </si>
  <si>
    <t>navýšení SZM 10.11.2015, schváleno EN</t>
  </si>
  <si>
    <t>+</t>
  </si>
  <si>
    <t>navýšení Z 503 9.11.2015</t>
  </si>
  <si>
    <t>pásky Z 515 navýšení 500.000,- Kč 30.3.2015</t>
  </si>
  <si>
    <t>pásky ATOMS</t>
  </si>
  <si>
    <t>Z 502 těžký pacient + 60.000,- Kč</t>
  </si>
  <si>
    <t>100 tis. Kč, navýšení počtu lůžek (+20 lůžek)</t>
  </si>
  <si>
    <t>Petřekovo středisko 4443 Laborator kardiogenomiky:</t>
  </si>
  <si>
    <t>DIAG</t>
  </si>
  <si>
    <t>Z 505</t>
  </si>
  <si>
    <t>Z 503</t>
  </si>
  <si>
    <t>Z 542</t>
  </si>
  <si>
    <t>na skutečnost 2014, zbytek do rezervy (pomocný NS) - 8988</t>
  </si>
  <si>
    <t>500 tis. Kč navýšení 12.11.2015, schváleno EN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</si>
</sst>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6">
    <fill>
      <patternFill patternType="none"/>
    </fill>
    <fill>
      <patternFill patternType="gray125"/>
    </fill>
    <fill>
      <patternFill patternType="solid">
        <fgColor theme="6" tint="0.79998168889431442"/>
        <bgColor theme="5" tint="-0.249977111117893"/>
      </patternFill>
    </fill>
    <fill>
      <patternFill patternType="solid">
        <fgColor theme="4" tint="0.39997558519241921"/>
        <bgColor theme="5" tint="-0.249977111117893"/>
      </patternFill>
    </fill>
    <fill>
      <patternFill patternType="solid">
        <fgColor theme="5" tint="0.39997558519241921"/>
        <bgColor theme="5" tint="-0.249977111117893"/>
      </patternFill>
    </fill>
    <fill>
      <patternFill patternType="solid">
        <fgColor theme="6" tint="0.39997558519241921"/>
        <bgColor theme="5" tint="-0.249977111117893"/>
      </patternFill>
    </fill>
    <fill>
      <patternFill patternType="solid">
        <fgColor theme="7" tint="0.39997558519241921"/>
        <bgColor theme="5" tint="-0.249977111117893"/>
      </patternFill>
    </fill>
    <fill>
      <patternFill patternType="solid">
        <fgColor theme="8" tint="0.39997558519241921"/>
        <bgColor theme="5" tint="-0.249977111117893"/>
      </patternFill>
    </fill>
    <fill>
      <patternFill patternType="solid">
        <fgColor theme="9" tint="0.59999389629810485"/>
        <bgColor theme="5" tint="-0.249977111117893"/>
      </patternFill>
    </fill>
    <fill>
      <patternFill patternType="solid">
        <fgColor rgb="FFFFC000"/>
        <bgColor theme="5" tint="-0.249977111117893"/>
      </patternFill>
    </fill>
    <fill>
      <patternFill patternType="solid">
        <fgColor theme="4" tint="-0.249977111117893"/>
        <bgColor theme="5" tint="-0.249977111117893"/>
      </patternFill>
    </fill>
    <fill>
      <patternFill patternType="solid">
        <fgColor theme="2" tint="-0.249977111117893"/>
        <bgColor theme="5" tint="-0.249977111117893"/>
      </patternFill>
    </fill>
    <fill>
      <patternFill patternType="solid">
        <fgColor rgb="FF00B0F0"/>
        <bgColor theme="5" tint="-0.249977111117893"/>
      </patternFill>
    </fill>
    <fill>
      <patternFill patternType="solid">
        <fgColor rgb="FFFF66CC"/>
        <bgColor indexed="64"/>
      </patternFill>
    </fill>
    <fill>
      <patternFill patternType="solid">
        <fgColor rgb="FFEF8787"/>
        <bgColor theme="5" tint="-0.249977111117893"/>
      </patternFill>
    </fill>
    <fill>
      <patternFill patternType="solid">
        <fgColor rgb="FF7CCDE0"/>
        <bgColor theme="5" tint="-0.249977111117893"/>
      </patternFill>
    </fill>
    <fill>
      <patternFill patternType="solid">
        <fgColor rgb="FFFFFF00"/>
        <bgColor theme="5" tint="-0.249977111117893"/>
      </patternFill>
    </fill>
    <fill>
      <patternFill patternType="solid">
        <fgColor rgb="FFD60093"/>
        <bgColor theme="5" tint="-0.249977111117893"/>
      </patternFill>
    </fill>
    <fill>
      <patternFill patternType="solid">
        <fgColor rgb="FF00FF99"/>
        <bgColor theme="5" tint="-0.249977111117893"/>
      </patternFill>
    </fill>
    <fill>
      <patternFill patternType="solid">
        <fgColor rgb="FF9966FF"/>
        <bgColor theme="5" tint="-0.249977111117893"/>
      </patternFill>
    </fill>
    <fill>
      <patternFill patternType="solid">
        <fgColor rgb="FFFFCC66"/>
        <bgColor theme="5" tint="-0.249977111117893"/>
      </patternFill>
    </fill>
    <fill>
      <patternFill patternType="solid">
        <fgColor rgb="FF0070C0"/>
        <bgColor theme="5" tint="-0.249977111117893"/>
      </patternFill>
    </fill>
    <fill>
      <patternFill patternType="solid">
        <fgColor rgb="FFCCFF66"/>
        <bgColor theme="5" tint="-0.249977111117893"/>
      </patternFill>
    </fill>
    <fill>
      <patternFill patternType="solid">
        <fgColor rgb="FFCC99FF"/>
        <bgColor theme="5" tint="-0.249977111117893"/>
      </patternFill>
    </fill>
    <fill>
      <patternFill patternType="solid">
        <fgColor rgb="FF339933"/>
        <bgColor theme="5" tint="-0.249977111117893"/>
      </patternFill>
    </fill>
    <fill>
      <patternFill patternType="solid">
        <fgColor rgb="FF6699FF"/>
        <bgColor theme="5" tint="-0.249977111117893"/>
      </patternFill>
    </fill>
    <fill>
      <patternFill patternType="solid">
        <fgColor rgb="FFFFCC99"/>
        <bgColor theme="5" tint="-0.249977111117893"/>
      </patternFill>
    </fill>
    <fill>
      <patternFill patternType="solid">
        <fgColor rgb="FFFF66CC"/>
        <bgColor theme="5" tint="-0.249977111117893"/>
      </patternFill>
    </fill>
    <fill>
      <patternFill patternType="solid">
        <fgColor rgb="FFFFFF99"/>
        <bgColor theme="5" tint="-0.249977111117893"/>
      </patternFill>
    </fill>
    <fill>
      <patternFill patternType="solid">
        <fgColor rgb="FF66CCFF"/>
        <bgColor theme="5" tint="-0.249977111117893"/>
      </patternFill>
    </fill>
    <fill>
      <patternFill patternType="solid">
        <fgColor rgb="FF009900"/>
        <bgColor theme="5" tint="-0.249977111117893"/>
      </patternFill>
    </fill>
    <fill>
      <patternFill patternType="solid">
        <fgColor rgb="FFFF5050"/>
        <bgColor theme="5" tint="-0.249977111117893"/>
      </patternFill>
    </fill>
    <fill>
      <patternFill patternType="solid">
        <fgColor rgb="FFFF0066"/>
        <bgColor theme="5" tint="-0.249977111117893"/>
      </patternFill>
    </fill>
    <fill>
      <patternFill patternType="solid">
        <fgColor rgb="FF00B050"/>
        <bgColor theme="5" tint="-0.249977111117893"/>
      </patternFill>
    </fill>
    <fill>
      <patternFill patternType="solid">
        <fgColor rgb="FFFF99FF"/>
        <bgColor theme="5" tint="-0.249977111117893"/>
      </patternFill>
    </fill>
    <fill>
      <patternFill patternType="solid">
        <fgColor rgb="FFCCFFFF"/>
        <bgColor theme="5" tint="-0.249977111117893"/>
      </patternFill>
    </fill>
    <fill>
      <patternFill patternType="solid">
        <fgColor rgb="FF66FF33"/>
        <bgColor theme="5" tint="-0.249977111117893"/>
      </patternFill>
    </fill>
    <fill>
      <patternFill patternType="solid">
        <fgColor rgb="FFCCECFF"/>
        <bgColor theme="5" tint="-0.249977111117893"/>
      </patternFill>
    </fill>
    <fill>
      <patternFill patternType="solid">
        <fgColor rgb="FF669900"/>
        <bgColor theme="5" tint="-0.249977111117893"/>
      </patternFill>
    </fill>
    <fill>
      <patternFill patternType="solid">
        <fgColor rgb="FF009999"/>
        <bgColor theme="5" tint="-0.249977111117893"/>
      </patternFill>
    </fill>
    <fill>
      <patternFill patternType="solid">
        <fgColor rgb="FFCCCCFF"/>
        <bgColor theme="5" tint="-0.249977111117893"/>
      </patternFill>
    </fill>
    <fill>
      <patternFill patternType="solid">
        <fgColor rgb="FFCCCC00"/>
        <bgColor theme="5" tint="-0.249977111117893"/>
      </patternFill>
    </fill>
    <fill>
      <patternFill patternType="solid">
        <fgColor rgb="FFFFCCFF"/>
        <bgColor theme="5" tint="-0.249977111117893"/>
      </patternFill>
    </fill>
    <fill>
      <patternFill patternType="solid">
        <fgColor rgb="FFFF9933"/>
        <bgColor theme="5" tint="-0.249977111117893"/>
      </patternFill>
    </fill>
    <fill>
      <patternFill patternType="solid">
        <fgColor rgb="FF00CC00"/>
        <bgColor theme="5" tint="-0.249977111117893"/>
      </patternFill>
    </fill>
    <fill>
      <patternFill patternType="solid">
        <fgColor rgb="FF9900FF"/>
        <bgColor theme="5" tint="-0.249977111117893"/>
      </patternFill>
    </fill>
    <fill>
      <patternFill patternType="solid">
        <fgColor rgb="FFFFCCCC"/>
        <bgColor theme="5" tint="-0.249977111117893"/>
      </patternFill>
    </fill>
    <fill>
      <patternFill patternType="solid">
        <fgColor rgb="FF0099CC"/>
        <bgColor theme="5" tint="-0.249977111117893"/>
      </patternFill>
    </fill>
    <fill>
      <patternFill patternType="solid">
        <fgColor rgb="FFC00000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rgb="FFF9F9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CC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1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pivotButton="1"/>
    <xf numFmtId="0" fontId="3" fillId="0" borderId="0" xfId="0" applyFont="1"/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0" xfId="0" applyFont="1"/>
    <xf numFmtId="0" fontId="4" fillId="6" borderId="4" xfId="0" applyFont="1" applyFill="1" applyBorder="1"/>
    <xf numFmtId="0" fontId="4" fillId="6" borderId="5" xfId="0" applyFont="1" applyFill="1" applyBorder="1"/>
    <xf numFmtId="0" fontId="4" fillId="6" borderId="6" xfId="0" applyFont="1" applyFill="1" applyBorder="1"/>
    <xf numFmtId="0" fontId="4" fillId="8" borderId="4" xfId="0" applyFont="1" applyFill="1" applyBorder="1"/>
    <xf numFmtId="0" fontId="4" fillId="8" borderId="5" xfId="0" applyFont="1" applyFill="1" applyBorder="1"/>
    <xf numFmtId="0" fontId="4" fillId="8" borderId="6" xfId="0" applyFont="1" applyFill="1" applyBorder="1"/>
    <xf numFmtId="0" fontId="4" fillId="9" borderId="4" xfId="0" applyFont="1" applyFill="1" applyBorder="1"/>
    <xf numFmtId="0" fontId="4" fillId="9" borderId="5" xfId="0" applyFont="1" applyFill="1" applyBorder="1"/>
    <xf numFmtId="0" fontId="4" fillId="9" borderId="6" xfId="0" applyFont="1" applyFill="1" applyBorder="1"/>
    <xf numFmtId="0" fontId="4" fillId="10" borderId="4" xfId="0" applyFont="1" applyFill="1" applyBorder="1"/>
    <xf numFmtId="0" fontId="4" fillId="10" borderId="5" xfId="0" applyFont="1" applyFill="1" applyBorder="1"/>
    <xf numFmtId="0" fontId="4" fillId="10" borderId="6" xfId="0" applyFont="1" applyFill="1" applyBorder="1"/>
    <xf numFmtId="0" fontId="4" fillId="11" borderId="4" xfId="0" applyFont="1" applyFill="1" applyBorder="1"/>
    <xf numFmtId="0" fontId="4" fillId="11" borderId="5" xfId="0" applyFont="1" applyFill="1" applyBorder="1"/>
    <xf numFmtId="0" fontId="4" fillId="11" borderId="6" xfId="0" applyFont="1" applyFill="1" applyBorder="1"/>
    <xf numFmtId="0" fontId="4" fillId="12" borderId="4" xfId="0" applyFont="1" applyFill="1" applyBorder="1"/>
    <xf numFmtId="0" fontId="4" fillId="12" borderId="5" xfId="0" applyFont="1" applyFill="1" applyBorder="1"/>
    <xf numFmtId="0" fontId="4" fillId="12" borderId="6" xfId="0" applyFont="1" applyFill="1" applyBorder="1"/>
    <xf numFmtId="0" fontId="4" fillId="5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14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0" fontId="4" fillId="7" borderId="4" xfId="0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/>
    </xf>
    <xf numFmtId="0" fontId="4" fillId="13" borderId="4" xfId="0" applyFont="1" applyFill="1" applyBorder="1" applyAlignment="1">
      <alignment horizontal="left" vertical="center"/>
    </xf>
    <xf numFmtId="0" fontId="4" fillId="13" borderId="5" xfId="0" applyFont="1" applyFill="1" applyBorder="1" applyAlignment="1">
      <alignment horizontal="left" vertical="center"/>
    </xf>
    <xf numFmtId="0" fontId="4" fillId="13" borderId="6" xfId="0" applyFont="1" applyFill="1" applyBorder="1" applyAlignment="1">
      <alignment horizontal="left" vertical="center"/>
    </xf>
    <xf numFmtId="0" fontId="4" fillId="8" borderId="4" xfId="0" applyFont="1" applyFill="1" applyBorder="1" applyAlignment="1">
      <alignment horizontal="left" vertical="center"/>
    </xf>
    <xf numFmtId="0" fontId="4" fillId="8" borderId="5" xfId="0" applyFont="1" applyFill="1" applyBorder="1" applyAlignment="1">
      <alignment horizontal="left" vertical="center"/>
    </xf>
    <xf numFmtId="0" fontId="4" fillId="8" borderId="6" xfId="0" applyFont="1" applyFill="1" applyBorder="1" applyAlignment="1">
      <alignment horizontal="left" vertical="center"/>
    </xf>
    <xf numFmtId="0" fontId="4" fillId="14" borderId="4" xfId="0" applyFont="1" applyFill="1" applyBorder="1" applyAlignment="1">
      <alignment horizontal="left" vertical="center"/>
    </xf>
    <xf numFmtId="0" fontId="4" fillId="14" borderId="5" xfId="0" applyFont="1" applyFill="1" applyBorder="1" applyAlignment="1">
      <alignment horizontal="left" vertical="center"/>
    </xf>
    <xf numFmtId="0" fontId="4" fillId="14" borderId="6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15" borderId="4" xfId="0" applyFont="1" applyFill="1" applyBorder="1" applyAlignment="1">
      <alignment horizontal="left" vertical="center"/>
    </xf>
    <xf numFmtId="0" fontId="4" fillId="15" borderId="5" xfId="0" applyFont="1" applyFill="1" applyBorder="1" applyAlignment="1">
      <alignment horizontal="left" vertical="center"/>
    </xf>
    <xf numFmtId="0" fontId="4" fillId="15" borderId="6" xfId="0" applyFont="1" applyFill="1" applyBorder="1" applyAlignment="1">
      <alignment horizontal="left" vertical="center"/>
    </xf>
    <xf numFmtId="0" fontId="5" fillId="15" borderId="7" xfId="0" applyFont="1" applyFill="1" applyBorder="1" applyAlignment="1">
      <alignment horizontal="center" vertical="center" wrapText="1"/>
    </xf>
    <xf numFmtId="0" fontId="4" fillId="16" borderId="4" xfId="0" applyFont="1" applyFill="1" applyBorder="1"/>
    <xf numFmtId="0" fontId="4" fillId="16" borderId="5" xfId="0" applyFont="1" applyFill="1" applyBorder="1"/>
    <xf numFmtId="0" fontId="4" fillId="16" borderId="6" xfId="0" applyFont="1" applyFill="1" applyBorder="1"/>
    <xf numFmtId="0" fontId="5" fillId="16" borderId="7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4" fillId="17" borderId="4" xfId="0" applyFont="1" applyFill="1" applyBorder="1"/>
    <xf numFmtId="0" fontId="4" fillId="17" borderId="5" xfId="0" applyFont="1" applyFill="1" applyBorder="1"/>
    <xf numFmtId="0" fontId="4" fillId="17" borderId="6" xfId="0" applyFont="1" applyFill="1" applyBorder="1"/>
    <xf numFmtId="0" fontId="5" fillId="17" borderId="7" xfId="0" applyFont="1" applyFill="1" applyBorder="1" applyAlignment="1">
      <alignment horizontal="center"/>
    </xf>
    <xf numFmtId="0" fontId="4" fillId="18" borderId="4" xfId="0" applyFont="1" applyFill="1" applyBorder="1"/>
    <xf numFmtId="0" fontId="4" fillId="18" borderId="5" xfId="0" applyFont="1" applyFill="1" applyBorder="1"/>
    <xf numFmtId="0" fontId="4" fillId="18" borderId="6" xfId="0" applyFont="1" applyFill="1" applyBorder="1"/>
    <xf numFmtId="0" fontId="5" fillId="18" borderId="7" xfId="0" applyFont="1" applyFill="1" applyBorder="1" applyAlignment="1">
      <alignment horizontal="center"/>
    </xf>
    <xf numFmtId="0" fontId="4" fillId="19" borderId="4" xfId="0" applyFont="1" applyFill="1" applyBorder="1"/>
    <xf numFmtId="0" fontId="4" fillId="19" borderId="5" xfId="0" applyFont="1" applyFill="1" applyBorder="1"/>
    <xf numFmtId="0" fontId="4" fillId="19" borderId="6" xfId="0" applyFont="1" applyFill="1" applyBorder="1"/>
    <xf numFmtId="0" fontId="5" fillId="19" borderId="7" xfId="0" applyFont="1" applyFill="1" applyBorder="1" applyAlignment="1">
      <alignment horizontal="center"/>
    </xf>
    <xf numFmtId="0" fontId="4" fillId="20" borderId="4" xfId="0" applyFont="1" applyFill="1" applyBorder="1"/>
    <xf numFmtId="0" fontId="4" fillId="20" borderId="5" xfId="0" applyFont="1" applyFill="1" applyBorder="1"/>
    <xf numFmtId="0" fontId="4" fillId="20" borderId="6" xfId="0" applyFont="1" applyFill="1" applyBorder="1"/>
    <xf numFmtId="0" fontId="5" fillId="20" borderId="7" xfId="0" applyFont="1" applyFill="1" applyBorder="1" applyAlignment="1">
      <alignment horizontal="center"/>
    </xf>
    <xf numFmtId="0" fontId="4" fillId="21" borderId="4" xfId="0" applyFont="1" applyFill="1" applyBorder="1"/>
    <xf numFmtId="0" fontId="4" fillId="21" borderId="5" xfId="0" applyFont="1" applyFill="1" applyBorder="1"/>
    <xf numFmtId="0" fontId="4" fillId="21" borderId="6" xfId="0" applyFont="1" applyFill="1" applyBorder="1"/>
    <xf numFmtId="0" fontId="5" fillId="21" borderId="7" xfId="0" applyFont="1" applyFill="1" applyBorder="1" applyAlignment="1">
      <alignment horizontal="center"/>
    </xf>
    <xf numFmtId="0" fontId="5" fillId="12" borderId="7" xfId="0" applyFont="1" applyFill="1" applyBorder="1" applyAlignment="1">
      <alignment horizontal="center"/>
    </xf>
    <xf numFmtId="0" fontId="4" fillId="22" borderId="4" xfId="0" applyFont="1" applyFill="1" applyBorder="1"/>
    <xf numFmtId="0" fontId="4" fillId="22" borderId="5" xfId="0" applyFont="1" applyFill="1" applyBorder="1"/>
    <xf numFmtId="0" fontId="4" fillId="22" borderId="6" xfId="0" applyFont="1" applyFill="1" applyBorder="1"/>
    <xf numFmtId="0" fontId="5" fillId="22" borderId="7" xfId="0" applyFont="1" applyFill="1" applyBorder="1" applyAlignment="1">
      <alignment horizontal="center"/>
    </xf>
    <xf numFmtId="0" fontId="4" fillId="23" borderId="4" xfId="0" applyFont="1" applyFill="1" applyBorder="1"/>
    <xf numFmtId="0" fontId="4" fillId="23" borderId="5" xfId="0" applyFont="1" applyFill="1" applyBorder="1"/>
    <xf numFmtId="0" fontId="4" fillId="23" borderId="6" xfId="0" applyFont="1" applyFill="1" applyBorder="1"/>
    <xf numFmtId="0" fontId="5" fillId="23" borderId="7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4" fillId="24" borderId="4" xfId="0" applyFont="1" applyFill="1" applyBorder="1"/>
    <xf numFmtId="0" fontId="4" fillId="24" borderId="5" xfId="0" applyFont="1" applyFill="1" applyBorder="1"/>
    <xf numFmtId="0" fontId="4" fillId="24" borderId="6" xfId="0" applyFont="1" applyFill="1" applyBorder="1"/>
    <xf numFmtId="0" fontId="5" fillId="24" borderId="7" xfId="0" applyFont="1" applyFill="1" applyBorder="1" applyAlignment="1">
      <alignment horizontal="center"/>
    </xf>
    <xf numFmtId="0" fontId="4" fillId="25" borderId="4" xfId="0" applyFont="1" applyFill="1" applyBorder="1"/>
    <xf numFmtId="0" fontId="4" fillId="25" borderId="5" xfId="0" applyFont="1" applyFill="1" applyBorder="1"/>
    <xf numFmtId="0" fontId="4" fillId="25" borderId="6" xfId="0" applyFont="1" applyFill="1" applyBorder="1"/>
    <xf numFmtId="0" fontId="5" fillId="25" borderId="7" xfId="0" applyFont="1" applyFill="1" applyBorder="1" applyAlignment="1">
      <alignment horizontal="center"/>
    </xf>
    <xf numFmtId="0" fontId="4" fillId="26" borderId="4" xfId="0" applyFont="1" applyFill="1" applyBorder="1"/>
    <xf numFmtId="0" fontId="4" fillId="26" borderId="5" xfId="0" applyFont="1" applyFill="1" applyBorder="1"/>
    <xf numFmtId="0" fontId="4" fillId="26" borderId="6" xfId="0" applyFont="1" applyFill="1" applyBorder="1"/>
    <xf numFmtId="0" fontId="5" fillId="26" borderId="7" xfId="0" applyFont="1" applyFill="1" applyBorder="1" applyAlignment="1">
      <alignment horizontal="center"/>
    </xf>
    <xf numFmtId="0" fontId="4" fillId="27" borderId="4" xfId="0" applyFont="1" applyFill="1" applyBorder="1"/>
    <xf numFmtId="0" fontId="4" fillId="27" borderId="5" xfId="0" applyFont="1" applyFill="1" applyBorder="1"/>
    <xf numFmtId="0" fontId="4" fillId="27" borderId="6" xfId="0" applyFont="1" applyFill="1" applyBorder="1"/>
    <xf numFmtId="0" fontId="5" fillId="27" borderId="7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0" fontId="4" fillId="28" borderId="4" xfId="0" applyFont="1" applyFill="1" applyBorder="1"/>
    <xf numFmtId="0" fontId="4" fillId="28" borderId="5" xfId="0" applyFont="1" applyFill="1" applyBorder="1"/>
    <xf numFmtId="0" fontId="4" fillId="28" borderId="6" xfId="0" applyFont="1" applyFill="1" applyBorder="1"/>
    <xf numFmtId="0" fontId="5" fillId="28" borderId="7" xfId="0" applyFont="1" applyFill="1" applyBorder="1" applyAlignment="1">
      <alignment horizontal="center"/>
    </xf>
    <xf numFmtId="0" fontId="4" fillId="29" borderId="4" xfId="0" applyFont="1" applyFill="1" applyBorder="1"/>
    <xf numFmtId="0" fontId="4" fillId="29" borderId="5" xfId="0" applyFont="1" applyFill="1" applyBorder="1"/>
    <xf numFmtId="0" fontId="4" fillId="29" borderId="6" xfId="0" applyFont="1" applyFill="1" applyBorder="1"/>
    <xf numFmtId="0" fontId="5" fillId="29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4" fillId="30" borderId="4" xfId="0" applyFont="1" applyFill="1" applyBorder="1"/>
    <xf numFmtId="0" fontId="4" fillId="30" borderId="5" xfId="0" applyFont="1" applyFill="1" applyBorder="1"/>
    <xf numFmtId="0" fontId="4" fillId="30" borderId="6" xfId="0" applyFont="1" applyFill="1" applyBorder="1"/>
    <xf numFmtId="0" fontId="5" fillId="30" borderId="7" xfId="0" applyFont="1" applyFill="1" applyBorder="1" applyAlignment="1">
      <alignment horizontal="center"/>
    </xf>
    <xf numFmtId="0" fontId="4" fillId="31" borderId="4" xfId="0" applyFont="1" applyFill="1" applyBorder="1"/>
    <xf numFmtId="0" fontId="4" fillId="31" borderId="5" xfId="0" applyFont="1" applyFill="1" applyBorder="1"/>
    <xf numFmtId="0" fontId="4" fillId="31" borderId="6" xfId="0" applyFont="1" applyFill="1" applyBorder="1"/>
    <xf numFmtId="0" fontId="5" fillId="31" borderId="7" xfId="0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0" fontId="4" fillId="32" borderId="4" xfId="0" applyFont="1" applyFill="1" applyBorder="1"/>
    <xf numFmtId="0" fontId="4" fillId="32" borderId="5" xfId="0" applyFont="1" applyFill="1" applyBorder="1"/>
    <xf numFmtId="0" fontId="4" fillId="32" borderId="6" xfId="0" applyFont="1" applyFill="1" applyBorder="1"/>
    <xf numFmtId="0" fontId="5" fillId="32" borderId="7" xfId="0" applyFont="1" applyFill="1" applyBorder="1" applyAlignment="1">
      <alignment horizontal="center"/>
    </xf>
    <xf numFmtId="0" fontId="4" fillId="33" borderId="4" xfId="0" applyFont="1" applyFill="1" applyBorder="1"/>
    <xf numFmtId="0" fontId="4" fillId="33" borderId="5" xfId="0" applyFont="1" applyFill="1" applyBorder="1"/>
    <xf numFmtId="0" fontId="4" fillId="33" borderId="6" xfId="0" applyFont="1" applyFill="1" applyBorder="1"/>
    <xf numFmtId="0" fontId="5" fillId="33" borderId="7" xfId="0" applyFont="1" applyFill="1" applyBorder="1" applyAlignment="1">
      <alignment horizontal="center"/>
    </xf>
    <xf numFmtId="0" fontId="4" fillId="34" borderId="4" xfId="0" applyFont="1" applyFill="1" applyBorder="1"/>
    <xf numFmtId="0" fontId="4" fillId="34" borderId="5" xfId="0" applyFont="1" applyFill="1" applyBorder="1"/>
    <xf numFmtId="0" fontId="4" fillId="34" borderId="6" xfId="0" applyFont="1" applyFill="1" applyBorder="1"/>
    <xf numFmtId="0" fontId="5" fillId="34" borderId="7" xfId="0" applyFont="1" applyFill="1" applyBorder="1" applyAlignment="1">
      <alignment horizontal="center"/>
    </xf>
    <xf numFmtId="0" fontId="4" fillId="35" borderId="4" xfId="0" applyFont="1" applyFill="1" applyBorder="1"/>
    <xf numFmtId="0" fontId="4" fillId="35" borderId="5" xfId="0" applyFont="1" applyFill="1" applyBorder="1"/>
    <xf numFmtId="0" fontId="4" fillId="35" borderId="6" xfId="0" applyFont="1" applyFill="1" applyBorder="1"/>
    <xf numFmtId="0" fontId="5" fillId="35" borderId="7" xfId="0" applyFont="1" applyFill="1" applyBorder="1" applyAlignment="1">
      <alignment horizontal="center"/>
    </xf>
    <xf numFmtId="0" fontId="4" fillId="36" borderId="4" xfId="0" applyFont="1" applyFill="1" applyBorder="1"/>
    <xf numFmtId="0" fontId="4" fillId="36" borderId="5" xfId="0" applyFont="1" applyFill="1" applyBorder="1"/>
    <xf numFmtId="0" fontId="4" fillId="36" borderId="6" xfId="0" applyFont="1" applyFill="1" applyBorder="1"/>
    <xf numFmtId="0" fontId="5" fillId="36" borderId="7" xfId="0" applyFont="1" applyFill="1" applyBorder="1" applyAlignment="1">
      <alignment horizontal="center"/>
    </xf>
    <xf numFmtId="0" fontId="4" fillId="37" borderId="4" xfId="0" applyFont="1" applyFill="1" applyBorder="1"/>
    <xf numFmtId="0" fontId="4" fillId="37" borderId="5" xfId="0" applyFont="1" applyFill="1" applyBorder="1"/>
    <xf numFmtId="0" fontId="4" fillId="37" borderId="6" xfId="0" applyFont="1" applyFill="1" applyBorder="1"/>
    <xf numFmtId="0" fontId="5" fillId="37" borderId="7" xfId="0" applyFont="1" applyFill="1" applyBorder="1" applyAlignment="1">
      <alignment horizontal="center"/>
    </xf>
    <xf numFmtId="0" fontId="4" fillId="38" borderId="4" xfId="0" applyFont="1" applyFill="1" applyBorder="1"/>
    <xf numFmtId="0" fontId="4" fillId="38" borderId="5" xfId="0" applyFont="1" applyFill="1" applyBorder="1"/>
    <xf numFmtId="0" fontId="4" fillId="38" borderId="6" xfId="0" applyFont="1" applyFill="1" applyBorder="1"/>
    <xf numFmtId="0" fontId="5" fillId="38" borderId="7" xfId="0" applyFont="1" applyFill="1" applyBorder="1" applyAlignment="1">
      <alignment horizontal="center"/>
    </xf>
    <xf numFmtId="0" fontId="4" fillId="39" borderId="4" xfId="0" applyFont="1" applyFill="1" applyBorder="1"/>
    <xf numFmtId="0" fontId="4" fillId="39" borderId="5" xfId="0" applyFont="1" applyFill="1" applyBorder="1"/>
    <xf numFmtId="0" fontId="4" fillId="39" borderId="6" xfId="0" applyFont="1" applyFill="1" applyBorder="1"/>
    <xf numFmtId="0" fontId="5" fillId="39" borderId="7" xfId="0" applyFont="1" applyFill="1" applyBorder="1" applyAlignment="1">
      <alignment horizontal="center"/>
    </xf>
    <xf numFmtId="0" fontId="4" fillId="40" borderId="4" xfId="0" applyFont="1" applyFill="1" applyBorder="1"/>
    <xf numFmtId="0" fontId="4" fillId="40" borderId="5" xfId="0" applyFont="1" applyFill="1" applyBorder="1"/>
    <xf numFmtId="0" fontId="4" fillId="40" borderId="6" xfId="0" applyFont="1" applyFill="1" applyBorder="1"/>
    <xf numFmtId="0" fontId="5" fillId="40" borderId="7" xfId="0" applyFont="1" applyFill="1" applyBorder="1" applyAlignment="1">
      <alignment horizontal="center"/>
    </xf>
    <xf numFmtId="0" fontId="4" fillId="41" borderId="4" xfId="0" applyFont="1" applyFill="1" applyBorder="1"/>
    <xf numFmtId="0" fontId="4" fillId="41" borderId="5" xfId="0" applyFont="1" applyFill="1" applyBorder="1"/>
    <xf numFmtId="0" fontId="4" fillId="41" borderId="6" xfId="0" applyFont="1" applyFill="1" applyBorder="1"/>
    <xf numFmtId="0" fontId="5" fillId="41" borderId="7" xfId="0" applyFont="1" applyFill="1" applyBorder="1" applyAlignment="1">
      <alignment horizontal="center"/>
    </xf>
    <xf numFmtId="0" fontId="4" fillId="42" borderId="4" xfId="0" applyFont="1" applyFill="1" applyBorder="1"/>
    <xf numFmtId="0" fontId="4" fillId="42" borderId="5" xfId="0" applyFont="1" applyFill="1" applyBorder="1"/>
    <xf numFmtId="0" fontId="4" fillId="42" borderId="6" xfId="0" applyFont="1" applyFill="1" applyBorder="1"/>
    <xf numFmtId="0" fontId="5" fillId="42" borderId="7" xfId="0" applyFont="1" applyFill="1" applyBorder="1" applyAlignment="1">
      <alignment horizontal="center"/>
    </xf>
    <xf numFmtId="0" fontId="4" fillId="43" borderId="4" xfId="0" applyFont="1" applyFill="1" applyBorder="1"/>
    <xf numFmtId="0" fontId="4" fillId="43" borderId="5" xfId="0" applyFont="1" applyFill="1" applyBorder="1"/>
    <xf numFmtId="0" fontId="4" fillId="43" borderId="6" xfId="0" applyFont="1" applyFill="1" applyBorder="1"/>
    <xf numFmtId="0" fontId="5" fillId="43" borderId="7" xfId="0" applyFont="1" applyFill="1" applyBorder="1" applyAlignment="1">
      <alignment horizontal="center"/>
    </xf>
    <xf numFmtId="0" fontId="6" fillId="0" borderId="0" xfId="0" applyFont="1"/>
    <xf numFmtId="0" fontId="4" fillId="44" borderId="5" xfId="0" applyFont="1" applyFill="1" applyBorder="1"/>
    <xf numFmtId="0" fontId="4" fillId="44" borderId="6" xfId="0" applyFont="1" applyFill="1" applyBorder="1"/>
    <xf numFmtId="0" fontId="5" fillId="44" borderId="7" xfId="0" applyFont="1" applyFill="1" applyBorder="1" applyAlignment="1">
      <alignment horizontal="center"/>
    </xf>
    <xf numFmtId="0" fontId="4" fillId="45" borderId="5" xfId="0" applyFont="1" applyFill="1" applyBorder="1"/>
    <xf numFmtId="0" fontId="4" fillId="45" borderId="6" xfId="0" applyFont="1" applyFill="1" applyBorder="1"/>
    <xf numFmtId="0" fontId="5" fillId="45" borderId="7" xfId="0" applyFont="1" applyFill="1" applyBorder="1" applyAlignment="1">
      <alignment horizontal="center"/>
    </xf>
    <xf numFmtId="0" fontId="4" fillId="46" borderId="5" xfId="0" applyFont="1" applyFill="1" applyBorder="1"/>
    <xf numFmtId="0" fontId="4" fillId="46" borderId="6" xfId="0" applyFont="1" applyFill="1" applyBorder="1"/>
    <xf numFmtId="0" fontId="5" fillId="46" borderId="7" xfId="0" applyFont="1" applyFill="1" applyBorder="1" applyAlignment="1">
      <alignment horizontal="center"/>
    </xf>
    <xf numFmtId="0" fontId="4" fillId="47" borderId="5" xfId="0" applyFont="1" applyFill="1" applyBorder="1"/>
    <xf numFmtId="0" fontId="4" fillId="47" borderId="6" xfId="0" applyFont="1" applyFill="1" applyBorder="1"/>
    <xf numFmtId="0" fontId="5" fillId="47" borderId="7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wrapText="1"/>
    </xf>
    <xf numFmtId="0" fontId="5" fillId="17" borderId="1" xfId="0" applyFont="1" applyFill="1" applyBorder="1" applyAlignment="1">
      <alignment horizontal="center" wrapText="1"/>
    </xf>
    <xf numFmtId="0" fontId="5" fillId="18" borderId="1" xfId="0" applyFont="1" applyFill="1" applyBorder="1" applyAlignment="1">
      <alignment horizontal="center" wrapText="1"/>
    </xf>
    <xf numFmtId="0" fontId="5" fillId="19" borderId="1" xfId="0" applyFont="1" applyFill="1" applyBorder="1" applyAlignment="1">
      <alignment horizontal="center" wrapText="1"/>
    </xf>
    <xf numFmtId="0" fontId="5" fillId="20" borderId="1" xfId="0" applyFont="1" applyFill="1" applyBorder="1" applyAlignment="1">
      <alignment horizontal="center" wrapText="1"/>
    </xf>
    <xf numFmtId="0" fontId="5" fillId="12" borderId="1" xfId="0" applyFont="1" applyFill="1" applyBorder="1" applyAlignment="1">
      <alignment horizontal="center" wrapText="1"/>
    </xf>
    <xf numFmtId="0" fontId="5" fillId="22" borderId="1" xfId="0" applyFont="1" applyFill="1" applyBorder="1" applyAlignment="1">
      <alignment horizontal="center" wrapText="1"/>
    </xf>
    <xf numFmtId="0" fontId="5" fillId="23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5" fillId="24" borderId="1" xfId="0" applyFont="1" applyFill="1" applyBorder="1" applyAlignment="1">
      <alignment horizontal="center" wrapText="1"/>
    </xf>
    <xf numFmtId="0" fontId="5" fillId="25" borderId="1" xfId="0" applyFont="1" applyFill="1" applyBorder="1" applyAlignment="1">
      <alignment horizontal="center" wrapText="1"/>
    </xf>
    <xf numFmtId="0" fontId="5" fillId="26" borderId="1" xfId="0" applyFont="1" applyFill="1" applyBorder="1" applyAlignment="1">
      <alignment horizontal="center" wrapText="1"/>
    </xf>
    <xf numFmtId="0" fontId="5" fillId="27" borderId="1" xfId="0" applyFont="1" applyFill="1" applyBorder="1" applyAlignment="1">
      <alignment horizontal="center" wrapText="1"/>
    </xf>
    <xf numFmtId="0" fontId="5" fillId="11" borderId="1" xfId="0" applyFont="1" applyFill="1" applyBorder="1" applyAlignment="1">
      <alignment horizontal="center" wrapText="1"/>
    </xf>
    <xf numFmtId="0" fontId="5" fillId="21" borderId="1" xfId="0" applyFont="1" applyFill="1" applyBorder="1" applyAlignment="1">
      <alignment horizontal="center" wrapText="1"/>
    </xf>
    <xf numFmtId="0" fontId="5" fillId="31" borderId="1" xfId="0" applyFont="1" applyFill="1" applyBorder="1" applyAlignment="1">
      <alignment horizontal="center" wrapText="1"/>
    </xf>
    <xf numFmtId="0" fontId="5" fillId="28" borderId="1" xfId="0" applyFont="1" applyFill="1" applyBorder="1" applyAlignment="1">
      <alignment horizontal="center" wrapText="1"/>
    </xf>
    <xf numFmtId="0" fontId="5" fillId="29" borderId="1" xfId="0" applyFont="1" applyFill="1" applyBorder="1" applyAlignment="1">
      <alignment horizontal="center" wrapText="1"/>
    </xf>
    <xf numFmtId="0" fontId="5" fillId="30" borderId="1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center" wrapText="1"/>
    </xf>
    <xf numFmtId="0" fontId="5" fillId="32" borderId="1" xfId="0" applyFont="1" applyFill="1" applyBorder="1" applyAlignment="1">
      <alignment horizontal="center" wrapText="1"/>
    </xf>
    <xf numFmtId="0" fontId="5" fillId="33" borderId="1" xfId="0" applyFont="1" applyFill="1" applyBorder="1" applyAlignment="1">
      <alignment horizontal="center" wrapText="1"/>
    </xf>
    <xf numFmtId="0" fontId="5" fillId="9" borderId="1" xfId="0" applyFont="1" applyFill="1" applyBorder="1" applyAlignment="1">
      <alignment horizontal="center" wrapText="1"/>
    </xf>
    <xf numFmtId="0" fontId="5" fillId="34" borderId="1" xfId="0" applyFont="1" applyFill="1" applyBorder="1" applyAlignment="1">
      <alignment horizontal="center" wrapText="1"/>
    </xf>
    <xf numFmtId="0" fontId="5" fillId="35" borderId="1" xfId="0" applyFont="1" applyFill="1" applyBorder="1" applyAlignment="1">
      <alignment horizontal="center" wrapText="1"/>
    </xf>
    <xf numFmtId="0" fontId="5" fillId="36" borderId="1" xfId="0" applyFont="1" applyFill="1" applyBorder="1" applyAlignment="1">
      <alignment horizontal="center" wrapText="1"/>
    </xf>
    <xf numFmtId="0" fontId="5" fillId="45" borderId="1" xfId="0" applyFont="1" applyFill="1" applyBorder="1" applyAlignment="1">
      <alignment horizontal="center" wrapText="1"/>
    </xf>
    <xf numFmtId="0" fontId="5" fillId="37" borderId="1" xfId="0" applyFont="1" applyFill="1" applyBorder="1" applyAlignment="1">
      <alignment horizontal="center" wrapText="1"/>
    </xf>
    <xf numFmtId="0" fontId="5" fillId="46" borderId="1" xfId="0" applyFont="1" applyFill="1" applyBorder="1" applyAlignment="1">
      <alignment horizontal="center" wrapText="1"/>
    </xf>
    <xf numFmtId="0" fontId="5" fillId="38" borderId="1" xfId="0" applyFont="1" applyFill="1" applyBorder="1" applyAlignment="1">
      <alignment horizontal="center" wrapText="1"/>
    </xf>
    <xf numFmtId="0" fontId="5" fillId="39" borderId="1" xfId="0" applyFont="1" applyFill="1" applyBorder="1" applyAlignment="1">
      <alignment horizontal="center" wrapText="1"/>
    </xf>
    <xf numFmtId="0" fontId="5" fillId="40" borderId="1" xfId="0" applyFont="1" applyFill="1" applyBorder="1" applyAlignment="1">
      <alignment horizontal="center" wrapText="1"/>
    </xf>
    <xf numFmtId="0" fontId="5" fillId="41" borderId="1" xfId="0" applyFont="1" applyFill="1" applyBorder="1" applyAlignment="1">
      <alignment horizontal="center" wrapText="1"/>
    </xf>
    <xf numFmtId="0" fontId="5" fillId="42" borderId="1" xfId="0" applyFont="1" applyFill="1" applyBorder="1" applyAlignment="1">
      <alignment horizontal="center" wrapText="1"/>
    </xf>
    <xf numFmtId="0" fontId="5" fillId="43" borderId="1" xfId="0" applyFont="1" applyFill="1" applyBorder="1" applyAlignment="1">
      <alignment horizontal="center" wrapText="1"/>
    </xf>
    <xf numFmtId="0" fontId="5" fillId="44" borderId="1" xfId="0" applyFont="1" applyFill="1" applyBorder="1" applyAlignment="1">
      <alignment horizontal="center" wrapText="1"/>
    </xf>
    <xf numFmtId="0" fontId="5" fillId="47" borderId="1" xfId="0" applyFont="1" applyFill="1" applyBorder="1" applyAlignment="1">
      <alignment horizontal="center" wrapText="1"/>
    </xf>
    <xf numFmtId="0" fontId="0" fillId="0" borderId="0" xfId="0" applyBorder="1"/>
    <xf numFmtId="0" fontId="6" fillId="0" borderId="7" xfId="0" applyFont="1" applyBorder="1" applyAlignment="1">
      <alignment horizontal="left"/>
    </xf>
    <xf numFmtId="3" fontId="3" fillId="0" borderId="17" xfId="0" applyNumberFormat="1" applyFont="1" applyBorder="1"/>
    <xf numFmtId="3" fontId="3" fillId="0" borderId="17" xfId="0" applyNumberFormat="1" applyFont="1" applyFill="1" applyBorder="1"/>
    <xf numFmtId="3" fontId="0" fillId="0" borderId="17" xfId="0" applyNumberFormat="1" applyBorder="1"/>
    <xf numFmtId="3" fontId="3" fillId="0" borderId="14" xfId="0" applyNumberFormat="1" applyFont="1" applyBorder="1"/>
    <xf numFmtId="3" fontId="3" fillId="0" borderId="14" xfId="0" applyNumberFormat="1" applyFont="1" applyFill="1" applyBorder="1"/>
    <xf numFmtId="3" fontId="0" fillId="0" borderId="14" xfId="0" applyNumberFormat="1" applyBorder="1"/>
    <xf numFmtId="3" fontId="3" fillId="0" borderId="16" xfId="0" applyNumberFormat="1" applyFont="1" applyBorder="1"/>
    <xf numFmtId="3" fontId="3" fillId="0" borderId="16" xfId="0" applyNumberFormat="1" applyFont="1" applyFill="1" applyBorder="1"/>
    <xf numFmtId="3" fontId="0" fillId="0" borderId="16" xfId="0" applyNumberFormat="1" applyBorder="1"/>
    <xf numFmtId="3" fontId="3" fillId="0" borderId="15" xfId="0" applyNumberFormat="1" applyFont="1" applyBorder="1"/>
    <xf numFmtId="3" fontId="3" fillId="0" borderId="15" xfId="0" applyNumberFormat="1" applyFont="1" applyFill="1" applyBorder="1"/>
    <xf numFmtId="3" fontId="3" fillId="0" borderId="19" xfId="0" applyNumberFormat="1" applyFont="1" applyBorder="1"/>
    <xf numFmtId="3" fontId="6" fillId="49" borderId="7" xfId="0" applyNumberFormat="1" applyFont="1" applyFill="1" applyBorder="1"/>
    <xf numFmtId="3" fontId="3" fillId="49" borderId="2" xfId="0" applyNumberFormat="1" applyFont="1" applyFill="1" applyBorder="1"/>
    <xf numFmtId="3" fontId="3" fillId="49" borderId="3" xfId="0" applyNumberFormat="1" applyFont="1" applyFill="1" applyBorder="1"/>
    <xf numFmtId="3" fontId="6" fillId="50" borderId="7" xfId="0" applyNumberFormat="1" applyFont="1" applyFill="1" applyBorder="1"/>
    <xf numFmtId="3" fontId="3" fillId="50" borderId="2" xfId="0" applyNumberFormat="1" applyFont="1" applyFill="1" applyBorder="1"/>
    <xf numFmtId="3" fontId="3" fillId="50" borderId="3" xfId="0" applyNumberFormat="1" applyFont="1" applyFill="1" applyBorder="1"/>
    <xf numFmtId="3" fontId="6" fillId="0" borderId="20" xfId="0" applyNumberFormat="1" applyFont="1" applyBorder="1"/>
    <xf numFmtId="3" fontId="3" fillId="0" borderId="21" xfId="0" applyNumberFormat="1" applyFont="1" applyBorder="1"/>
    <xf numFmtId="3" fontId="3" fillId="0" borderId="22" xfId="0" applyNumberFormat="1" applyFont="1" applyBorder="1"/>
    <xf numFmtId="3" fontId="3" fillId="0" borderId="23" xfId="0" applyNumberFormat="1" applyFont="1" applyBorder="1"/>
    <xf numFmtId="3" fontId="3" fillId="0" borderId="24" xfId="0" applyNumberFormat="1" applyFont="1" applyBorder="1"/>
    <xf numFmtId="3" fontId="6" fillId="50" borderId="3" xfId="0" applyNumberFormat="1" applyFont="1" applyFill="1" applyBorder="1"/>
    <xf numFmtId="0" fontId="9" fillId="16" borderId="7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3" fontId="3" fillId="51" borderId="17" xfId="0" applyNumberFormat="1" applyFont="1" applyFill="1" applyBorder="1"/>
    <xf numFmtId="3" fontId="3" fillId="52" borderId="14" xfId="0" applyNumberFormat="1" applyFont="1" applyFill="1" applyBorder="1"/>
    <xf numFmtId="3" fontId="3" fillId="53" borderId="14" xfId="0" applyNumberFormat="1" applyFont="1" applyFill="1" applyBorder="1"/>
    <xf numFmtId="3" fontId="3" fillId="54" borderId="17" xfId="0" applyNumberFormat="1" applyFont="1" applyFill="1" applyBorder="1"/>
    <xf numFmtId="3" fontId="3" fillId="53" borderId="17" xfId="0" applyNumberFormat="1" applyFont="1" applyFill="1" applyBorder="1"/>
    <xf numFmtId="3" fontId="3" fillId="53" borderId="16" xfId="0" applyNumberFormat="1" applyFont="1" applyFill="1" applyBorder="1"/>
    <xf numFmtId="3" fontId="12" fillId="0" borderId="17" xfId="0" applyNumberFormat="1" applyFont="1" applyFill="1" applyBorder="1"/>
    <xf numFmtId="3" fontId="12" fillId="0" borderId="14" xfId="0" applyNumberFormat="1" applyFont="1" applyFill="1" applyBorder="1"/>
    <xf numFmtId="3" fontId="12" fillId="0" borderId="16" xfId="0" applyNumberFormat="1" applyFont="1" applyFill="1" applyBorder="1"/>
    <xf numFmtId="3" fontId="3" fillId="51" borderId="14" xfId="0" applyNumberFormat="1" applyFont="1" applyFill="1" applyBorder="1"/>
    <xf numFmtId="0" fontId="3" fillId="0" borderId="9" xfId="0" applyFont="1" applyFill="1" applyBorder="1" applyAlignment="1">
      <alignment horizontal="left"/>
    </xf>
    <xf numFmtId="3" fontId="3" fillId="0" borderId="22" xfId="0" applyNumberFormat="1" applyFont="1" applyFill="1" applyBorder="1"/>
    <xf numFmtId="0" fontId="0" fillId="0" borderId="0" xfId="0" applyFill="1"/>
    <xf numFmtId="3" fontId="3" fillId="51" borderId="16" xfId="0" applyNumberFormat="1" applyFont="1" applyFill="1" applyBorder="1"/>
    <xf numFmtId="0" fontId="4" fillId="4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3" fillId="0" borderId="0" xfId="0" applyFont="1"/>
    <xf numFmtId="3" fontId="3" fillId="53" borderId="15" xfId="0" applyNumberFormat="1" applyFont="1" applyFill="1" applyBorder="1"/>
    <xf numFmtId="0" fontId="4" fillId="3" borderId="12" xfId="0" applyFont="1" applyFill="1" applyBorder="1" applyAlignment="1">
      <alignment horizontal="left" vertical="center"/>
    </xf>
    <xf numFmtId="3" fontId="6" fillId="0" borderId="6" xfId="0" applyNumberFormat="1" applyFont="1" applyBorder="1"/>
    <xf numFmtId="3" fontId="3" fillId="0" borderId="32" xfId="0" applyNumberFormat="1" applyFont="1" applyBorder="1"/>
    <xf numFmtId="3" fontId="3" fillId="0" borderId="32" xfId="0" applyNumberFormat="1" applyFont="1" applyFill="1" applyBorder="1"/>
    <xf numFmtId="0" fontId="0" fillId="0" borderId="0" xfId="0" applyFont="1"/>
    <xf numFmtId="3" fontId="0" fillId="0" borderId="0" xfId="0" applyNumberFormat="1" applyFont="1"/>
    <xf numFmtId="3" fontId="2" fillId="0" borderId="0" xfId="0" applyNumberFormat="1" applyFont="1"/>
    <xf numFmtId="3" fontId="13" fillId="0" borderId="0" xfId="0" applyNumberFormat="1" applyFont="1"/>
    <xf numFmtId="0" fontId="14" fillId="0" borderId="0" xfId="0" applyFont="1"/>
    <xf numFmtId="0" fontId="13" fillId="0" borderId="0" xfId="0" applyFont="1" applyAlignment="1">
      <alignment horizontal="right"/>
    </xf>
    <xf numFmtId="3" fontId="0" fillId="0" borderId="0" xfId="0" applyNumberFormat="1" applyFont="1" applyFill="1"/>
    <xf numFmtId="3" fontId="3" fillId="55" borderId="14" xfId="0" applyNumberFormat="1" applyFont="1" applyFill="1" applyBorder="1"/>
    <xf numFmtId="3" fontId="3" fillId="0" borderId="29" xfId="0" applyNumberFormat="1" applyFont="1" applyFill="1" applyBorder="1"/>
    <xf numFmtId="3" fontId="3" fillId="0" borderId="30" xfId="0" applyNumberFormat="1" applyFont="1" applyFill="1" applyBorder="1"/>
    <xf numFmtId="3" fontId="3" fillId="0" borderId="31" xfId="0" applyNumberFormat="1" applyFont="1" applyFill="1" applyBorder="1"/>
    <xf numFmtId="3" fontId="6" fillId="0" borderId="6" xfId="0" applyNumberFormat="1" applyFont="1" applyFill="1" applyBorder="1"/>
    <xf numFmtId="3" fontId="3" fillId="0" borderId="33" xfId="0" applyNumberFormat="1" applyFont="1" applyFill="1" applyBorder="1"/>
    <xf numFmtId="0" fontId="3" fillId="0" borderId="14" xfId="0" applyFont="1" applyBorder="1"/>
    <xf numFmtId="1" fontId="3" fillId="0" borderId="14" xfId="0" applyNumberFormat="1" applyFont="1" applyBorder="1"/>
    <xf numFmtId="3" fontId="3" fillId="55" borderId="17" xfId="0" applyNumberFormat="1" applyFont="1" applyFill="1" applyBorder="1"/>
    <xf numFmtId="0" fontId="17" fillId="0" borderId="0" xfId="0" applyFont="1"/>
    <xf numFmtId="3" fontId="6" fillId="53" borderId="20" xfId="0" applyNumberFormat="1" applyFont="1" applyFill="1" applyBorder="1"/>
    <xf numFmtId="3" fontId="6" fillId="54" borderId="20" xfId="0" applyNumberFormat="1" applyFont="1" applyFill="1" applyBorder="1"/>
    <xf numFmtId="3" fontId="6" fillId="52" borderId="20" xfId="0" applyNumberFormat="1" applyFont="1" applyFill="1" applyBorder="1"/>
    <xf numFmtId="3" fontId="3" fillId="52" borderId="17" xfId="0" applyNumberFormat="1" applyFont="1" applyFill="1" applyBorder="1"/>
    <xf numFmtId="3" fontId="3" fillId="52" borderId="16" xfId="0" applyNumberFormat="1" applyFont="1" applyFill="1" applyBorder="1"/>
    <xf numFmtId="0" fontId="8" fillId="48" borderId="13" xfId="0" applyFont="1" applyFill="1" applyBorder="1" applyAlignment="1">
      <alignment horizontal="center" vertical="center" wrapText="1"/>
    </xf>
    <xf numFmtId="0" fontId="8" fillId="48" borderId="27" xfId="0" applyFont="1" applyFill="1" applyBorder="1" applyAlignment="1">
      <alignment horizontal="center" vertical="center" wrapText="1"/>
    </xf>
    <xf numFmtId="0" fontId="8" fillId="48" borderId="26" xfId="0" applyFont="1" applyFill="1" applyBorder="1" applyAlignment="1">
      <alignment horizontal="center" vertical="center" wrapText="1"/>
    </xf>
    <xf numFmtId="0" fontId="5" fillId="18" borderId="4" xfId="0" applyFont="1" applyFill="1" applyBorder="1" applyAlignment="1">
      <alignment horizontal="center"/>
    </xf>
    <xf numFmtId="0" fontId="5" fillId="18" borderId="5" xfId="0" applyFont="1" applyFill="1" applyBorder="1" applyAlignment="1">
      <alignment horizontal="center"/>
    </xf>
    <xf numFmtId="0" fontId="5" fillId="18" borderId="6" xfId="0" applyFont="1" applyFill="1" applyBorder="1" applyAlignment="1">
      <alignment horizontal="center"/>
    </xf>
    <xf numFmtId="0" fontId="5" fillId="43" borderId="4" xfId="0" applyFont="1" applyFill="1" applyBorder="1" applyAlignment="1">
      <alignment horizontal="center"/>
    </xf>
    <xf numFmtId="0" fontId="5" fillId="43" borderId="6" xfId="0" applyFont="1" applyFill="1" applyBorder="1" applyAlignment="1">
      <alignment horizontal="center"/>
    </xf>
    <xf numFmtId="0" fontId="5" fillId="43" borderId="5" xfId="0" applyFont="1" applyFill="1" applyBorder="1" applyAlignment="1">
      <alignment horizontal="center"/>
    </xf>
    <xf numFmtId="0" fontId="7" fillId="44" borderId="4" xfId="0" applyFont="1" applyFill="1" applyBorder="1" applyAlignment="1">
      <alignment horizontal="center"/>
    </xf>
    <xf numFmtId="0" fontId="7" fillId="44" borderId="6" xfId="0" applyFont="1" applyFill="1" applyBorder="1" applyAlignment="1">
      <alignment horizontal="center"/>
    </xf>
    <xf numFmtId="0" fontId="7" fillId="44" borderId="5" xfId="0" applyFont="1" applyFill="1" applyBorder="1" applyAlignment="1">
      <alignment horizontal="center"/>
    </xf>
    <xf numFmtId="0" fontId="9" fillId="16" borderId="18" xfId="0" applyFont="1" applyFill="1" applyBorder="1" applyAlignment="1">
      <alignment horizontal="center" vertical="center"/>
    </xf>
    <xf numFmtId="0" fontId="9" fillId="16" borderId="12" xfId="0" applyFont="1" applyFill="1" applyBorder="1" applyAlignment="1">
      <alignment horizontal="center" vertical="center"/>
    </xf>
    <xf numFmtId="0" fontId="9" fillId="16" borderId="13" xfId="0" applyFont="1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9" fillId="16" borderId="26" xfId="0" applyFont="1" applyFill="1" applyBorder="1" applyAlignment="1">
      <alignment horizontal="center" vertical="center"/>
    </xf>
    <xf numFmtId="0" fontId="5" fillId="47" borderId="4" xfId="0" applyFont="1" applyFill="1" applyBorder="1" applyAlignment="1">
      <alignment horizontal="center"/>
    </xf>
    <xf numFmtId="0" fontId="5" fillId="47" borderId="6" xfId="0" applyFont="1" applyFill="1" applyBorder="1" applyAlignment="1">
      <alignment horizontal="center"/>
    </xf>
    <xf numFmtId="0" fontId="5" fillId="47" borderId="5" xfId="0" applyFont="1" applyFill="1" applyBorder="1" applyAlignment="1">
      <alignment horizontal="center"/>
    </xf>
    <xf numFmtId="0" fontId="5" fillId="40" borderId="4" xfId="0" applyFont="1" applyFill="1" applyBorder="1" applyAlignment="1">
      <alignment horizontal="center"/>
    </xf>
    <xf numFmtId="0" fontId="5" fillId="40" borderId="6" xfId="0" applyFont="1" applyFill="1" applyBorder="1" applyAlignment="1">
      <alignment horizontal="center"/>
    </xf>
    <xf numFmtId="0" fontId="5" fillId="35" borderId="4" xfId="0" applyFont="1" applyFill="1" applyBorder="1" applyAlignment="1">
      <alignment horizontal="center"/>
    </xf>
    <xf numFmtId="0" fontId="5" fillId="35" borderId="6" xfId="0" applyFont="1" applyFill="1" applyBorder="1" applyAlignment="1">
      <alignment horizontal="center"/>
    </xf>
    <xf numFmtId="0" fontId="5" fillId="35" borderId="5" xfId="0" applyFont="1" applyFill="1" applyBorder="1" applyAlignment="1">
      <alignment horizontal="center"/>
    </xf>
    <xf numFmtId="0" fontId="5" fillId="25" borderId="4" xfId="0" applyFont="1" applyFill="1" applyBorder="1" applyAlignment="1">
      <alignment horizontal="center"/>
    </xf>
    <xf numFmtId="0" fontId="5" fillId="25" borderId="5" xfId="0" applyFont="1" applyFill="1" applyBorder="1" applyAlignment="1">
      <alignment horizontal="center"/>
    </xf>
    <xf numFmtId="0" fontId="5" fillId="25" borderId="6" xfId="0" applyFont="1" applyFill="1" applyBorder="1" applyAlignment="1">
      <alignment horizontal="center"/>
    </xf>
    <xf numFmtId="0" fontId="5" fillId="42" borderId="4" xfId="0" applyFont="1" applyFill="1" applyBorder="1" applyAlignment="1">
      <alignment horizontal="center"/>
    </xf>
    <xf numFmtId="0" fontId="5" fillId="42" borderId="6" xfId="0" applyFont="1" applyFill="1" applyBorder="1" applyAlignment="1">
      <alignment horizontal="center"/>
    </xf>
    <xf numFmtId="0" fontId="5" fillId="42" borderId="5" xfId="0" applyFont="1" applyFill="1" applyBorder="1" applyAlignment="1">
      <alignment horizontal="center"/>
    </xf>
    <xf numFmtId="0" fontId="5" fillId="29" borderId="4" xfId="0" applyFont="1" applyFill="1" applyBorder="1" applyAlignment="1">
      <alignment horizontal="center"/>
    </xf>
    <xf numFmtId="0" fontId="5" fillId="29" borderId="6" xfId="0" applyFont="1" applyFill="1" applyBorder="1" applyAlignment="1">
      <alignment horizontal="center"/>
    </xf>
    <xf numFmtId="0" fontId="5" fillId="31" borderId="4" xfId="0" applyFont="1" applyFill="1" applyBorder="1" applyAlignment="1">
      <alignment horizontal="center"/>
    </xf>
    <xf numFmtId="0" fontId="5" fillId="31" borderId="5" xfId="0" applyFont="1" applyFill="1" applyBorder="1" applyAlignment="1">
      <alignment horizontal="center"/>
    </xf>
    <xf numFmtId="0" fontId="5" fillId="31" borderId="6" xfId="0" applyFont="1" applyFill="1" applyBorder="1" applyAlignment="1">
      <alignment horizontal="center"/>
    </xf>
    <xf numFmtId="0" fontId="5" fillId="37" borderId="4" xfId="0" applyFont="1" applyFill="1" applyBorder="1" applyAlignment="1">
      <alignment horizontal="center"/>
    </xf>
    <xf numFmtId="0" fontId="5" fillId="37" borderId="6" xfId="0" applyFont="1" applyFill="1" applyBorder="1" applyAlignment="1">
      <alignment horizontal="center"/>
    </xf>
    <xf numFmtId="0" fontId="5" fillId="37" borderId="5" xfId="0" applyFont="1" applyFill="1" applyBorder="1" applyAlignment="1">
      <alignment horizontal="center"/>
    </xf>
    <xf numFmtId="0" fontId="5" fillId="28" borderId="4" xfId="0" applyFont="1" applyFill="1" applyBorder="1" applyAlignment="1">
      <alignment horizontal="center"/>
    </xf>
    <xf numFmtId="0" fontId="5" fillId="28" borderId="6" xfId="0" applyFont="1" applyFill="1" applyBorder="1" applyAlignment="1">
      <alignment horizontal="center"/>
    </xf>
    <xf numFmtId="0" fontId="5" fillId="29" borderId="5" xfId="0" applyFont="1" applyFill="1" applyBorder="1" applyAlignment="1">
      <alignment horizontal="center"/>
    </xf>
    <xf numFmtId="0" fontId="5" fillId="39" borderId="4" xfId="0" applyFont="1" applyFill="1" applyBorder="1" applyAlignment="1">
      <alignment horizontal="center"/>
    </xf>
    <xf numFmtId="0" fontId="5" fillId="39" borderId="6" xfId="0" applyFont="1" applyFill="1" applyBorder="1" applyAlignment="1">
      <alignment horizontal="center"/>
    </xf>
    <xf numFmtId="0" fontId="5" fillId="39" borderId="5" xfId="0" applyFont="1" applyFill="1" applyBorder="1" applyAlignment="1">
      <alignment horizontal="center"/>
    </xf>
    <xf numFmtId="0" fontId="5" fillId="28" borderId="5" xfId="0" applyFont="1" applyFill="1" applyBorder="1" applyAlignment="1">
      <alignment horizontal="center"/>
    </xf>
    <xf numFmtId="0" fontId="5" fillId="38" borderId="4" xfId="0" applyFont="1" applyFill="1" applyBorder="1" applyAlignment="1">
      <alignment horizontal="center"/>
    </xf>
    <xf numFmtId="0" fontId="5" fillId="38" borderId="6" xfId="0" applyFont="1" applyFill="1" applyBorder="1" applyAlignment="1">
      <alignment horizontal="center"/>
    </xf>
    <xf numFmtId="0" fontId="5" fillId="38" borderId="5" xfId="0" applyFont="1" applyFill="1" applyBorder="1" applyAlignment="1">
      <alignment horizontal="center"/>
    </xf>
    <xf numFmtId="0" fontId="5" fillId="46" borderId="4" xfId="0" applyFont="1" applyFill="1" applyBorder="1" applyAlignment="1">
      <alignment horizontal="center"/>
    </xf>
    <xf numFmtId="0" fontId="5" fillId="46" borderId="5" xfId="0" applyFont="1" applyFill="1" applyBorder="1" applyAlignment="1">
      <alignment horizontal="center"/>
    </xf>
    <xf numFmtId="0" fontId="5" fillId="46" borderId="6" xfId="0" applyFont="1" applyFill="1" applyBorder="1" applyAlignment="1">
      <alignment horizontal="center"/>
    </xf>
    <xf numFmtId="0" fontId="5" fillId="40" borderId="5" xfId="0" applyFont="1" applyFill="1" applyBorder="1" applyAlignment="1">
      <alignment horizontal="center"/>
    </xf>
    <xf numFmtId="0" fontId="5" fillId="41" borderId="4" xfId="0" applyFont="1" applyFill="1" applyBorder="1" applyAlignment="1">
      <alignment horizontal="center"/>
    </xf>
    <xf numFmtId="0" fontId="5" fillId="41" borderId="6" xfId="0" applyFont="1" applyFill="1" applyBorder="1" applyAlignment="1">
      <alignment horizontal="center"/>
    </xf>
    <xf numFmtId="0" fontId="5" fillId="41" borderId="5" xfId="0" applyFont="1" applyFill="1" applyBorder="1" applyAlignment="1">
      <alignment horizontal="center"/>
    </xf>
    <xf numFmtId="0" fontId="5" fillId="36" borderId="4" xfId="0" applyFont="1" applyFill="1" applyBorder="1" applyAlignment="1">
      <alignment horizontal="center"/>
    </xf>
    <xf numFmtId="0" fontId="5" fillId="36" borderId="6" xfId="0" applyFont="1" applyFill="1" applyBorder="1" applyAlignment="1">
      <alignment horizontal="center"/>
    </xf>
    <xf numFmtId="0" fontId="5" fillId="36" borderId="5" xfId="0" applyFont="1" applyFill="1" applyBorder="1" applyAlignment="1">
      <alignment horizontal="center"/>
    </xf>
    <xf numFmtId="0" fontId="5" fillId="34" borderId="4" xfId="0" applyFont="1" applyFill="1" applyBorder="1" applyAlignment="1">
      <alignment horizontal="center"/>
    </xf>
    <xf numFmtId="0" fontId="5" fillId="34" borderId="6" xfId="0" applyFont="1" applyFill="1" applyBorder="1" applyAlignment="1">
      <alignment horizontal="center"/>
    </xf>
    <xf numFmtId="0" fontId="5" fillId="34" borderId="5" xfId="0" applyFont="1" applyFill="1" applyBorder="1" applyAlignment="1">
      <alignment horizontal="center"/>
    </xf>
    <xf numFmtId="0" fontId="5" fillId="45" borderId="4" xfId="0" applyFont="1" applyFill="1" applyBorder="1" applyAlignment="1">
      <alignment horizontal="center"/>
    </xf>
    <xf numFmtId="0" fontId="5" fillId="45" borderId="5" xfId="0" applyFont="1" applyFill="1" applyBorder="1" applyAlignment="1">
      <alignment horizontal="center"/>
    </xf>
    <xf numFmtId="0" fontId="5" fillId="45" borderId="6" xfId="0" applyFont="1" applyFill="1" applyBorder="1" applyAlignment="1">
      <alignment horizontal="center"/>
    </xf>
    <xf numFmtId="0" fontId="5" fillId="33" borderId="4" xfId="0" applyFont="1" applyFill="1" applyBorder="1" applyAlignment="1">
      <alignment horizontal="center"/>
    </xf>
    <xf numFmtId="0" fontId="5" fillId="33" borderId="5" xfId="0" applyFont="1" applyFill="1" applyBorder="1" applyAlignment="1">
      <alignment horizontal="center"/>
    </xf>
    <xf numFmtId="0" fontId="5" fillId="33" borderId="6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5" fillId="9" borderId="6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5" fillId="32" borderId="4" xfId="0" applyFont="1" applyFill="1" applyBorder="1" applyAlignment="1">
      <alignment horizontal="center"/>
    </xf>
    <xf numFmtId="0" fontId="5" fillId="32" borderId="6" xfId="0" applyFont="1" applyFill="1" applyBorder="1" applyAlignment="1">
      <alignment horizontal="center"/>
    </xf>
    <xf numFmtId="0" fontId="5" fillId="32" borderId="5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5" fillId="10" borderId="6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5" fillId="30" borderId="4" xfId="0" applyFont="1" applyFill="1" applyBorder="1" applyAlignment="1">
      <alignment horizontal="center"/>
    </xf>
    <xf numFmtId="0" fontId="5" fillId="30" borderId="5" xfId="0" applyFont="1" applyFill="1" applyBorder="1" applyAlignment="1">
      <alignment horizontal="center"/>
    </xf>
    <xf numFmtId="0" fontId="5" fillId="30" borderId="6" xfId="0" applyFont="1" applyFill="1" applyBorder="1" applyAlignment="1">
      <alignment horizontal="center"/>
    </xf>
    <xf numFmtId="0" fontId="5" fillId="26" borderId="4" xfId="0" applyFont="1" applyFill="1" applyBorder="1" applyAlignment="1">
      <alignment horizontal="center"/>
    </xf>
    <xf numFmtId="0" fontId="5" fillId="26" borderId="6" xfId="0" applyFont="1" applyFill="1" applyBorder="1" applyAlignment="1">
      <alignment horizontal="center"/>
    </xf>
    <xf numFmtId="0" fontId="5" fillId="26" borderId="5" xfId="0" applyFont="1" applyFill="1" applyBorder="1" applyAlignment="1">
      <alignment horizontal="center"/>
    </xf>
    <xf numFmtId="0" fontId="5" fillId="23" borderId="4" xfId="0" applyFont="1" applyFill="1" applyBorder="1" applyAlignment="1">
      <alignment horizontal="center"/>
    </xf>
    <xf numFmtId="0" fontId="5" fillId="23" borderId="6" xfId="0" applyFont="1" applyFill="1" applyBorder="1" applyAlignment="1">
      <alignment horizontal="center"/>
    </xf>
    <xf numFmtId="0" fontId="5" fillId="23" borderId="5" xfId="0" applyFont="1" applyFill="1" applyBorder="1" applyAlignment="1">
      <alignment horizontal="center"/>
    </xf>
    <xf numFmtId="0" fontId="5" fillId="11" borderId="4" xfId="0" applyFont="1" applyFill="1" applyBorder="1" applyAlignment="1">
      <alignment horizontal="center"/>
    </xf>
    <xf numFmtId="0" fontId="5" fillId="11" borderId="5" xfId="0" applyFont="1" applyFill="1" applyBorder="1" applyAlignment="1">
      <alignment horizontal="center"/>
    </xf>
    <xf numFmtId="0" fontId="5" fillId="11" borderId="6" xfId="0" applyFont="1" applyFill="1" applyBorder="1" applyAlignment="1">
      <alignment horizontal="center"/>
    </xf>
    <xf numFmtId="0" fontId="5" fillId="21" borderId="4" xfId="0" applyFont="1" applyFill="1" applyBorder="1" applyAlignment="1">
      <alignment horizontal="center"/>
    </xf>
    <xf numFmtId="0" fontId="5" fillId="21" borderId="6" xfId="0" applyFont="1" applyFill="1" applyBorder="1" applyAlignment="1">
      <alignment horizontal="center"/>
    </xf>
    <xf numFmtId="0" fontId="5" fillId="21" borderId="5" xfId="0" applyFont="1" applyFill="1" applyBorder="1" applyAlignment="1">
      <alignment horizontal="center"/>
    </xf>
    <xf numFmtId="0" fontId="5" fillId="27" borderId="4" xfId="0" applyFont="1" applyFill="1" applyBorder="1" applyAlignment="1">
      <alignment horizontal="center"/>
    </xf>
    <xf numFmtId="0" fontId="5" fillId="27" borderId="6" xfId="0" applyFont="1" applyFill="1" applyBorder="1" applyAlignment="1">
      <alignment horizontal="center"/>
    </xf>
    <xf numFmtId="0" fontId="5" fillId="27" borderId="5" xfId="0" applyFont="1" applyFill="1" applyBorder="1" applyAlignment="1">
      <alignment horizontal="center"/>
    </xf>
    <xf numFmtId="0" fontId="5" fillId="24" borderId="4" xfId="0" applyFont="1" applyFill="1" applyBorder="1" applyAlignment="1">
      <alignment horizontal="center"/>
    </xf>
    <xf numFmtId="0" fontId="5" fillId="24" borderId="5" xfId="0" applyFont="1" applyFill="1" applyBorder="1" applyAlignment="1">
      <alignment horizontal="center"/>
    </xf>
    <xf numFmtId="0" fontId="5" fillId="24" borderId="6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12" borderId="4" xfId="0" applyFont="1" applyFill="1" applyBorder="1" applyAlignment="1">
      <alignment horizontal="center"/>
    </xf>
    <xf numFmtId="0" fontId="5" fillId="12" borderId="5" xfId="0" applyFont="1" applyFill="1" applyBorder="1" applyAlignment="1">
      <alignment horizontal="center"/>
    </xf>
    <xf numFmtId="0" fontId="5" fillId="12" borderId="6" xfId="0" applyFont="1" applyFill="1" applyBorder="1" applyAlignment="1">
      <alignment horizontal="center"/>
    </xf>
    <xf numFmtId="0" fontId="5" fillId="22" borderId="4" xfId="0" applyFont="1" applyFill="1" applyBorder="1" applyAlignment="1">
      <alignment horizontal="center"/>
    </xf>
    <xf numFmtId="0" fontId="5" fillId="22" borderId="6" xfId="0" applyFont="1" applyFill="1" applyBorder="1" applyAlignment="1">
      <alignment horizontal="center"/>
    </xf>
    <xf numFmtId="0" fontId="5" fillId="22" borderId="5" xfId="0" applyFont="1" applyFill="1" applyBorder="1" applyAlignment="1">
      <alignment horizontal="center"/>
    </xf>
    <xf numFmtId="0" fontId="5" fillId="19" borderId="4" xfId="0" applyFont="1" applyFill="1" applyBorder="1" applyAlignment="1">
      <alignment horizontal="center"/>
    </xf>
    <xf numFmtId="0" fontId="5" fillId="19" borderId="5" xfId="0" applyFont="1" applyFill="1" applyBorder="1" applyAlignment="1">
      <alignment horizontal="center"/>
    </xf>
    <xf numFmtId="0" fontId="5" fillId="19" borderId="6" xfId="0" applyFont="1" applyFill="1" applyBorder="1" applyAlignment="1">
      <alignment horizontal="center"/>
    </xf>
    <xf numFmtId="0" fontId="5" fillId="20" borderId="4" xfId="0" applyFont="1" applyFill="1" applyBorder="1" applyAlignment="1">
      <alignment horizontal="center"/>
    </xf>
    <xf numFmtId="0" fontId="5" fillId="20" borderId="6" xfId="0" applyFont="1" applyFill="1" applyBorder="1" applyAlignment="1">
      <alignment horizontal="center"/>
    </xf>
    <xf numFmtId="0" fontId="5" fillId="20" borderId="5" xfId="0" applyFont="1" applyFill="1" applyBorder="1" applyAlignment="1">
      <alignment horizontal="center"/>
    </xf>
    <xf numFmtId="0" fontId="5" fillId="17" borderId="4" xfId="0" applyFont="1" applyFill="1" applyBorder="1" applyAlignment="1">
      <alignment horizontal="center"/>
    </xf>
    <xf numFmtId="0" fontId="5" fillId="17" borderId="5" xfId="0" applyFont="1" applyFill="1" applyBorder="1" applyAlignment="1">
      <alignment horizontal="center"/>
    </xf>
    <xf numFmtId="0" fontId="5" fillId="17" borderId="6" xfId="0" applyFont="1" applyFill="1" applyBorder="1" applyAlignment="1">
      <alignment horizontal="center"/>
    </xf>
    <xf numFmtId="0" fontId="5" fillId="16" borderId="4" xfId="0" applyFont="1" applyFill="1" applyBorder="1" applyAlignment="1">
      <alignment horizontal="center"/>
    </xf>
    <xf numFmtId="0" fontId="5" fillId="16" borderId="6" xfId="0" applyFont="1" applyFill="1" applyBorder="1" applyAlignment="1">
      <alignment horizontal="center"/>
    </xf>
    <xf numFmtId="0" fontId="5" fillId="16" borderId="5" xfId="0" applyFont="1" applyFill="1" applyBorder="1" applyAlignment="1">
      <alignment horizontal="center"/>
    </xf>
    <xf numFmtId="0" fontId="4" fillId="14" borderId="4" xfId="0" applyFont="1" applyFill="1" applyBorder="1" applyAlignment="1">
      <alignment horizontal="center" vertical="center"/>
    </xf>
    <xf numFmtId="0" fontId="4" fillId="14" borderId="5" xfId="0" applyFont="1" applyFill="1" applyBorder="1" applyAlignment="1">
      <alignment horizontal="center" vertical="center"/>
    </xf>
    <xf numFmtId="0" fontId="4" fillId="14" borderId="6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5" fillId="15" borderId="6" xfId="0" applyFont="1" applyFill="1" applyBorder="1" applyAlignment="1">
      <alignment horizontal="center" vertical="center"/>
    </xf>
    <xf numFmtId="0" fontId="5" fillId="15" borderId="5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14" borderId="7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horizontal="center" vertical="center"/>
    </xf>
    <xf numFmtId="0" fontId="4" fillId="13" borderId="5" xfId="0" applyFont="1" applyFill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</cellXfs>
  <cellStyles count="2">
    <cellStyle name="normální" xfId="0" builtinId="0"/>
    <cellStyle name="Normální 8" xfId="1"/>
  </cellStyles>
  <dxfs count="0"/>
  <tableStyles count="0" defaultTableStyle="TableStyleMedium2" defaultPivotStyle="PivotStyleLight16"/>
  <colors>
    <mruColors>
      <color rgb="FFFFCCCC"/>
      <color rgb="FFFFA7A7"/>
      <color rgb="FFF9F9BD"/>
      <color rgb="FFFF5050"/>
      <color rgb="FFFF99FF"/>
      <color rgb="FF0000CC"/>
      <color rgb="FF006600"/>
      <color rgb="FF0099CC"/>
      <color rgb="FF9900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M/AppData/Local/Microsoft/Windows/Temporary%20Internet%20Files/Content.IE5/BR8D2K7C/Dokumenty/Excel/V&#253;kaz%20pr&#225;ce/V&#253;kaz%202012%20-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eporty%20&#345;editelstv&#237;/Zdroje/ZV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 počítači"/>
      <sheetName val="0.1"/>
      <sheetName val="1.0"/>
    </sheetNames>
    <sheetDataSet>
      <sheetData sheetId="0">
        <row r="8">
          <cell r="Z8">
            <v>40179</v>
          </cell>
        </row>
        <row r="9">
          <cell r="Z9">
            <v>40273</v>
          </cell>
        </row>
        <row r="10">
          <cell r="Z10">
            <v>40299</v>
          </cell>
        </row>
        <row r="11">
          <cell r="Z11">
            <v>40306</v>
          </cell>
        </row>
        <row r="12">
          <cell r="Z12">
            <v>40364</v>
          </cell>
        </row>
        <row r="13">
          <cell r="Z13">
            <v>40365</v>
          </cell>
        </row>
        <row r="14">
          <cell r="Z14">
            <v>40449</v>
          </cell>
        </row>
        <row r="15">
          <cell r="Z15">
            <v>40479</v>
          </cell>
        </row>
        <row r="16">
          <cell r="Z16">
            <v>40499</v>
          </cell>
        </row>
        <row r="17">
          <cell r="Z17">
            <v>40536</v>
          </cell>
        </row>
        <row r="18">
          <cell r="Z18">
            <v>40537</v>
          </cell>
        </row>
        <row r="19">
          <cell r="Z19">
            <v>40538</v>
          </cell>
        </row>
        <row r="20">
          <cell r="Z20">
            <v>40544</v>
          </cell>
        </row>
        <row r="21">
          <cell r="Z21">
            <v>40658</v>
          </cell>
        </row>
        <row r="22">
          <cell r="Z22">
            <v>40664</v>
          </cell>
        </row>
        <row r="23">
          <cell r="Z23">
            <v>40671</v>
          </cell>
        </row>
        <row r="24">
          <cell r="Z24">
            <v>40729</v>
          </cell>
        </row>
        <row r="25">
          <cell r="Z25">
            <v>40730</v>
          </cell>
        </row>
        <row r="26">
          <cell r="Z26">
            <v>40814</v>
          </cell>
        </row>
        <row r="27">
          <cell r="Z27">
            <v>40844</v>
          </cell>
        </row>
        <row r="28">
          <cell r="Z28">
            <v>40864</v>
          </cell>
        </row>
        <row r="29">
          <cell r="Z29">
            <v>40901</v>
          </cell>
        </row>
        <row r="30">
          <cell r="Z30">
            <v>40902</v>
          </cell>
        </row>
        <row r="31">
          <cell r="Z31">
            <v>40903</v>
          </cell>
        </row>
        <row r="32">
          <cell r="Z32">
            <v>40909</v>
          </cell>
        </row>
        <row r="33">
          <cell r="Z33">
            <v>41008</v>
          </cell>
        </row>
        <row r="34">
          <cell r="Z34">
            <v>41030</v>
          </cell>
        </row>
        <row r="35">
          <cell r="Z35">
            <v>41037</v>
          </cell>
        </row>
        <row r="36">
          <cell r="Z36">
            <v>41095</v>
          </cell>
        </row>
        <row r="37">
          <cell r="Z37">
            <v>41096</v>
          </cell>
        </row>
        <row r="38">
          <cell r="Z38">
            <v>41180</v>
          </cell>
        </row>
        <row r="39">
          <cell r="Z39">
            <v>41210</v>
          </cell>
        </row>
        <row r="40">
          <cell r="Z40">
            <v>41230</v>
          </cell>
        </row>
        <row r="41">
          <cell r="Z41">
            <v>41267</v>
          </cell>
        </row>
        <row r="42">
          <cell r="Z42">
            <v>41268</v>
          </cell>
        </row>
        <row r="43">
          <cell r="Z43">
            <v>41269</v>
          </cell>
        </row>
        <row r="44">
          <cell r="Z44">
            <v>41275</v>
          </cell>
        </row>
        <row r="45">
          <cell r="Z45">
            <v>41365</v>
          </cell>
        </row>
        <row r="46">
          <cell r="Z46">
            <v>41395</v>
          </cell>
        </row>
        <row r="47">
          <cell r="Z47">
            <v>41402</v>
          </cell>
        </row>
        <row r="48">
          <cell r="Z48">
            <v>41460</v>
          </cell>
        </row>
        <row r="49">
          <cell r="Z49">
            <v>41461</v>
          </cell>
        </row>
        <row r="50">
          <cell r="Z50">
            <v>41545</v>
          </cell>
        </row>
        <row r="51">
          <cell r="Z51">
            <v>41575</v>
          </cell>
        </row>
        <row r="52">
          <cell r="Z52">
            <v>41595</v>
          </cell>
        </row>
        <row r="53">
          <cell r="Z53">
            <v>41632</v>
          </cell>
        </row>
        <row r="54">
          <cell r="Z54">
            <v>41633</v>
          </cell>
        </row>
        <row r="55">
          <cell r="B55" t="str">
            <v>V</v>
          </cell>
          <cell r="Z55">
            <v>41634</v>
          </cell>
        </row>
        <row r="56">
          <cell r="B56" t="str">
            <v>S</v>
          </cell>
          <cell r="Z56">
            <v>41640</v>
          </cell>
        </row>
        <row r="57">
          <cell r="B57" t="str">
            <v>D</v>
          </cell>
          <cell r="Z57">
            <v>41750</v>
          </cell>
        </row>
        <row r="58">
          <cell r="B58" t="str">
            <v>D12</v>
          </cell>
          <cell r="Z58">
            <v>41760</v>
          </cell>
        </row>
        <row r="59">
          <cell r="B59" t="str">
            <v>R</v>
          </cell>
          <cell r="Z59">
            <v>41767</v>
          </cell>
        </row>
        <row r="60">
          <cell r="B60" t="str">
            <v>N</v>
          </cell>
          <cell r="Z60">
            <v>41825</v>
          </cell>
        </row>
        <row r="61">
          <cell r="B61" t="str">
            <v>NI</v>
          </cell>
          <cell r="Z61">
            <v>41826</v>
          </cell>
        </row>
        <row r="62">
          <cell r="B62" t="str">
            <v>NV</v>
          </cell>
          <cell r="Z62">
            <v>41910</v>
          </cell>
        </row>
        <row r="63">
          <cell r="B63" t="str">
            <v>DT</v>
          </cell>
          <cell r="Z63">
            <v>41940</v>
          </cell>
        </row>
        <row r="64">
          <cell r="B64" t="str">
            <v>DTI</v>
          </cell>
          <cell r="Z64">
            <v>41960</v>
          </cell>
        </row>
        <row r="65">
          <cell r="B65" t="str">
            <v>DTI</v>
          </cell>
          <cell r="Z65">
            <v>41997</v>
          </cell>
        </row>
        <row r="66">
          <cell r="Z66">
            <v>41998</v>
          </cell>
        </row>
        <row r="67">
          <cell r="Z67">
            <v>41999</v>
          </cell>
        </row>
        <row r="70">
          <cell r="B70" t="str">
            <v>PN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ZV Vykáz.-A"/>
      <sheetName val="ZV Vykáz.-A NS"/>
      <sheetName val="ZV Vykáz.-A Lékaři"/>
      <sheetName val="ZV Vykáz.-A Detail"/>
      <sheetName val="ZV Vykáz.-H"/>
      <sheetName val="ZV Vykáz.-H Detail"/>
      <sheetName val="ZV Vyžád."/>
      <sheetName val="ZV Vyžád. Detail"/>
      <sheetName val="ZV Vykáz.-A FN"/>
      <sheetName val="ZV Vykáz.-A Detail FN"/>
      <sheetName val="ZV Vykáz.-H FN"/>
      <sheetName val="ZV Vykáz.-H Detail FN"/>
      <sheetName val="ZV Vyžád. FN"/>
      <sheetName val="ZV Vyžád. Vyjm."/>
      <sheetName val="ZV Vyžád. Vyjm. Kl."/>
      <sheetName val="ZV Vyžád. Detail FN"/>
      <sheetName val="URČ"/>
    </sheetNames>
    <sheetDataSet>
      <sheetData sheetId="0">
        <row r="2">
          <cell r="A2" t="str">
            <v>Typ</v>
          </cell>
        </row>
      </sheetData>
      <sheetData sheetId="1">
        <row r="1">
          <cell r="A1" t="str">
            <v>Typ</v>
          </cell>
        </row>
      </sheetData>
      <sheetData sheetId="2">
        <row r="1">
          <cell r="A1" t="str">
            <v>Typ</v>
          </cell>
        </row>
      </sheetData>
      <sheetData sheetId="3">
        <row r="2">
          <cell r="A2" t="str">
            <v>Typ</v>
          </cell>
        </row>
      </sheetData>
      <sheetData sheetId="4">
        <row r="2">
          <cell r="A2" t="str">
            <v>Typ</v>
          </cell>
        </row>
      </sheetData>
      <sheetData sheetId="5">
        <row r="2">
          <cell r="A2" t="str">
            <v>Typ</v>
          </cell>
        </row>
      </sheetData>
      <sheetData sheetId="6">
        <row r="1">
          <cell r="A1" t="str">
            <v>Typ</v>
          </cell>
        </row>
      </sheetData>
      <sheetData sheetId="7">
        <row r="1">
          <cell r="A1" t="str">
            <v>Typ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erger Martin, Mgr." refreshedDate="42304.45324490741" createdVersion="4" refreshedVersion="6" minRefreshableVersion="3" recordCount="7676">
  <cacheSource type="external" connectionId="1"/>
  <cacheFields count="14">
    <cacheField name="kl" numFmtId="0" sqlType="12">
      <sharedItems/>
    </cacheField>
    <cacheField name="kltmp" numFmtId="0" sqlType="12">
      <sharedItems/>
    </cacheField>
    <cacheField name="nazevkl" numFmtId="0" sqlType="12">
      <sharedItems/>
    </cacheField>
    <cacheField name="nazevklscislem" numFmtId="0" sqlType="12">
      <sharedItems count="66">
        <s v="01 - I. interní klinika - kardiologická"/>
        <s v="02 - II. interní klinika - gastro-enterologická a hepatologická"/>
        <s v="03 - III. interní klinika - nefrologická, revmatologická a endokrinologická"/>
        <s v="04 - I. chirurgická klinika"/>
        <s v="05 - II. chirurgická klinika - cévně-transplantační"/>
        <s v="06 - Neurochirurgická klinika"/>
        <s v="07 - Klinika anesteziologie, resuscitace a intenzivní medicíny"/>
        <s v="08 - Porodnicko-gynekologická klinika"/>
        <s v="09 - Novorozenecké oddělení"/>
        <s v="10 - Dětská klinika"/>
        <s v="11 - Ortopedická klinika"/>
        <s v="12 - Urologická klinika"/>
        <s v="13 - Otolaryngologická klinika"/>
        <s v="14 - Oční klinika"/>
        <s v="15 - Oddělení alergologie a kl. imun."/>
        <s v="16 - Klinika plicních nemocí a tuberkulózy"/>
        <s v="17 - Neurologická klinika"/>
        <s v="18 - Klinika psychiatrie"/>
        <s v="19 - Klinika pracovního lékařství"/>
        <s v="20 - Klinika chorob kožních a pohlavních"/>
        <s v="21 - Onkologická klinika"/>
        <s v="22 - Klinika nukleární medicíny"/>
        <s v="24 - Klinika zubního lékařství"/>
        <s v="25 - Klinika ústní,čelistní a obličejové chirurgie"/>
        <s v="26 - Oddělení rehabilitace"/>
        <s v="27 - Klinika tělovýchovného lékařství a kardiovaskulární rehabilitace"/>
        <s v="28 - Ústav lékařské genetiky"/>
        <s v="29 - Oddělení plastické a estetické chirurgie"/>
        <s v="30 - Oddělení geriatrie"/>
        <s v="31 - Traumatologické oddělení"/>
        <s v="32 - Hemato-onkologická klinika"/>
        <s v="33 - Oddělení klinické biochemie"/>
        <s v="34 - Radiologická klinika"/>
        <s v="35 - Transfuzní oddělení"/>
        <s v="36 - Oddělení klinické logopedie"/>
        <s v="37 - Ústav klinické a molekulární patologie"/>
        <s v="38 - Ústav soudního lékařství a medicínského práva"/>
        <s v="39 - Oddělení klinické psychologie"/>
        <s v="40 - Ústav mikrobiologie"/>
        <s v="41 - Ústav imunologie"/>
        <s v="44 - LEM"/>
        <s v="45 - Sociální oddělení"/>
        <s v="46 - Transplantační centrum"/>
        <s v="47 - Centrální operační sály "/>
        <s v="48 - Lékárna"/>
        <s v="50 - Kardiochirurgická klinika"/>
        <s v="53 - Oddělení lékařské fyziky a radiační ochrany"/>
        <s v="54 - Oddělení nemocniční hygieny"/>
        <s v="56 - Oddělení centrální sterilizace"/>
        <s v="57 - Nutriční ambulance"/>
        <s v="59 - Oddělení intenzivní péče chirurgických oborů"/>
        <s v="60 - Oddělení urgentního příjmu"/>
        <s v="81 - Klinická hodnocení"/>
        <s v="85 - Granty"/>
        <s v="86 - Granty"/>
        <s v="89 - pomocná střediska"/>
        <s v="90 - HTS"/>
        <s v="93 - Sklady, ostatní provozy"/>
        <s v="94 - Provozní služby"/>
        <s v="95 - Provoz stravování"/>
        <s v="98 - Transfery MZ ČR + refundace"/>
        <s v="28 - Ústav lékařské genetiky " u="1"/>
        <s v="28 - Ústav lékařské genetiky a fetální medicíny" u="1"/>
        <s v="10 - LEM" u="1"/>
        <s v="61 - " u="1"/>
        <s v="98 - Vybrané činnosti MZ ČR + refundace" u="1"/>
      </sharedItems>
    </cacheField>
    <cacheField name="ns" numFmtId="0" sqlType="12">
      <sharedItems/>
    </cacheField>
    <cacheField name="nazevodd" numFmtId="0" sqlType="12">
      <sharedItems containsBlank="1"/>
    </cacheField>
    <cacheField name="nazevoddscislem" numFmtId="0" sqlType="12">
      <sharedItems/>
    </cacheField>
    <cacheField name="ucet" numFmtId="0" sqlType="12">
      <sharedItems/>
    </cacheField>
    <cacheField name="nazevuctu" numFmtId="0" sqlType="12">
      <sharedItems count="83">
        <s v="50115     Zdravotnické prostředky"/>
        <s v="50115060     ostatní ZPr - mimo níže uvedené (sk.Z_503)"/>
        <s v="50113     Léky a léčiva"/>
        <s v="50113001     léky - paušál+TISS (LEK)"/>
        <s v="50113006     léky - enterální výživa (LEK)"/>
        <s v="50113008     léky - krev.deriváty ZUL (TO)"/>
        <s v="50113011     léky - hemofilici ZUL (TO)"/>
        <s v="50113013     léky (paušál) - antibiotika (LEK)"/>
        <s v="50113014     léky (paušál) - antimykotika (LEK)"/>
        <s v="50113190     medicinální plyny"/>
        <s v="50115020     diagnostika laboratorní-LEK (sk.Z_501)"/>
        <s v="50115040     laboratorní materiál (sk.Z_505)"/>
        <s v="50115050     obvazový materiál (sk.Z_502)"/>
        <s v="50115063     ostatní ZPr - vaky, sety (sk.Z_528)"/>
        <s v="50115065     ostatní ZPr - vpichovací materiál (sk.Z_530)"/>
        <s v="50115067     ostatní ZPr - rukavice (sk.Z_532)"/>
        <s v="50115070     ostatní ZPr - katetry (sk.Z_513)"/>
        <s v="50113002     léky - parenterální výživa (LEK)"/>
        <s v="50115079     ostatní ZPr - intenzivní péče (sk.Z_542)"/>
        <s v="50113012     léky - trombolýza (LEK)"/>
        <s v="50115062     ostatní ZPr - materiál pro hemodialýzu (sk.Z_525)"/>
        <s v="50115064     ostatní ZPr - šicí materiál (sk.Z_529)"/>
        <s v="50113009     léky - RTG diagnostika ZUL (LEK)"/>
        <s v="50115001     implant.umělé těl.náhr.-kardiostim. (sk.Z_517)"/>
        <s v="50115002     implant.umělé těl.náhr.-defibr.,kardiov.(Z_516)"/>
        <s v="50115004     implant.umělé těl.náhr.-kovové (s.Z_506)"/>
        <s v="50115011     implant.umělé těl.náhr.-ostat.nákl.PZT(s.Z_515)"/>
        <s v="50115012     implant.umělé těl.náhr.-kardiostim. SQ (Z_544)"/>
        <s v="50115071     ostatní ZPr - katetry ablační (sk.Z_514)"/>
        <s v="50115073     ostatní ZPr - katetry PCI (sk.Z_536)"/>
        <s v="50115080     ostatní ZPr - staplery, extraktory (sk.Z_523)"/>
        <s v="50115082     ostatní ZPr - katetry extrakční (sk.Z_543)"/>
        <s v="50115009     implant.umělé těl.náhr.-chlopně (bal.TAVI) (sk.Z_524)"/>
        <s v="50115072     ostatní ZPr - katetry diagnostické (sk.Z_535)"/>
        <s v="50115074     ostatní ZPr - katetry zaváděcí (sk.Z_537)"/>
        <s v="50115075     ostatní ZPr - stenty (sk.Z_538)"/>
        <s v="50115076     ostatní ZPr - stenty kovové (sk.Z_539)"/>
        <s v="50115077     ostatní ZPr - stenty lékové (sk.Z_540)"/>
        <s v="50115078     ostatní ZPr - stenty absorbční (sk.Z_541)"/>
        <s v="50113016     léky - spotřeba v centrech (LEK)"/>
        <s v="50113017     léky - dle §16 (LEK)"/>
        <s v="50115021     diagnostika laboratorní-skl.ZPr(sk.Z_501)"/>
        <s v="50115084     ostatní ZPr - HCO membrány (sk.Z_546)"/>
        <s v="50115061     ostatní ZPr - robotické centrum (sk.Z_512)"/>
        <s v="50115066     ostatní ZPr - šicí materiál - robot (sk.Z_531)"/>
        <s v="50113007     léky - krev.deriváty ZUL (LEK)"/>
        <s v="50115068     ostatní ZPr - čidla (sk.Z_522)"/>
        <s v="50115003     implant.umělé těl.náhr.-TEP (sk.Z_518)"/>
        <s v="50115005     implant.umělé těl.náhr.-neuromodulace-ostatní.(s.Z_511)"/>
        <s v="50115006     implant.umělé těl.náhr.-neuromod.-DBS(s.Z_508)"/>
        <s v="50113004     léky - enter. a parenter. výživa  - výroba (LEK-OPSL)"/>
        <s v="50115090     ostatní ZPr - zubolékařský materiál (sk.Z_509)"/>
        <s v="50115069     ostatní ZPr - porty (sk.Z_534)"/>
        <s v="50115051     nadstandard ZUM (hrazeno pac.) (sk.Z_520)"/>
        <s v="50113015     léky - samoplátci (LEK)"/>
        <s v="50113010     léky - botox (LEK)"/>
        <s v="50115085     ostatní ZPr - samoplátci (sk.Z_547)"/>
        <s v="50115010     RTG materiál, filmy a chemikálie (sk.Z_504)"/>
        <s v="50113005     léky - radiofarmaka (KNM)"/>
        <s v="50115007     implant.dentální - samoplátci (sk.Z_526)"/>
        <s v="50115008     implant.-plastická, estetická chirurgie (sk.Z_521)"/>
        <s v="50115083     ostatní ZPr - embolizace (sk.Z_545)"/>
        <s v="50113300     léky - finanční bonusy"/>
        <s v="50113003     léky ostatní - faktury (VaV)"/>
        <s v="50115300     ZPr - finanční bonusy"/>
        <s v="50113011 - léky - hemofilici ZUL (TO)" u="1"/>
        <s v="50113190 - medicinální plyny" u="1"/>
        <s v="50113010 - léky - botox (LEK)" u="1"/>
        <s v="50113008 - léky - krev.deriváty ZUL (TO)" u="1"/>
        <s v="50113014 - léky (paušál) - antimykotika (LEK)" u="1"/>
        <s v="50113016 - léky - spotřeba v centrech (LEK)" u="1"/>
        <s v="50115007     implant.dentální - samoplátci (sk.Z_525)" u="1"/>
        <s v="50113017 - léky - dle §16 (LEK)" u="1"/>
        <s v="50113005 - léky - radiofarmaka (KNM)" u="1"/>
        <s v="50113007 - léky - krev.deriváty ZUL (LEK)" u="1"/>
        <s v="50113006 - léky - enter. a parenter. výživa (LEK)" u="1"/>
        <s v="50113001 - léky - paušál+TISS (LEK)" u="1"/>
        <s v="50113015     léky - samplátci (LEK)" u="1"/>
        <s v="50113006     léky - enter. a parenter. výživa (LEK)" u="1"/>
        <s v="50113015 - léky - samplátci (LEK)" u="1"/>
        <s v="50113009 - léky - RTG diagnostika ZUL (LEK)" u="1"/>
        <s v="50113013 - léky (paušál) - antibiotika (LEK)" u="1"/>
        <s v="50113012 - léky - trombolýza (LEK)" u="1"/>
      </sharedItems>
    </cacheField>
    <cacheField name="rok" numFmtId="0" sqlType="12">
      <sharedItems count="4">
        <s v="2013"/>
        <s v="2014"/>
        <s v="2015"/>
        <s v="2012" u="1"/>
      </sharedItems>
    </cacheField>
    <cacheField name="skutecnost" numFmtId="0" sqlType="8">
      <sharedItems containsSemiMixedTypes="0" containsString="0" containsNumber="1" minValue="-196246.39041000011" maxValue="196831.33978000013"/>
    </cacheField>
    <cacheField name="rozpocet" numFmtId="0" sqlType="8">
      <sharedItems containsSemiMixedTypes="0" containsString="0" containsNumber="1" minValue="-200642.56901757701" maxValue="210302.994505437"/>
    </cacheField>
    <cacheField name="Rozdil" numFmtId="0" formula="skutecnost-rozpocet" databaseField="0"/>
    <cacheField name="Plnění" numFmtId="0" formula="skutecnost/rozpocet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76">
  <r>
    <s v="01"/>
    <s v="01"/>
    <s v="I. interní klinika - kardiologická"/>
    <x v="0"/>
    <s v="0101"/>
    <s v="vedení klinického pracoviště"/>
    <s v="0101 - vedení klinického pracoviště"/>
    <s v="50115     Zdravotnické prostředky"/>
    <x v="0"/>
    <x v="0"/>
    <n v="0"/>
    <n v="6.2604948480000002E-3"/>
  </r>
  <r>
    <s v="01"/>
    <s v="01"/>
    <s v="I. interní klinika - kardiologická"/>
    <x v="0"/>
    <s v="0101"/>
    <s v="vedení klinického pracoviště"/>
    <s v="0101 - vedení klinického pracoviště"/>
    <s v="50115060     ostatní ZPr - mimo níže uvedené (sk.Z_503)"/>
    <x v="1"/>
    <x v="0"/>
    <n v="0"/>
    <n v="6.2604948480000002E-3"/>
  </r>
  <r>
    <s v="01"/>
    <s v="01"/>
    <s v="I. interní klinika - kardiologická"/>
    <x v="0"/>
    <s v="0103"/>
    <s v="OP - Implementace eHealth do výuky lék.oborů-eHealth2"/>
    <s v="0103 - OP - Implementace eHealth do výuky lék.oborů-eHealth2"/>
    <s v="50115     Zdravotnické prostředky"/>
    <x v="0"/>
    <x v="0"/>
    <n v="93.363949999999988"/>
    <n v="0"/>
  </r>
  <r>
    <s v="01"/>
    <s v="01"/>
    <s v="I. interní klinika - kardiologická"/>
    <x v="0"/>
    <s v="0103"/>
    <s v="OP - Implementace eHealth do výuky lék.oborů-eHealth2"/>
    <s v="0103 - OP - Implementace eHealth do výuky lék.oborů-eHealth2"/>
    <s v="50115     Zdravotnické prostředky"/>
    <x v="0"/>
    <x v="1"/>
    <n v="0"/>
    <n v="93.363246657602005"/>
  </r>
  <r>
    <s v="01"/>
    <s v="01"/>
    <s v="I. interní klinika - kardiologická"/>
    <x v="0"/>
    <s v="0103"/>
    <s v="OP - Implementace eHealth do výuky lék.oborů-eHealth2"/>
    <s v="0103 - OP - Implementace eHealth do výuky lék.oborů-eHealth2"/>
    <s v="50115060     ostatní ZPr - mimo níže uvedené (sk.Z_503)"/>
    <x v="1"/>
    <x v="0"/>
    <n v="93.363949999999988"/>
    <n v="0"/>
  </r>
  <r>
    <s v="01"/>
    <s v="01"/>
    <s v="I. interní klinika - kardiologická"/>
    <x v="0"/>
    <s v="0103"/>
    <s v="OP - Implementace eHealth do výuky lék.oborů-eHealth2"/>
    <s v="0103 - OP - Implementace eHealth do výuky lék.oborů-eHealth2"/>
    <s v="50115060     ostatní ZPr - mimo níže uvedené (sk.Z_503)"/>
    <x v="1"/>
    <x v="1"/>
    <n v="0"/>
    <n v="93.363246657602005"/>
  </r>
  <r>
    <s v="01"/>
    <s v="01"/>
    <s v="I. interní klinika - kardiologická"/>
    <x v="0"/>
    <s v="0111"/>
    <s v="lůžkové oddělení 1 "/>
    <s v="0111 - lůžkové oddělení 1 "/>
    <s v="50113     Léky a léčiva"/>
    <x v="2"/>
    <x v="0"/>
    <n v="1291.2462499999999"/>
    <n v="1209.5047872482701"/>
  </r>
  <r>
    <s v="01"/>
    <s v="01"/>
    <s v="I. interní klinika - kardiologická"/>
    <x v="0"/>
    <s v="0111"/>
    <s v="lůžkové oddělení 1 "/>
    <s v="0111 - lůžkové oddělení 1 "/>
    <s v="50113     Léky a léčiva"/>
    <x v="2"/>
    <x v="1"/>
    <n v="997.13020000000006"/>
    <n v="1184.50650778007"/>
  </r>
  <r>
    <s v="01"/>
    <s v="01"/>
    <s v="I. interní klinika - kardiologická"/>
    <x v="0"/>
    <s v="0111"/>
    <s v="lůžkové oddělení 1 "/>
    <s v="0111 - lůžkové oddělení 1 "/>
    <s v="50113     Léky a léčiva"/>
    <x v="2"/>
    <x v="2"/>
    <n v="638.52236999999991"/>
    <n v="1002.76916175176"/>
  </r>
  <r>
    <s v="01"/>
    <s v="01"/>
    <s v="I. interní klinika - kardiologická"/>
    <x v="0"/>
    <s v="0111"/>
    <s v="lůžkové oddělení 1 "/>
    <s v="0111 - lůžkové oddělení 1 "/>
    <s v="50113001     léky - paušál+TISS (LEK)"/>
    <x v="3"/>
    <x v="0"/>
    <n v="775.18785999999898"/>
    <n v="807.52970856347804"/>
  </r>
  <r>
    <s v="01"/>
    <s v="01"/>
    <s v="I. interní klinika - kardiologická"/>
    <x v="0"/>
    <s v="0111"/>
    <s v="lůžkové oddělení 1 "/>
    <s v="0111 - lůžkové oddělení 1 "/>
    <s v="50113001     léky - paušál+TISS (LEK)"/>
    <x v="3"/>
    <x v="1"/>
    <n v="740.9359300000001"/>
    <n v="766.15157340226597"/>
  </r>
  <r>
    <s v="01"/>
    <s v="01"/>
    <s v="I. interní klinika - kardiologická"/>
    <x v="0"/>
    <s v="0111"/>
    <s v="lůžkové oddělení 1 "/>
    <s v="0111 - lůžkové oddělení 1 "/>
    <s v="50113001     léky - paušál+TISS (LEK)"/>
    <x v="3"/>
    <x v="2"/>
    <n v="505.57272999999998"/>
    <n v="730.17580317897102"/>
  </r>
  <r>
    <s v="01"/>
    <s v="01"/>
    <s v="I. interní klinika - kardiologická"/>
    <x v="0"/>
    <s v="0111"/>
    <s v="lůžkové oddělení 1 "/>
    <s v="0111 - lůžkové oddělení 1 "/>
    <s v="50113006     léky - enterální výživa (LEK)"/>
    <x v="4"/>
    <x v="0"/>
    <n v="35.126889999999001"/>
    <n v="39.205855106736998"/>
  </r>
  <r>
    <s v="01"/>
    <s v="01"/>
    <s v="I. interní klinika - kardiologická"/>
    <x v="0"/>
    <s v="0111"/>
    <s v="lůžkové oddělení 1 "/>
    <s v="0111 - lůžkové oddělení 1 "/>
    <s v="50113006     léky - enterální výživa (LEK)"/>
    <x v="4"/>
    <x v="1"/>
    <n v="25.65691"/>
    <n v="35.074409904141"/>
  </r>
  <r>
    <s v="01"/>
    <s v="01"/>
    <s v="I. interní klinika - kardiologická"/>
    <x v="0"/>
    <s v="0111"/>
    <s v="lůžkové oddělení 1 "/>
    <s v="0111 - lůžkové oddělení 1 "/>
    <s v="50113006     léky - enterální výživa (LEK)"/>
    <x v="4"/>
    <x v="2"/>
    <n v="7.58718"/>
    <n v="35.051150805646003"/>
  </r>
  <r>
    <s v="01"/>
    <s v="01"/>
    <s v="I. interní klinika - kardiologická"/>
    <x v="0"/>
    <s v="0111"/>
    <s v="lůžkové oddělení 1 "/>
    <s v="0111 - lůžkové oddělení 1 "/>
    <s v="50113008     léky - krev.deriváty ZUL (TO)"/>
    <x v="5"/>
    <x v="0"/>
    <n v="4.22262"/>
    <n v="0"/>
  </r>
  <r>
    <s v="01"/>
    <s v="01"/>
    <s v="I. interní klinika - kardiologická"/>
    <x v="0"/>
    <s v="0111"/>
    <s v="lůžkové oddělení 1 "/>
    <s v="0111 - lůžkové oddělení 1 "/>
    <s v="50113008     léky - krev.deriváty ZUL (TO)"/>
    <x v="5"/>
    <x v="1"/>
    <n v="18.298020000000001"/>
    <n v="4.0000351226730002"/>
  </r>
  <r>
    <s v="01"/>
    <s v="01"/>
    <s v="I. interní klinika - kardiologická"/>
    <x v="0"/>
    <s v="0111"/>
    <s v="lůžkové oddělení 1 "/>
    <s v="0111 - lůžkové oddělení 1 "/>
    <s v="50113008     léky - krev.deriváty ZUL (TO)"/>
    <x v="5"/>
    <x v="2"/>
    <n v="0"/>
    <n v="13.540342796467"/>
  </r>
  <r>
    <s v="01"/>
    <s v="01"/>
    <s v="I. interní klinika - kardiologická"/>
    <x v="0"/>
    <s v="0111"/>
    <s v="lůžkové oddělení 1 "/>
    <s v="0111 - lůžkové oddělení 1 "/>
    <s v="50113011     léky - hemofilici ZUL (TO)"/>
    <x v="6"/>
    <x v="0"/>
    <n v="42.105559999999997"/>
    <n v="0"/>
  </r>
  <r>
    <s v="01"/>
    <s v="01"/>
    <s v="I. interní klinika - kardiologická"/>
    <x v="0"/>
    <s v="0111"/>
    <s v="lůžkové oddělení 1 "/>
    <s v="0111 - lůžkové oddělení 1 "/>
    <s v="50113011     léky - hemofilici ZUL (TO)"/>
    <x v="6"/>
    <x v="1"/>
    <n v="0"/>
    <n v="39.999999999998998"/>
  </r>
  <r>
    <s v="01"/>
    <s v="01"/>
    <s v="I. interní klinika - kardiologická"/>
    <x v="0"/>
    <s v="0111"/>
    <s v="lůžkové oddělení 1 "/>
    <s v="0111 - lůžkové oddělení 1 "/>
    <s v="50113013     léky (paušál) - antibiotika (LEK)"/>
    <x v="7"/>
    <x v="0"/>
    <n v="397.70902000000001"/>
    <n v="324.27773407687198"/>
  </r>
  <r>
    <s v="01"/>
    <s v="01"/>
    <s v="I. interní klinika - kardiologická"/>
    <x v="0"/>
    <s v="0111"/>
    <s v="lůžkové oddělení 1 "/>
    <s v="0111 - lůžkové oddělení 1 "/>
    <s v="50113013     léky (paušál) - antibiotika (LEK)"/>
    <x v="7"/>
    <x v="1"/>
    <n v="176.86653000000001"/>
    <n v="305.39999999999498"/>
  </r>
  <r>
    <s v="01"/>
    <s v="01"/>
    <s v="I. interní klinika - kardiologická"/>
    <x v="0"/>
    <s v="0111"/>
    <s v="lůžkové oddělení 1 "/>
    <s v="0111 - lůžkové oddělení 1 "/>
    <s v="50113013     léky (paušál) - antibiotika (LEK)"/>
    <x v="7"/>
    <x v="2"/>
    <n v="99.022559999999999"/>
    <n v="177.75231261384999"/>
  </r>
  <r>
    <s v="01"/>
    <s v="01"/>
    <s v="I. interní klinika - kardiologická"/>
    <x v="0"/>
    <s v="0111"/>
    <s v="lůžkové oddělení 1 "/>
    <s v="0111 - lůžkové oddělení 1 "/>
    <s v="50113014     léky (paušál) - antimykotika (LEK)"/>
    <x v="8"/>
    <x v="0"/>
    <n v="6.4024299999989989"/>
    <n v="7.3873580984920002"/>
  </r>
  <r>
    <s v="01"/>
    <s v="01"/>
    <s v="I. interní klinika - kardiologická"/>
    <x v="0"/>
    <s v="0111"/>
    <s v="lůžkové oddělení 1 "/>
    <s v="0111 - lůžkové oddělení 1 "/>
    <s v="50113014     léky (paušál) - antimykotika (LEK)"/>
    <x v="8"/>
    <x v="1"/>
    <n v="4.7103400000000004"/>
    <n v="4.7082713428689997"/>
  </r>
  <r>
    <s v="01"/>
    <s v="01"/>
    <s v="I. interní klinika - kardiologická"/>
    <x v="0"/>
    <s v="0111"/>
    <s v="lůžkové oddělení 1 "/>
    <s v="0111 - lůžkové oddělení 1 "/>
    <s v="50113014     léky (paušál) - antimykotika (LEK)"/>
    <x v="8"/>
    <x v="2"/>
    <n v="4.4504099999999998"/>
    <n v="13.546697699041999"/>
  </r>
  <r>
    <s v="01"/>
    <s v="01"/>
    <s v="I. interní klinika - kardiologická"/>
    <x v="0"/>
    <s v="0111"/>
    <s v="lůžkové oddělení 1 "/>
    <s v="0111 - lůžkové oddělení 1 "/>
    <s v="50113190     medicinální plyny"/>
    <x v="9"/>
    <x v="0"/>
    <n v="30.491869999999999"/>
    <n v="31.104131402684001"/>
  </r>
  <r>
    <s v="01"/>
    <s v="01"/>
    <s v="I. interní klinika - kardiologická"/>
    <x v="0"/>
    <s v="0111"/>
    <s v="lůžkové oddělení 1 "/>
    <s v="0111 - lůžkové oddělení 1 "/>
    <s v="50113190     medicinální plyny"/>
    <x v="9"/>
    <x v="1"/>
    <n v="30.662469999999999"/>
    <n v="29.172218008123998"/>
  </r>
  <r>
    <s v="01"/>
    <s v="01"/>
    <s v="I. interní klinika - kardiologická"/>
    <x v="0"/>
    <s v="0111"/>
    <s v="lůžkové oddělení 1 "/>
    <s v="0111 - lůžkové oddělení 1 "/>
    <s v="50113190     medicinální plyny"/>
    <x v="9"/>
    <x v="2"/>
    <n v="21.889489999999999"/>
    <n v="32.702854657787"/>
  </r>
  <r>
    <s v="01"/>
    <s v="01"/>
    <s v="I. interní klinika - kardiologická"/>
    <x v="0"/>
    <s v="0111"/>
    <s v="lůžkové oddělení 1 "/>
    <s v="0111 - lůžkové oddělení 1 "/>
    <s v="50115     Zdravotnické prostředky"/>
    <x v="0"/>
    <x v="0"/>
    <n v="271.21105999999997"/>
    <n v="275.22450378943302"/>
  </r>
  <r>
    <s v="01"/>
    <s v="01"/>
    <s v="I. interní klinika - kardiologická"/>
    <x v="0"/>
    <s v="0111"/>
    <s v="lůžkové oddělení 1 "/>
    <s v="0111 - lůžkové oddělení 1 "/>
    <s v="50115     Zdravotnické prostředky"/>
    <x v="0"/>
    <x v="1"/>
    <n v="415.99128999999999"/>
    <n v="297.46467746885702"/>
  </r>
  <r>
    <s v="01"/>
    <s v="01"/>
    <s v="I. interní klinika - kardiologická"/>
    <x v="0"/>
    <s v="0111"/>
    <s v="lůžkové oddělení 1 "/>
    <s v="0111 - lůžkové oddělení 1 "/>
    <s v="50115     Zdravotnické prostředky"/>
    <x v="0"/>
    <x v="2"/>
    <n v="220.53700999999995"/>
    <n v="399.29426558097703"/>
  </r>
  <r>
    <s v="01"/>
    <s v="01"/>
    <s v="I. interní klinika - kardiologická"/>
    <x v="0"/>
    <s v="0111"/>
    <s v="lůžkové oddělení 1 "/>
    <s v="0111 - lůžkové oddělení 1 "/>
    <s v="50115020     diagnostika laboratorní-LEK (sk.Z_501)"/>
    <x v="10"/>
    <x v="0"/>
    <n v="12.701929999999999"/>
    <n v="13.385859684309001"/>
  </r>
  <r>
    <s v="01"/>
    <s v="01"/>
    <s v="I. interní klinika - kardiologická"/>
    <x v="0"/>
    <s v="0111"/>
    <s v="lůžkové oddělení 1 "/>
    <s v="0111 - lůžkové oddělení 1 "/>
    <s v="50115020     diagnostika laboratorní-LEK (sk.Z_501)"/>
    <x v="10"/>
    <x v="1"/>
    <n v="21.068080000000002"/>
    <n v="21.701918205615002"/>
  </r>
  <r>
    <s v="01"/>
    <s v="01"/>
    <s v="I. interní klinika - kardiologická"/>
    <x v="0"/>
    <s v="0111"/>
    <s v="lůžkové oddělení 1 "/>
    <s v="0111 - lůžkové oddělení 1 "/>
    <s v="50115020     diagnostika laboratorní-LEK (sk.Z_501)"/>
    <x v="10"/>
    <x v="2"/>
    <n v="15.633459999999999"/>
    <n v="20.045660274302001"/>
  </r>
  <r>
    <s v="01"/>
    <s v="01"/>
    <s v="I. interní klinika - kardiologická"/>
    <x v="0"/>
    <s v="0111"/>
    <s v="lůžkové oddělení 1 "/>
    <s v="0111 - lůžkové oddělení 1 "/>
    <s v="50115040     laboratorní materiál (sk.Z_505)"/>
    <x v="11"/>
    <x v="0"/>
    <n v="0.82050000000000001"/>
    <n v="1.899932860454"/>
  </r>
  <r>
    <s v="01"/>
    <s v="01"/>
    <s v="I. interní klinika - kardiologická"/>
    <x v="0"/>
    <s v="0111"/>
    <s v="lůžkové oddělení 1 "/>
    <s v="0111 - lůžkové oddělení 1 "/>
    <s v="50115040     laboratorní materiál (sk.Z_505)"/>
    <x v="11"/>
    <x v="1"/>
    <n v="0"/>
    <n v="-0.17944812944800001"/>
  </r>
  <r>
    <s v="01"/>
    <s v="01"/>
    <s v="I. interní klinika - kardiologická"/>
    <x v="0"/>
    <s v="0111"/>
    <s v="lůžkové oddělení 1 "/>
    <s v="0111 - lůžkové oddělení 1 "/>
    <s v="50115050     obvazový materiál (sk.Z_502)"/>
    <x v="12"/>
    <x v="0"/>
    <n v="47.338059999999999"/>
    <n v="59.320242512488001"/>
  </r>
  <r>
    <s v="01"/>
    <s v="01"/>
    <s v="I. interní klinika - kardiologická"/>
    <x v="0"/>
    <s v="0111"/>
    <s v="lůžkové oddělení 1 "/>
    <s v="0111 - lůžkové oddělení 1 "/>
    <s v="50115050     obvazový materiál (sk.Z_502)"/>
    <x v="12"/>
    <x v="1"/>
    <n v="84.279640000000015"/>
    <n v="50.445711338373997"/>
  </r>
  <r>
    <s v="01"/>
    <s v="01"/>
    <s v="I. interní klinika - kardiologická"/>
    <x v="0"/>
    <s v="0111"/>
    <s v="lůžkové oddělení 1 "/>
    <s v="0111 - lůžkové oddělení 1 "/>
    <s v="50115050     obvazový materiál (sk.Z_502)"/>
    <x v="12"/>
    <x v="2"/>
    <n v="47.138820000000003"/>
    <n v="79.489665302814004"/>
  </r>
  <r>
    <s v="01"/>
    <s v="01"/>
    <s v="I. interní klinika - kardiologická"/>
    <x v="0"/>
    <s v="0111"/>
    <s v="lůžkové oddělení 1 "/>
    <s v="0111 - lůžkové oddělení 1 "/>
    <s v="50115060     ostatní ZPr - mimo níže uvedené (sk.Z_503)"/>
    <x v="1"/>
    <x v="0"/>
    <n v="174.51606999999902"/>
    <n v="160.833506775584"/>
  </r>
  <r>
    <s v="01"/>
    <s v="01"/>
    <s v="I. interní klinika - kardiologická"/>
    <x v="0"/>
    <s v="0111"/>
    <s v="lůžkové oddělení 1 "/>
    <s v="0111 - lůžkové oddělení 1 "/>
    <s v="50115060     ostatní ZPr - mimo níže uvedené (sk.Z_503)"/>
    <x v="1"/>
    <x v="1"/>
    <n v="238.93777000000003"/>
    <n v="180.51490351189699"/>
  </r>
  <r>
    <s v="01"/>
    <s v="01"/>
    <s v="I. interní klinika - kardiologická"/>
    <x v="0"/>
    <s v="0111"/>
    <s v="lůžkové oddělení 1 "/>
    <s v="0111 - lůžkové oddělení 1 "/>
    <s v="50115060     ostatní ZPr - mimo níže uvedené (sk.Z_503)"/>
    <x v="1"/>
    <x v="2"/>
    <n v="130.55742999999998"/>
    <n v="215.384575765297"/>
  </r>
  <r>
    <s v="01"/>
    <s v="01"/>
    <s v="I. interní klinika - kardiologická"/>
    <x v="0"/>
    <s v="0111"/>
    <s v="lůžkové oddělení 1 "/>
    <s v="0111 - lůžkové oddělení 1 "/>
    <s v="50115063     ostatní ZPr - vaky, sety (sk.Z_528)"/>
    <x v="13"/>
    <x v="0"/>
    <n v="11.126199999999001"/>
    <n v="10.708391342811"/>
  </r>
  <r>
    <s v="01"/>
    <s v="01"/>
    <s v="I. interní klinika - kardiologická"/>
    <x v="0"/>
    <s v="0111"/>
    <s v="lůžkové oddělení 1 "/>
    <s v="0111 - lůžkové oddělení 1 "/>
    <s v="50115063     ostatní ZPr - vaky, sety (sk.Z_528)"/>
    <x v="13"/>
    <x v="1"/>
    <n v="13.909800000000001"/>
    <n v="11.899497246156001"/>
  </r>
  <r>
    <s v="01"/>
    <s v="01"/>
    <s v="I. interní klinika - kardiologická"/>
    <x v="0"/>
    <s v="0111"/>
    <s v="lůžkové oddělení 1 "/>
    <s v="0111 - lůžkové oddělení 1 "/>
    <s v="50115063     ostatní ZPr - vaky, sety (sk.Z_528)"/>
    <x v="13"/>
    <x v="2"/>
    <n v="9.6643000000000008"/>
    <n v="15.605458780276001"/>
  </r>
  <r>
    <s v="01"/>
    <s v="01"/>
    <s v="I. interní klinika - kardiologická"/>
    <x v="0"/>
    <s v="0111"/>
    <s v="lůžkové oddělení 1 "/>
    <s v="0111 - lůžkové oddělení 1 "/>
    <s v="50115065     ostatní ZPr - vpichovací materiál (sk.Z_530)"/>
    <x v="14"/>
    <x v="0"/>
    <n v="2.0710000000000002"/>
    <n v="2.8504105736969998"/>
  </r>
  <r>
    <s v="01"/>
    <s v="01"/>
    <s v="I. interní klinika - kardiologická"/>
    <x v="0"/>
    <s v="0111"/>
    <s v="lůžkové oddělení 1 "/>
    <s v="0111 - lůžkové oddělení 1 "/>
    <s v="50115065     ostatní ZPr - vpichovací materiál (sk.Z_530)"/>
    <x v="14"/>
    <x v="1"/>
    <n v="9.1960000000000015"/>
    <n v="3.1244644501310002"/>
  </r>
  <r>
    <s v="01"/>
    <s v="01"/>
    <s v="I. interní klinika - kardiologická"/>
    <x v="0"/>
    <s v="0111"/>
    <s v="lůžkové oddělení 1 "/>
    <s v="0111 - lůžkové oddělení 1 "/>
    <s v="50115065     ostatní ZPr - vpichovací materiál (sk.Z_530)"/>
    <x v="14"/>
    <x v="2"/>
    <n v="6.0410000000000004"/>
    <n v="10.695578810172"/>
  </r>
  <r>
    <s v="01"/>
    <s v="01"/>
    <s v="I. interní klinika - kardiologická"/>
    <x v="0"/>
    <s v="0111"/>
    <s v="lůžkové oddělení 1 "/>
    <s v="0111 - lůžkové oddělení 1 "/>
    <s v="50115067     ostatní ZPr - rukavice (sk.Z_532)"/>
    <x v="15"/>
    <x v="0"/>
    <n v="22.637300000000003"/>
    <n v="26.084690178094"/>
  </r>
  <r>
    <s v="01"/>
    <s v="01"/>
    <s v="I. interní klinika - kardiologická"/>
    <x v="0"/>
    <s v="0111"/>
    <s v="lůžkové oddělení 1 "/>
    <s v="0111 - lůžkové oddělení 1 "/>
    <s v="50115067     ostatní ZPr - rukavice (sk.Z_532)"/>
    <x v="15"/>
    <x v="1"/>
    <n v="48.599999999999994"/>
    <n v="29.957630846130002"/>
  </r>
  <r>
    <s v="01"/>
    <s v="01"/>
    <s v="I. interní klinika - kardiologická"/>
    <x v="0"/>
    <s v="0111"/>
    <s v="lůžkové oddělení 1 "/>
    <s v="0111 - lůžkové oddělení 1 "/>
    <s v="50115067     ostatní ZPr - rukavice (sk.Z_532)"/>
    <x v="15"/>
    <x v="2"/>
    <n v="11.502000000000001"/>
    <n v="58.073326648115"/>
  </r>
  <r>
    <s v="01"/>
    <s v="01"/>
    <s v="I. interní klinika - kardiologická"/>
    <x v="0"/>
    <s v="0111"/>
    <s v="lůžkové oddělení 1 "/>
    <s v="0111 - lůžkové oddělení 1 "/>
    <s v="50115070     ostatní ZPr - katetry (sk.Z_513)"/>
    <x v="16"/>
    <x v="0"/>
    <n v="0"/>
    <n v="0.14146986199299999"/>
  </r>
  <r>
    <s v="01"/>
    <s v="01"/>
    <s v="I. interní klinika - kardiologická"/>
    <x v="0"/>
    <s v="0113"/>
    <s v="lůžkové oddělení 4 "/>
    <s v="0113 - lůžkové oddělení 4 "/>
    <s v="50113     Léky a léčiva"/>
    <x v="2"/>
    <x v="0"/>
    <n v="988.2096399999989"/>
    <n v="1065.5818721954199"/>
  </r>
  <r>
    <s v="01"/>
    <s v="01"/>
    <s v="I. interní klinika - kardiologická"/>
    <x v="0"/>
    <s v="0113"/>
    <s v="lůžkové oddělení 4 "/>
    <s v="0113 - lůžkové oddělení 4 "/>
    <s v="50113     Léky a léčiva"/>
    <x v="2"/>
    <x v="1"/>
    <n v="1055.1843600000002"/>
    <n v="953.69538239354995"/>
  </r>
  <r>
    <s v="01"/>
    <s v="01"/>
    <s v="I. interní klinika - kardiologická"/>
    <x v="0"/>
    <s v="0113"/>
    <s v="lůžkové oddělení 4 "/>
    <s v="0113 - lůžkové oddělení 4 "/>
    <s v="50113     Léky a léčiva"/>
    <x v="2"/>
    <x v="2"/>
    <n v="666.19233000000008"/>
    <n v="1069.77881382232"/>
  </r>
  <r>
    <s v="01"/>
    <s v="01"/>
    <s v="I. interní klinika - kardiologická"/>
    <x v="0"/>
    <s v="0113"/>
    <s v="lůžkové oddělení 4 "/>
    <s v="0113 - lůžkové oddělení 4 "/>
    <s v="50113001     léky - paušál+TISS (LEK)"/>
    <x v="3"/>
    <x v="0"/>
    <n v="724.78814999999906"/>
    <n v="808.56747623198703"/>
  </r>
  <r>
    <s v="01"/>
    <s v="01"/>
    <s v="I. interní klinika - kardiologická"/>
    <x v="0"/>
    <s v="0113"/>
    <s v="lůžkové oddělení 4 "/>
    <s v="0113 - lůžkové oddělení 4 "/>
    <s v="50113001     léky - paušál+TISS (LEK)"/>
    <x v="3"/>
    <x v="1"/>
    <n v="692.77333999999996"/>
    <n v="722.75412004709199"/>
  </r>
  <r>
    <s v="01"/>
    <s v="01"/>
    <s v="I. interní klinika - kardiologická"/>
    <x v="0"/>
    <s v="0113"/>
    <s v="lůžkové oddělení 4 "/>
    <s v="0113 - lůžkové oddělení 4 "/>
    <s v="50113001     léky - paušál+TISS (LEK)"/>
    <x v="3"/>
    <x v="2"/>
    <n v="582.75970000000007"/>
    <n v="653.86100135287404"/>
  </r>
  <r>
    <s v="01"/>
    <s v="01"/>
    <s v="I. interní klinika - kardiologická"/>
    <x v="0"/>
    <s v="0113"/>
    <s v="lůžkové oddělení 4 "/>
    <s v="0113 - lůžkové oddělení 4 "/>
    <s v="50113002     léky - parenterální výživa (LEK)"/>
    <x v="17"/>
    <x v="2"/>
    <n v="15.751609999999999"/>
    <n v="21"/>
  </r>
  <r>
    <s v="01"/>
    <s v="01"/>
    <s v="I. interní klinika - kardiologická"/>
    <x v="0"/>
    <s v="0113"/>
    <s v="lůžkové oddělení 4 "/>
    <s v="0113 - lůžkové oddělení 4 "/>
    <s v="50113006     léky - enterální výživa (LEK)"/>
    <x v="4"/>
    <x v="0"/>
    <n v="23.241200000000003"/>
    <n v="25.983125120048001"/>
  </r>
  <r>
    <s v="01"/>
    <s v="01"/>
    <s v="I. interní klinika - kardiologická"/>
    <x v="0"/>
    <s v="0113"/>
    <s v="lůžkové oddělení 4 "/>
    <s v="0113 - lůžkové oddělení 4 "/>
    <s v="50113006     léky - enterální výživa (LEK)"/>
    <x v="4"/>
    <x v="1"/>
    <n v="33.112369999999999"/>
    <n v="25.206477301694001"/>
  </r>
  <r>
    <s v="01"/>
    <s v="01"/>
    <s v="I. interní klinika - kardiologická"/>
    <x v="0"/>
    <s v="0113"/>
    <s v="lůžkové oddělení 4 "/>
    <s v="0113 - lůžkové oddělení 4 "/>
    <s v="50113006     léky - enterální výživa (LEK)"/>
    <x v="4"/>
    <x v="2"/>
    <n v="5.3718599999999963"/>
    <n v="30"/>
  </r>
  <r>
    <s v="01"/>
    <s v="01"/>
    <s v="I. interní klinika - kardiologická"/>
    <x v="0"/>
    <s v="0113"/>
    <s v="lůžkové oddělení 4 "/>
    <s v="0113 - lůžkové oddělení 4 "/>
    <s v="50113008     léky - krev.deriváty ZUL (TO)"/>
    <x v="5"/>
    <x v="0"/>
    <n v="78.791579999999996"/>
    <n v="0"/>
  </r>
  <r>
    <s v="01"/>
    <s v="01"/>
    <s v="I. interní klinika - kardiologická"/>
    <x v="0"/>
    <s v="0113"/>
    <s v="lůžkové oddělení 4 "/>
    <s v="0113 - lůžkové oddělení 4 "/>
    <s v="50113008     léky - krev.deriváty ZUL (TO)"/>
    <x v="5"/>
    <x v="1"/>
    <n v="23.514780000000002"/>
    <n v="78.000684892134998"/>
  </r>
  <r>
    <s v="01"/>
    <s v="01"/>
    <s v="I. interní klinika - kardiologická"/>
    <x v="0"/>
    <s v="0113"/>
    <s v="lůžkové oddělení 4 "/>
    <s v="0113 - lůžkové oddělení 4 "/>
    <s v="50113008     léky - krev.deriváty ZUL (TO)"/>
    <x v="5"/>
    <x v="2"/>
    <n v="0"/>
    <n v="43.869552724974"/>
  </r>
  <r>
    <s v="01"/>
    <s v="01"/>
    <s v="I. interní klinika - kardiologická"/>
    <x v="0"/>
    <s v="0113"/>
    <s v="lůžkové oddělení 4 "/>
    <s v="0113 - lůžkové oddělení 4 "/>
    <s v="50113013     léky (paušál) - antibiotika (LEK)"/>
    <x v="7"/>
    <x v="0"/>
    <n v="153.57473000000005"/>
    <n v="218.28340522287201"/>
  </r>
  <r>
    <s v="01"/>
    <s v="01"/>
    <s v="I. interní klinika - kardiologická"/>
    <x v="0"/>
    <s v="0113"/>
    <s v="lůžkové oddělení 4 "/>
    <s v="0113 - lůžkové oddělení 4 "/>
    <s v="50113013     léky (paušál) - antibiotika (LEK)"/>
    <x v="7"/>
    <x v="1"/>
    <n v="211.83243999999999"/>
    <n v="121.98779162481"/>
  </r>
  <r>
    <s v="01"/>
    <s v="01"/>
    <s v="I. interní klinika - kardiologická"/>
    <x v="0"/>
    <s v="0113"/>
    <s v="lůžkové oddělení 4 "/>
    <s v="0113 - lůžkové oddělení 4 "/>
    <s v="50113013     léky (paušál) - antibiotika (LEK)"/>
    <x v="7"/>
    <x v="2"/>
    <n v="56.996039999999994"/>
    <n v="305.92197305249499"/>
  </r>
  <r>
    <s v="01"/>
    <s v="01"/>
    <s v="I. interní klinika - kardiologická"/>
    <x v="0"/>
    <s v="0113"/>
    <s v="lůžkové oddělení 4 "/>
    <s v="0113 - lůžkové oddělení 4 "/>
    <s v="50113014     léky (paušál) - antimykotika (LEK)"/>
    <x v="8"/>
    <x v="0"/>
    <n v="7.8139800000000008"/>
    <n v="12.747865620514"/>
  </r>
  <r>
    <s v="01"/>
    <s v="01"/>
    <s v="I. interní klinika - kardiologická"/>
    <x v="0"/>
    <s v="0113"/>
    <s v="lůžkové oddělení 4 "/>
    <s v="0113 - lůžkové oddělení 4 "/>
    <s v="50113014     léky (paušál) - antimykotika (LEK)"/>
    <x v="8"/>
    <x v="1"/>
    <n v="93.537430000000001"/>
    <n v="5.7463085278179999"/>
  </r>
  <r>
    <s v="01"/>
    <s v="01"/>
    <s v="I. interní klinika - kardiologická"/>
    <x v="0"/>
    <s v="0113"/>
    <s v="lůžkové oddělení 4 "/>
    <s v="0113 - lůžkové oddělení 4 "/>
    <s v="50113014     léky (paušál) - antimykotika (LEK)"/>
    <x v="8"/>
    <x v="2"/>
    <n v="4.8991199999999999"/>
    <n v="15.126286691980001"/>
  </r>
  <r>
    <s v="01"/>
    <s v="01"/>
    <s v="I. interní klinika - kardiologická"/>
    <x v="0"/>
    <s v="0113"/>
    <s v="lůžkové oddělení 4 "/>
    <s v="0113 - lůžkové oddělení 4 "/>
    <s v="50113190     medicinální plyny"/>
    <x v="9"/>
    <x v="1"/>
    <n v="0.41399999999999998"/>
    <n v="0"/>
  </r>
  <r>
    <s v="01"/>
    <s v="01"/>
    <s v="I. interní klinika - kardiologická"/>
    <x v="0"/>
    <s v="0113"/>
    <s v="lůžkové oddělení 4 "/>
    <s v="0113 - lůžkové oddělení 4 "/>
    <s v="50113190     medicinální plyny"/>
    <x v="9"/>
    <x v="2"/>
    <n v="0.41399999999999998"/>
    <n v="0"/>
  </r>
  <r>
    <s v="01"/>
    <s v="01"/>
    <s v="I. interní klinika - kardiologická"/>
    <x v="0"/>
    <s v="0113"/>
    <s v="lůžkové oddělení 4 "/>
    <s v="0113 - lůžkové oddělení 4 "/>
    <s v="50115     Zdravotnické prostředky"/>
    <x v="0"/>
    <x v="0"/>
    <n v="284.02513000000005"/>
    <n v="287.947168305709"/>
  </r>
  <r>
    <s v="01"/>
    <s v="01"/>
    <s v="I. interní klinika - kardiologická"/>
    <x v="0"/>
    <s v="0113"/>
    <s v="lůžkové oddělení 4 "/>
    <s v="0113 - lůžkové oddělení 4 "/>
    <s v="50115     Zdravotnické prostředky"/>
    <x v="0"/>
    <x v="1"/>
    <n v="293.67743999999999"/>
    <n v="290.59894505186799"/>
  </r>
  <r>
    <s v="01"/>
    <s v="01"/>
    <s v="I. interní klinika - kardiologická"/>
    <x v="0"/>
    <s v="0113"/>
    <s v="lůžkové oddělení 4 "/>
    <s v="0113 - lůžkové oddělení 4 "/>
    <s v="50115     Zdravotnické prostředky"/>
    <x v="0"/>
    <x v="2"/>
    <n v="250.00558999999998"/>
    <n v="269.50045952580399"/>
  </r>
  <r>
    <s v="01"/>
    <s v="01"/>
    <s v="I. interní klinika - kardiologická"/>
    <x v="0"/>
    <s v="0113"/>
    <s v="lůžkové oddělení 4 "/>
    <s v="0113 - lůžkové oddělení 4 "/>
    <s v="50115020     diagnostika laboratorní-LEK (sk.Z_501)"/>
    <x v="10"/>
    <x v="0"/>
    <n v="28.454470000000004"/>
    <n v="34.733450265538004"/>
  </r>
  <r>
    <s v="01"/>
    <s v="01"/>
    <s v="I. interní klinika - kardiologická"/>
    <x v="0"/>
    <s v="0113"/>
    <s v="lůžkové oddělení 4 "/>
    <s v="0113 - lůžkové oddělení 4 "/>
    <s v="50115020     diagnostika laboratorní-LEK (sk.Z_501)"/>
    <x v="10"/>
    <x v="1"/>
    <n v="22.919980000000006"/>
    <n v="33.193166104592002"/>
  </r>
  <r>
    <s v="01"/>
    <s v="01"/>
    <s v="I. interní klinika - kardiologická"/>
    <x v="0"/>
    <s v="0113"/>
    <s v="lůžkové oddělení 4 "/>
    <s v="0113 - lůžkové oddělení 4 "/>
    <s v="50115020     diagnostika laboratorní-LEK (sk.Z_501)"/>
    <x v="10"/>
    <x v="2"/>
    <n v="15.33836"/>
    <n v="24.170897951672998"/>
  </r>
  <r>
    <s v="01"/>
    <s v="01"/>
    <s v="I. interní klinika - kardiologická"/>
    <x v="0"/>
    <s v="0113"/>
    <s v="lůžkové oddělení 4 "/>
    <s v="0113 - lůžkové oddělení 4 "/>
    <s v="50115050     obvazový materiál (sk.Z_502)"/>
    <x v="12"/>
    <x v="0"/>
    <n v="43.171749999999996"/>
    <n v="45.931943215506998"/>
  </r>
  <r>
    <s v="01"/>
    <s v="01"/>
    <s v="I. interní klinika - kardiologická"/>
    <x v="0"/>
    <s v="0113"/>
    <s v="lůžkové oddělení 4 "/>
    <s v="0113 - lůžkové oddělení 4 "/>
    <s v="50115050     obvazový materiál (sk.Z_502)"/>
    <x v="12"/>
    <x v="1"/>
    <n v="42.188460000000006"/>
    <n v="43.178037377281001"/>
  </r>
  <r>
    <s v="01"/>
    <s v="01"/>
    <s v="I. interní klinika - kardiologická"/>
    <x v="0"/>
    <s v="0113"/>
    <s v="lůžkové oddělení 4 "/>
    <s v="0113 - lůžkové oddělení 4 "/>
    <s v="50115050     obvazový materiál (sk.Z_502)"/>
    <x v="12"/>
    <x v="2"/>
    <n v="39.052489999999999"/>
    <n v="32.067179620151997"/>
  </r>
  <r>
    <s v="01"/>
    <s v="01"/>
    <s v="I. interní klinika - kardiologická"/>
    <x v="0"/>
    <s v="0113"/>
    <s v="lůžkové oddělení 4 "/>
    <s v="0113 - lůžkové oddělení 4 "/>
    <s v="50115060     ostatní ZPr - mimo níže uvedené (sk.Z_503)"/>
    <x v="1"/>
    <x v="0"/>
    <n v="173.57181"/>
    <n v="166.49012905240301"/>
  </r>
  <r>
    <s v="01"/>
    <s v="01"/>
    <s v="I. interní klinika - kardiologická"/>
    <x v="0"/>
    <s v="0113"/>
    <s v="lůžkové oddělení 4 "/>
    <s v="0113 - lůžkové oddělení 4 "/>
    <s v="50115060     ostatní ZPr - mimo níže uvedené (sk.Z_503)"/>
    <x v="1"/>
    <x v="1"/>
    <n v="181.27029999999999"/>
    <n v="175.426026665183"/>
  </r>
  <r>
    <s v="01"/>
    <s v="01"/>
    <s v="I. interní klinika - kardiologická"/>
    <x v="0"/>
    <s v="0113"/>
    <s v="lůžkové oddělení 4 "/>
    <s v="0113 - lůžkové oddělení 4 "/>
    <s v="50115060     ostatní ZPr - mimo níže uvedené (sk.Z_503)"/>
    <x v="1"/>
    <x v="2"/>
    <n v="156.33974000000001"/>
    <n v="167.29438744977"/>
  </r>
  <r>
    <s v="01"/>
    <s v="01"/>
    <s v="I. interní klinika - kardiologická"/>
    <x v="0"/>
    <s v="0113"/>
    <s v="lůžkové oddělení 4 "/>
    <s v="0113 - lůžkové oddělení 4 "/>
    <s v="50115063     ostatní ZPr - vaky, sety (sk.Z_528)"/>
    <x v="13"/>
    <x v="0"/>
    <n v="12.597100000000001"/>
    <n v="11.310070757499"/>
  </r>
  <r>
    <s v="01"/>
    <s v="01"/>
    <s v="I. interní klinika - kardiologická"/>
    <x v="0"/>
    <s v="0113"/>
    <s v="lůžkové oddělení 4 "/>
    <s v="0113 - lůžkové oddělení 4 "/>
    <s v="50115063     ostatní ZPr - vaky, sety (sk.Z_528)"/>
    <x v="13"/>
    <x v="1"/>
    <n v="14.713100000000001"/>
    <n v="11.286166071728999"/>
  </r>
  <r>
    <s v="01"/>
    <s v="01"/>
    <s v="I. interní klinika - kardiologická"/>
    <x v="0"/>
    <s v="0113"/>
    <s v="lůžkové oddělení 4 "/>
    <s v="0113 - lůžkové oddělení 4 "/>
    <s v="50115063     ostatní ZPr - vaky, sety (sk.Z_528)"/>
    <x v="13"/>
    <x v="2"/>
    <n v="11.111700000000001"/>
    <n v="11.535405978122"/>
  </r>
  <r>
    <s v="01"/>
    <s v="01"/>
    <s v="I. interní klinika - kardiologická"/>
    <x v="0"/>
    <s v="0113"/>
    <s v="lůžkové oddělení 4 "/>
    <s v="0113 - lůžkové oddělení 4 "/>
    <s v="50115065     ostatní ZPr - vpichovací materiál (sk.Z_530)"/>
    <x v="14"/>
    <x v="0"/>
    <n v="1.758"/>
    <n v="2.1003117212719999"/>
  </r>
  <r>
    <s v="01"/>
    <s v="01"/>
    <s v="I. interní klinika - kardiologická"/>
    <x v="0"/>
    <s v="0113"/>
    <s v="lůžkové oddělení 4 "/>
    <s v="0113 - lůžkové oddělení 4 "/>
    <s v="50115065     ostatní ZPr - vpichovací materiál (sk.Z_530)"/>
    <x v="14"/>
    <x v="1"/>
    <n v="6.8360000000000003"/>
    <n v="2.811343079092"/>
  </r>
  <r>
    <s v="01"/>
    <s v="01"/>
    <s v="I. interní klinika - kardiologická"/>
    <x v="0"/>
    <s v="0113"/>
    <s v="lůžkové oddělení 4 "/>
    <s v="0113 - lůžkové oddělení 4 "/>
    <s v="50115065     ostatní ZPr - vpichovací materiál (sk.Z_530)"/>
    <x v="14"/>
    <x v="2"/>
    <n v="5.0920000000000005"/>
    <n v="7.3777618073679996"/>
  </r>
  <r>
    <s v="01"/>
    <s v="01"/>
    <s v="I. interní klinika - kardiologická"/>
    <x v="0"/>
    <s v="0113"/>
    <s v="lůžkové oddělení 4 "/>
    <s v="0113 - lůžkové oddělení 4 "/>
    <s v="50115067     ostatní ZPr - rukavice (sk.Z_532)"/>
    <x v="15"/>
    <x v="0"/>
    <n v="24.472000000000005"/>
    <n v="24.956665327406999"/>
  </r>
  <r>
    <s v="01"/>
    <s v="01"/>
    <s v="I. interní klinika - kardiologická"/>
    <x v="0"/>
    <s v="0113"/>
    <s v="lůžkové oddělení 4 "/>
    <s v="0113 - lůžkové oddělení 4 "/>
    <s v="50115067     ostatní ZPr - rukavice (sk.Z_532)"/>
    <x v="15"/>
    <x v="1"/>
    <n v="25.749599999999997"/>
    <n v="24.704205753987001"/>
  </r>
  <r>
    <s v="01"/>
    <s v="01"/>
    <s v="I. interní klinika - kardiologická"/>
    <x v="0"/>
    <s v="0113"/>
    <s v="lůžkové oddělení 4 "/>
    <s v="0113 - lůžkové oddělení 4 "/>
    <s v="50115067     ostatní ZPr - rukavice (sk.Z_532)"/>
    <x v="15"/>
    <x v="2"/>
    <n v="22.654000000000003"/>
    <n v="27.054826718718001"/>
  </r>
  <r>
    <s v="01"/>
    <s v="01"/>
    <s v="I. interní klinika - kardiologická"/>
    <x v="0"/>
    <s v="0113"/>
    <s v="lůžkové oddělení 4 "/>
    <s v="0113 - lůžkové oddělení 4 "/>
    <s v="50115070     ostatní ZPr - katetry (sk.Z_513)"/>
    <x v="16"/>
    <x v="0"/>
    <n v="0"/>
    <n v="2.424597966081"/>
  </r>
  <r>
    <s v="01"/>
    <s v="01"/>
    <s v="I. interní klinika - kardiologická"/>
    <x v="0"/>
    <s v="0113"/>
    <s v="lůžkové oddělení 4 "/>
    <s v="0113 - lůžkové oddělení 4 "/>
    <s v="50115079     ostatní ZPr - intenzivní péče (sk.Z_542)"/>
    <x v="18"/>
    <x v="2"/>
    <n v="0.4173"/>
    <n v="0"/>
  </r>
  <r>
    <s v="01"/>
    <s v="01"/>
    <s v="I. interní klinika - kardiologická"/>
    <x v="0"/>
    <s v="0121"/>
    <s v="ambulance"/>
    <s v="0121 - ambulance"/>
    <s v="50113     Léky a léčiva"/>
    <x v="2"/>
    <x v="0"/>
    <n v="116.59760999999901"/>
    <n v="90.517831046267005"/>
  </r>
  <r>
    <s v="01"/>
    <s v="01"/>
    <s v="I. interní klinika - kardiologická"/>
    <x v="0"/>
    <s v="0121"/>
    <s v="ambulance"/>
    <s v="0121 - ambulance"/>
    <s v="50113     Léky a léčiva"/>
    <x v="2"/>
    <x v="1"/>
    <n v="101.43323000000001"/>
    <n v="120.87205625483"/>
  </r>
  <r>
    <s v="01"/>
    <s v="01"/>
    <s v="I. interní klinika - kardiologická"/>
    <x v="0"/>
    <s v="0121"/>
    <s v="ambulance"/>
    <s v="0121 - ambulance"/>
    <s v="50113     Léky a léčiva"/>
    <x v="2"/>
    <x v="2"/>
    <n v="88.140870000000007"/>
    <n v="93.690318206892002"/>
  </r>
  <r>
    <s v="01"/>
    <s v="01"/>
    <s v="I. interní klinika - kardiologická"/>
    <x v="0"/>
    <s v="0121"/>
    <s v="ambulance"/>
    <s v="0121 - ambulance"/>
    <s v="50113001     léky - paušál+TISS (LEK)"/>
    <x v="3"/>
    <x v="0"/>
    <n v="90.050059999998993"/>
    <n v="90.517831046267005"/>
  </r>
  <r>
    <s v="01"/>
    <s v="01"/>
    <s v="I. interní klinika - kardiologická"/>
    <x v="0"/>
    <s v="0121"/>
    <s v="ambulance"/>
    <s v="0121 - ambulance"/>
    <s v="50113001     léky - paušál+TISS (LEK)"/>
    <x v="3"/>
    <x v="1"/>
    <n v="94.947490000000002"/>
    <n v="94.045844852236996"/>
  </r>
  <r>
    <s v="01"/>
    <s v="01"/>
    <s v="I. interní klinika - kardiologická"/>
    <x v="0"/>
    <s v="0121"/>
    <s v="ambulance"/>
    <s v="0121 - ambulance"/>
    <s v="50113001     léky - paušál+TISS (LEK)"/>
    <x v="3"/>
    <x v="2"/>
    <n v="74.059699999999992"/>
    <n v="93.378727740554993"/>
  </r>
  <r>
    <s v="01"/>
    <s v="01"/>
    <s v="I. interní klinika - kardiologická"/>
    <x v="0"/>
    <s v="0121"/>
    <s v="ambulance"/>
    <s v="0121 - ambulance"/>
    <s v="50113006     léky - enterální výživa (LEK)"/>
    <x v="4"/>
    <x v="0"/>
    <n v="3.2313399999999999"/>
    <n v="0"/>
  </r>
  <r>
    <s v="01"/>
    <s v="01"/>
    <s v="I. interní klinika - kardiologická"/>
    <x v="0"/>
    <s v="0121"/>
    <s v="ambulance"/>
    <s v="0121 - ambulance"/>
    <s v="50113006     léky - enterální výživa (LEK)"/>
    <x v="4"/>
    <x v="1"/>
    <n v="0"/>
    <n v="3.226512330002"/>
  </r>
  <r>
    <s v="01"/>
    <s v="01"/>
    <s v="I. interní klinika - kardiologická"/>
    <x v="0"/>
    <s v="0121"/>
    <s v="ambulance"/>
    <s v="0121 - ambulance"/>
    <s v="50113013     léky (paušál) - antibiotika (LEK)"/>
    <x v="7"/>
    <x v="0"/>
    <n v="23.316210000000002"/>
    <n v="0"/>
  </r>
  <r>
    <s v="01"/>
    <s v="01"/>
    <s v="I. interní klinika - kardiologická"/>
    <x v="0"/>
    <s v="0121"/>
    <s v="ambulance"/>
    <s v="0121 - ambulance"/>
    <s v="50113013     léky (paušál) - antibiotika (LEK)"/>
    <x v="7"/>
    <x v="1"/>
    <n v="0.31474000000000002"/>
    <n v="23.599699072589001"/>
  </r>
  <r>
    <s v="01"/>
    <s v="01"/>
    <s v="I. interní klinika - kardiologická"/>
    <x v="0"/>
    <s v="0121"/>
    <s v="ambulance"/>
    <s v="0121 - ambulance"/>
    <s v="50113013     léky (paušál) - antibiotika (LEK)"/>
    <x v="7"/>
    <x v="2"/>
    <n v="14.08117"/>
    <n v="0.31159046633600002"/>
  </r>
  <r>
    <s v="01"/>
    <s v="01"/>
    <s v="I. interní klinika - kardiologická"/>
    <x v="0"/>
    <s v="0121"/>
    <s v="ambulance"/>
    <s v="0121 - ambulance"/>
    <s v="50113190     medicinální plyny"/>
    <x v="9"/>
    <x v="1"/>
    <n v="6.1710000000000003"/>
    <n v="0"/>
  </r>
  <r>
    <s v="01"/>
    <s v="01"/>
    <s v="I. interní klinika - kardiologická"/>
    <x v="0"/>
    <s v="0121"/>
    <s v="ambulance"/>
    <s v="0121 - ambulance"/>
    <s v="50115     Zdravotnické prostředky"/>
    <x v="0"/>
    <x v="0"/>
    <n v="158.65985999999899"/>
    <n v="148.85970550522299"/>
  </r>
  <r>
    <s v="01"/>
    <s v="01"/>
    <s v="I. interní klinika - kardiologická"/>
    <x v="0"/>
    <s v="0121"/>
    <s v="ambulance"/>
    <s v="0121 - ambulance"/>
    <s v="50115     Zdravotnické prostředky"/>
    <x v="0"/>
    <x v="1"/>
    <n v="204.43671000000001"/>
    <n v="161.599240939493"/>
  </r>
  <r>
    <s v="01"/>
    <s v="01"/>
    <s v="I. interní klinika - kardiologická"/>
    <x v="0"/>
    <s v="0121"/>
    <s v="ambulance"/>
    <s v="0121 - ambulance"/>
    <s v="50115     Zdravotnické prostředky"/>
    <x v="0"/>
    <x v="2"/>
    <n v="233.27187000000004"/>
    <n v="188.264084903851"/>
  </r>
  <r>
    <s v="01"/>
    <s v="01"/>
    <s v="I. interní klinika - kardiologická"/>
    <x v="0"/>
    <s v="0121"/>
    <s v="ambulance"/>
    <s v="0121 - ambulance"/>
    <s v="50115020     diagnostika laboratorní-LEK (sk.Z_501)"/>
    <x v="10"/>
    <x v="0"/>
    <n v="0"/>
    <n v="0.91849790972099998"/>
  </r>
  <r>
    <s v="01"/>
    <s v="01"/>
    <s v="I. interní klinika - kardiologická"/>
    <x v="0"/>
    <s v="0121"/>
    <s v="ambulance"/>
    <s v="0121 - ambulance"/>
    <s v="50115040     laboratorní materiál (sk.Z_505)"/>
    <x v="11"/>
    <x v="0"/>
    <n v="8.4900000000000003E-2"/>
    <n v="0"/>
  </r>
  <r>
    <s v="01"/>
    <s v="01"/>
    <s v="I. interní klinika - kardiologická"/>
    <x v="0"/>
    <s v="0121"/>
    <s v="ambulance"/>
    <s v="0121 - ambulance"/>
    <s v="50115040     laboratorní materiál (sk.Z_505)"/>
    <x v="11"/>
    <x v="1"/>
    <n v="0"/>
    <n v="8.2503656713000001E-2"/>
  </r>
  <r>
    <s v="01"/>
    <s v="01"/>
    <s v="I. interní klinika - kardiologická"/>
    <x v="0"/>
    <s v="0121"/>
    <s v="ambulance"/>
    <s v="0121 - ambulance"/>
    <s v="50115050     obvazový materiál (sk.Z_502)"/>
    <x v="12"/>
    <x v="0"/>
    <n v="18.49766"/>
    <n v="17.456016658791"/>
  </r>
  <r>
    <s v="01"/>
    <s v="01"/>
    <s v="I. interní klinika - kardiologická"/>
    <x v="0"/>
    <s v="0121"/>
    <s v="ambulance"/>
    <s v="0121 - ambulance"/>
    <s v="50115050     obvazový materiál (sk.Z_502)"/>
    <x v="12"/>
    <x v="1"/>
    <n v="19.192079999999997"/>
    <n v="18.552744109525001"/>
  </r>
  <r>
    <s v="01"/>
    <s v="01"/>
    <s v="I. interní klinika - kardiologická"/>
    <x v="0"/>
    <s v="0121"/>
    <s v="ambulance"/>
    <s v="0121 - ambulance"/>
    <s v="50115050     obvazový materiál (sk.Z_502)"/>
    <x v="12"/>
    <x v="2"/>
    <n v="15.72696"/>
    <n v="17.390693150330002"/>
  </r>
  <r>
    <s v="01"/>
    <s v="01"/>
    <s v="I. interní klinika - kardiologická"/>
    <x v="0"/>
    <s v="0121"/>
    <s v="ambulance"/>
    <s v="0121 - ambulance"/>
    <s v="50115060     ostatní ZPr - mimo níže uvedené (sk.Z_503)"/>
    <x v="1"/>
    <x v="0"/>
    <n v="133.81999999999897"/>
    <n v="118.194298993231"/>
  </r>
  <r>
    <s v="01"/>
    <s v="01"/>
    <s v="I. interní klinika - kardiologická"/>
    <x v="0"/>
    <s v="0121"/>
    <s v="ambulance"/>
    <s v="0121 - ambulance"/>
    <s v="50115060     ostatní ZPr - mimo níže uvedené (sk.Z_503)"/>
    <x v="1"/>
    <x v="1"/>
    <n v="169.15403000000001"/>
    <n v="135.68273071463599"/>
  </r>
  <r>
    <s v="01"/>
    <s v="01"/>
    <s v="I. interní klinika - kardiologická"/>
    <x v="0"/>
    <s v="0121"/>
    <s v="ambulance"/>
    <s v="0121 - ambulance"/>
    <s v="50115060     ostatní ZPr - mimo níže uvedené (sk.Z_503)"/>
    <x v="1"/>
    <x v="2"/>
    <n v="201.19480999999999"/>
    <n v="157.4"/>
  </r>
  <r>
    <s v="01"/>
    <s v="01"/>
    <s v="I. interní klinika - kardiologická"/>
    <x v="0"/>
    <s v="0121"/>
    <s v="ambulance"/>
    <s v="0121 - ambulance"/>
    <s v="50115063     ostatní ZPr - vaky, sety (sk.Z_528)"/>
    <x v="13"/>
    <x v="0"/>
    <n v="1.7033"/>
    <n v="3.4041712929060002"/>
  </r>
  <r>
    <s v="01"/>
    <s v="01"/>
    <s v="I. interní klinika - kardiologická"/>
    <x v="0"/>
    <s v="0121"/>
    <s v="ambulance"/>
    <s v="0121 - ambulance"/>
    <s v="50115063     ostatní ZPr - vaky, sety (sk.Z_528)"/>
    <x v="13"/>
    <x v="1"/>
    <n v="1.7156"/>
    <n v="2.6779686117030002"/>
  </r>
  <r>
    <s v="01"/>
    <s v="01"/>
    <s v="I. interní klinika - kardiologická"/>
    <x v="0"/>
    <s v="0121"/>
    <s v="ambulance"/>
    <s v="0121 - ambulance"/>
    <s v="50115063     ostatní ZPr - vaky, sety (sk.Z_528)"/>
    <x v="13"/>
    <x v="2"/>
    <n v="1.3889"/>
    <n v="1.649693966938"/>
  </r>
  <r>
    <s v="01"/>
    <s v="01"/>
    <s v="I. interní klinika - kardiologická"/>
    <x v="0"/>
    <s v="0121"/>
    <s v="ambulance"/>
    <s v="0121 - ambulance"/>
    <s v="50115065     ostatní ZPr - vpichovací materiál (sk.Z_530)"/>
    <x v="14"/>
    <x v="0"/>
    <n v="0.20699999999999999"/>
    <n v="0"/>
  </r>
  <r>
    <s v="01"/>
    <s v="01"/>
    <s v="I. interní klinika - kardiologická"/>
    <x v="0"/>
    <s v="0121"/>
    <s v="ambulance"/>
    <s v="0121 - ambulance"/>
    <s v="50115065     ostatní ZPr - vpichovací materiál (sk.Z_530)"/>
    <x v="14"/>
    <x v="1"/>
    <n v="7.1660000000000004"/>
    <n v="0.206337311601"/>
  </r>
  <r>
    <s v="01"/>
    <s v="01"/>
    <s v="I. interní klinika - kardiologická"/>
    <x v="0"/>
    <s v="0121"/>
    <s v="ambulance"/>
    <s v="0121 - ambulance"/>
    <s v="50115065     ostatní ZPr - vpichovací materiál (sk.Z_530)"/>
    <x v="14"/>
    <x v="2"/>
    <n v="10.41"/>
    <n v="6.0252309483730002"/>
  </r>
  <r>
    <s v="01"/>
    <s v="01"/>
    <s v="I. interní klinika - kardiologická"/>
    <x v="0"/>
    <s v="0121"/>
    <s v="ambulance"/>
    <s v="0121 - ambulance"/>
    <s v="50115067     ostatní ZPr - rukavice (sk.Z_532)"/>
    <x v="15"/>
    <x v="0"/>
    <n v="4.3469999999999995"/>
    <n v="8.8867206505720002"/>
  </r>
  <r>
    <s v="01"/>
    <s v="01"/>
    <s v="I. interní klinika - kardiologická"/>
    <x v="0"/>
    <s v="0121"/>
    <s v="ambulance"/>
    <s v="0121 - ambulance"/>
    <s v="50115067     ostatní ZPr - rukavice (sk.Z_532)"/>
    <x v="15"/>
    <x v="1"/>
    <n v="7.2089999999999996"/>
    <n v="4.3969565353120004"/>
  </r>
  <r>
    <s v="01"/>
    <s v="01"/>
    <s v="I. interní klinika - kardiologická"/>
    <x v="0"/>
    <s v="0121"/>
    <s v="ambulance"/>
    <s v="0121 - ambulance"/>
    <s v="50115067     ostatní ZPr - rukavice (sk.Z_532)"/>
    <x v="15"/>
    <x v="2"/>
    <n v="4.5511999999999997"/>
    <n v="5.7984668382080002"/>
  </r>
  <r>
    <s v="01"/>
    <s v="01"/>
    <s v="I. interní klinika - kardiologická"/>
    <x v="0"/>
    <s v="0131"/>
    <s v="JIP "/>
    <s v="0131 - JIP "/>
    <s v="50113     Léky a léčiva"/>
    <x v="2"/>
    <x v="0"/>
    <n v="2216.1207100000011"/>
    <n v="2036.1648451841099"/>
  </r>
  <r>
    <s v="01"/>
    <s v="01"/>
    <s v="I. interní klinika - kardiologická"/>
    <x v="0"/>
    <s v="0131"/>
    <s v="JIP "/>
    <s v="0131 - JIP "/>
    <s v="50113     Léky a léčiva"/>
    <x v="2"/>
    <x v="1"/>
    <n v="1678.7681400000013"/>
    <n v="2150.4617086982798"/>
  </r>
  <r>
    <s v="01"/>
    <s v="01"/>
    <s v="I. interní klinika - kardiologická"/>
    <x v="0"/>
    <s v="0131"/>
    <s v="JIP "/>
    <s v="0131 - JIP "/>
    <s v="50113     Léky a léčiva"/>
    <x v="2"/>
    <x v="2"/>
    <n v="1216.6942100000001"/>
    <n v="1696.44321072606"/>
  </r>
  <r>
    <s v="01"/>
    <s v="01"/>
    <s v="I. interní klinika - kardiologická"/>
    <x v="0"/>
    <s v="0131"/>
    <s v="JIP "/>
    <s v="0131 - JIP "/>
    <s v="50113001     léky - paušál+TISS (LEK)"/>
    <x v="3"/>
    <x v="0"/>
    <n v="1281.606759999999"/>
    <n v="1395.80946127123"/>
  </r>
  <r>
    <s v="01"/>
    <s v="01"/>
    <s v="I. interní klinika - kardiologická"/>
    <x v="0"/>
    <s v="0131"/>
    <s v="JIP "/>
    <s v="0131 - JIP "/>
    <s v="50113001     léky - paušál+TISS (LEK)"/>
    <x v="3"/>
    <x v="1"/>
    <n v="1097.0244500000008"/>
    <n v="1281.5468574510501"/>
  </r>
  <r>
    <s v="01"/>
    <s v="01"/>
    <s v="I. interní klinika - kardiologická"/>
    <x v="0"/>
    <s v="0131"/>
    <s v="JIP "/>
    <s v="0131 - JIP "/>
    <s v="50113001     léky - paušál+TISS (LEK)"/>
    <x v="3"/>
    <x v="2"/>
    <n v="775.48526000000004"/>
    <n v="1081.19157216399"/>
  </r>
  <r>
    <s v="01"/>
    <s v="01"/>
    <s v="I. interní klinika - kardiologická"/>
    <x v="0"/>
    <s v="0131"/>
    <s v="JIP "/>
    <s v="0131 - JIP "/>
    <s v="50113002     léky - parenterální výživa (LEK)"/>
    <x v="17"/>
    <x v="2"/>
    <n v="43.43768"/>
    <n v="58"/>
  </r>
  <r>
    <s v="01"/>
    <s v="01"/>
    <s v="I. interní klinika - kardiologická"/>
    <x v="0"/>
    <s v="0131"/>
    <s v="JIP "/>
    <s v="0131 - JIP "/>
    <s v="50113006     léky - enterální výživa (LEK)"/>
    <x v="4"/>
    <x v="0"/>
    <n v="212.16529000000003"/>
    <n v="218.81873179530899"/>
  </r>
  <r>
    <s v="01"/>
    <s v="01"/>
    <s v="I. interní klinika - kardiologická"/>
    <x v="0"/>
    <s v="0131"/>
    <s v="JIP "/>
    <s v="0131 - JIP "/>
    <s v="50113006     léky - enterální výživa (LEK)"/>
    <x v="4"/>
    <x v="1"/>
    <n v="196.88189"/>
    <n v="211.84831190267801"/>
  </r>
  <r>
    <s v="01"/>
    <s v="01"/>
    <s v="I. interní klinika - kardiologická"/>
    <x v="0"/>
    <s v="0131"/>
    <s v="JIP "/>
    <s v="0131 - JIP "/>
    <s v="50113006     léky - enterální výživa (LEK)"/>
    <x v="4"/>
    <x v="2"/>
    <n v="22.37406"/>
    <n v="99"/>
  </r>
  <r>
    <s v="01"/>
    <s v="01"/>
    <s v="I. interní klinika - kardiologická"/>
    <x v="0"/>
    <s v="0131"/>
    <s v="JIP "/>
    <s v="0131 - JIP "/>
    <s v="50113008     léky - krev.deriváty ZUL (TO)"/>
    <x v="5"/>
    <x v="0"/>
    <n v="122.98432"/>
    <n v="15.999508594644"/>
  </r>
  <r>
    <s v="01"/>
    <s v="01"/>
    <s v="I. interní klinika - kardiologická"/>
    <x v="0"/>
    <s v="0131"/>
    <s v="JIP "/>
    <s v="0131 - JIP "/>
    <s v="50113008     léky - krev.deriváty ZUL (TO)"/>
    <x v="5"/>
    <x v="1"/>
    <n v="25.826699999999999"/>
    <n v="123.001080022213"/>
  </r>
  <r>
    <s v="01"/>
    <s v="01"/>
    <s v="I. interní klinika - kardiologická"/>
    <x v="0"/>
    <s v="0131"/>
    <s v="JIP "/>
    <s v="0131 - JIP "/>
    <s v="50113008     léky - krev.deriváty ZUL (TO)"/>
    <x v="5"/>
    <x v="2"/>
    <n v="19.791800000000002"/>
    <n v="19.111486997037002"/>
  </r>
  <r>
    <s v="01"/>
    <s v="01"/>
    <s v="I. interní klinika - kardiologická"/>
    <x v="0"/>
    <s v="0131"/>
    <s v="JIP "/>
    <s v="0131 - JIP "/>
    <s v="50113012     léky - trombolýza (LEK)"/>
    <x v="19"/>
    <x v="0"/>
    <n v="273.07459999999998"/>
    <n v="148.973162153922"/>
  </r>
  <r>
    <s v="01"/>
    <s v="01"/>
    <s v="I. interní klinika - kardiologická"/>
    <x v="0"/>
    <s v="0131"/>
    <s v="JIP "/>
    <s v="0131 - JIP "/>
    <s v="50113012     léky - trombolýza (LEK)"/>
    <x v="19"/>
    <x v="1"/>
    <n v="131.36437000000001"/>
    <n v="273.21808343637701"/>
  </r>
  <r>
    <s v="01"/>
    <s v="01"/>
    <s v="I. interní klinika - kardiologická"/>
    <x v="0"/>
    <s v="0131"/>
    <s v="JIP "/>
    <s v="0131 - JIP "/>
    <s v="50113012     léky - trombolýza (LEK)"/>
    <x v="19"/>
    <x v="2"/>
    <n v="173.16701"/>
    <n v="215.180981043701"/>
  </r>
  <r>
    <s v="01"/>
    <s v="01"/>
    <s v="I. interní klinika - kardiologická"/>
    <x v="0"/>
    <s v="0131"/>
    <s v="JIP "/>
    <s v="0131 - JIP "/>
    <s v="50113013     léky (paušál) - antibiotika (LEK)"/>
    <x v="7"/>
    <x v="0"/>
    <n v="193.23893000000001"/>
    <n v="141.45313178498799"/>
  </r>
  <r>
    <s v="01"/>
    <s v="01"/>
    <s v="I. interní klinika - kardiologická"/>
    <x v="0"/>
    <s v="0131"/>
    <s v="JIP "/>
    <s v="0131 - JIP "/>
    <s v="50113013     léky (paušál) - antibiotika (LEK)"/>
    <x v="7"/>
    <x v="1"/>
    <n v="115.13975999999998"/>
    <n v="138.98663807754801"/>
  </r>
  <r>
    <s v="01"/>
    <s v="01"/>
    <s v="I. interní klinika - kardiologická"/>
    <x v="0"/>
    <s v="0131"/>
    <s v="JIP "/>
    <s v="0131 - JIP "/>
    <s v="50113013     léky (paušál) - antibiotika (LEK)"/>
    <x v="7"/>
    <x v="2"/>
    <n v="95.284199999999984"/>
    <n v="99.571389669677998"/>
  </r>
  <r>
    <s v="01"/>
    <s v="01"/>
    <s v="I. interní klinika - kardiologická"/>
    <x v="0"/>
    <s v="0131"/>
    <s v="JIP "/>
    <s v="0131 - JIP "/>
    <s v="50113014     léky (paušál) - antimykotika (LEK)"/>
    <x v="8"/>
    <x v="0"/>
    <n v="24.541260000000001"/>
    <n v="4.5962333319019999"/>
  </r>
  <r>
    <s v="01"/>
    <s v="01"/>
    <s v="I. interní klinika - kardiologická"/>
    <x v="0"/>
    <s v="0131"/>
    <s v="JIP "/>
    <s v="0131 - JIP "/>
    <s v="50113014     léky (paušál) - antimykotika (LEK)"/>
    <x v="8"/>
    <x v="1"/>
    <n v="2.5069700000000004"/>
    <n v="18.047352517078"/>
  </r>
  <r>
    <s v="01"/>
    <s v="01"/>
    <s v="I. interní klinika - kardiologická"/>
    <x v="0"/>
    <s v="0131"/>
    <s v="JIP "/>
    <s v="0131 - JIP "/>
    <s v="50113014     léky (paušál) - antimykotika (LEK)"/>
    <x v="8"/>
    <x v="2"/>
    <n v="3.2699000000000003"/>
    <n v="8.6314269007639997"/>
  </r>
  <r>
    <s v="01"/>
    <s v="01"/>
    <s v="I. interní klinika - kardiologická"/>
    <x v="0"/>
    <s v="0131"/>
    <s v="JIP "/>
    <s v="0131 - JIP "/>
    <s v="50113190     medicinální plyny"/>
    <x v="9"/>
    <x v="0"/>
    <n v="108.509549999999"/>
    <n v="110.514616252116"/>
  </r>
  <r>
    <s v="01"/>
    <s v="01"/>
    <s v="I. interní klinika - kardiologická"/>
    <x v="0"/>
    <s v="0131"/>
    <s v="JIP "/>
    <s v="0131 - JIP "/>
    <s v="50113190     medicinální plyny"/>
    <x v="9"/>
    <x v="1"/>
    <n v="110.024"/>
    <n v="103.81338529134"/>
  </r>
  <r>
    <s v="01"/>
    <s v="01"/>
    <s v="I. interní klinika - kardiologická"/>
    <x v="0"/>
    <s v="0131"/>
    <s v="JIP "/>
    <s v="0131 - JIP "/>
    <s v="50113190     medicinální plyny"/>
    <x v="9"/>
    <x v="2"/>
    <n v="83.884299999999996"/>
    <n v="115.756353950888"/>
  </r>
  <r>
    <s v="01"/>
    <s v="01"/>
    <s v="I. interní klinika - kardiologická"/>
    <x v="0"/>
    <s v="0131"/>
    <s v="JIP "/>
    <s v="0131 - JIP "/>
    <s v="50115     Zdravotnické prostředky"/>
    <x v="0"/>
    <x v="0"/>
    <n v="1602.1190500000012"/>
    <n v="1413.6793764843601"/>
  </r>
  <r>
    <s v="01"/>
    <s v="01"/>
    <s v="I. interní klinika - kardiologická"/>
    <x v="0"/>
    <s v="0131"/>
    <s v="JIP "/>
    <s v="0131 - JIP "/>
    <s v="50115     Zdravotnické prostředky"/>
    <x v="0"/>
    <x v="1"/>
    <n v="1830.0851399999997"/>
    <n v="1949.1949200117599"/>
  </r>
  <r>
    <s v="01"/>
    <s v="01"/>
    <s v="I. interní klinika - kardiologická"/>
    <x v="0"/>
    <s v="0131"/>
    <s v="JIP "/>
    <s v="0131 - JIP "/>
    <s v="50115     Zdravotnické prostředky"/>
    <x v="0"/>
    <x v="2"/>
    <n v="1490.9861000000001"/>
    <n v="1720.8015576431301"/>
  </r>
  <r>
    <s v="01"/>
    <s v="01"/>
    <s v="I. interní klinika - kardiologická"/>
    <x v="0"/>
    <s v="0131"/>
    <s v="JIP "/>
    <s v="0131 - JIP "/>
    <s v="50115020     diagnostika laboratorní-LEK (sk.Z_501)"/>
    <x v="10"/>
    <x v="0"/>
    <n v="45.310690000000001"/>
    <n v="32.320832220612999"/>
  </r>
  <r>
    <s v="01"/>
    <s v="01"/>
    <s v="I. interní klinika - kardiologická"/>
    <x v="0"/>
    <s v="0131"/>
    <s v="JIP "/>
    <s v="0131 - JIP "/>
    <s v="50115020     diagnostika laboratorní-LEK (sk.Z_501)"/>
    <x v="10"/>
    <x v="1"/>
    <n v="333.65522999999996"/>
    <n v="425.31064200909998"/>
  </r>
  <r>
    <s v="01"/>
    <s v="01"/>
    <s v="I. interní klinika - kardiologická"/>
    <x v="0"/>
    <s v="0131"/>
    <s v="JIP "/>
    <s v="0131 - JIP "/>
    <s v="50115020     diagnostika laboratorní-LEK (sk.Z_501)"/>
    <x v="10"/>
    <x v="2"/>
    <n v="320.01606000000004"/>
    <n v="335.783429804945"/>
  </r>
  <r>
    <s v="01"/>
    <s v="01"/>
    <s v="I. interní klinika - kardiologická"/>
    <x v="0"/>
    <s v="0131"/>
    <s v="JIP "/>
    <s v="0131 - JIP "/>
    <s v="50115040     laboratorní materiál (sk.Z_505)"/>
    <x v="11"/>
    <x v="0"/>
    <n v="4.9599999999999998E-2"/>
    <n v="1.899932860454"/>
  </r>
  <r>
    <s v="01"/>
    <s v="01"/>
    <s v="I. interní klinika - kardiologická"/>
    <x v="0"/>
    <s v="0131"/>
    <s v="JIP "/>
    <s v="0131 - JIP "/>
    <s v="50115040     laboratorní materiál (sk.Z_505)"/>
    <x v="11"/>
    <x v="1"/>
    <n v="0"/>
    <n v="4.9603135622999998E-2"/>
  </r>
  <r>
    <s v="01"/>
    <s v="01"/>
    <s v="I. interní klinika - kardiologická"/>
    <x v="0"/>
    <s v="0131"/>
    <s v="JIP "/>
    <s v="0131 - JIP "/>
    <s v="50115050     obvazový materiál (sk.Z_502)"/>
    <x v="12"/>
    <x v="0"/>
    <n v="85.822699999999003"/>
    <n v="74.500711021944994"/>
  </r>
  <r>
    <s v="01"/>
    <s v="01"/>
    <s v="I. interní klinika - kardiologická"/>
    <x v="0"/>
    <s v="0131"/>
    <s v="JIP "/>
    <s v="0131 - JIP "/>
    <s v="50115050     obvazový materiál (sk.Z_502)"/>
    <x v="12"/>
    <x v="1"/>
    <n v="107.16462000000001"/>
    <n v="101.01786954404299"/>
  </r>
  <r>
    <s v="01"/>
    <s v="01"/>
    <s v="I. interní klinika - kardiologická"/>
    <x v="0"/>
    <s v="0131"/>
    <s v="JIP "/>
    <s v="0131 - JIP "/>
    <s v="50115050     obvazový materiál (sk.Z_502)"/>
    <x v="12"/>
    <x v="2"/>
    <n v="87.163109999999989"/>
    <n v="110.12518583274"/>
  </r>
  <r>
    <s v="01"/>
    <s v="01"/>
    <s v="I. interní klinika - kardiologická"/>
    <x v="0"/>
    <s v="0131"/>
    <s v="JIP "/>
    <s v="0131 - JIP "/>
    <s v="50115060     ostatní ZPr - mimo níže uvedené (sk.Z_503)"/>
    <x v="1"/>
    <x v="0"/>
    <n v="859.26194999999996"/>
    <n v="713.35169724024399"/>
  </r>
  <r>
    <s v="01"/>
    <s v="01"/>
    <s v="I. interní klinika - kardiologická"/>
    <x v="0"/>
    <s v="0131"/>
    <s v="JIP "/>
    <s v="0131 - JIP "/>
    <s v="50115060     ostatní ZPr - mimo níže uvedené (sk.Z_503)"/>
    <x v="1"/>
    <x v="1"/>
    <n v="886.07411999999999"/>
    <n v="834.25647102009702"/>
  </r>
  <r>
    <s v="01"/>
    <s v="01"/>
    <s v="I. interní klinika - kardiologická"/>
    <x v="0"/>
    <s v="0131"/>
    <s v="JIP "/>
    <s v="0131 - JIP "/>
    <s v="50115060     ostatní ZPr - mimo níže uvedené (sk.Z_503)"/>
    <x v="1"/>
    <x v="2"/>
    <n v="559.67462999999998"/>
    <n v="740"/>
  </r>
  <r>
    <s v="01"/>
    <s v="01"/>
    <s v="I. interní klinika - kardiologická"/>
    <x v="0"/>
    <s v="0131"/>
    <s v="JIP "/>
    <s v="0131 - JIP "/>
    <s v="50115062     ostatní ZPr - materiál pro hemodialýzu (sk.Z_525)"/>
    <x v="20"/>
    <x v="0"/>
    <n v="0"/>
    <n v="10"/>
  </r>
  <r>
    <s v="01"/>
    <s v="01"/>
    <s v="I. interní klinika - kardiologická"/>
    <x v="0"/>
    <s v="0131"/>
    <s v="JIP "/>
    <s v="0131 - JIP "/>
    <s v="50115062     ostatní ZPr - materiál pro hemodialýzu (sk.Z_525)"/>
    <x v="20"/>
    <x v="1"/>
    <n v="0"/>
    <n v="10"/>
  </r>
  <r>
    <s v="01"/>
    <s v="01"/>
    <s v="I. interní klinika - kardiologická"/>
    <x v="0"/>
    <s v="0131"/>
    <s v="JIP "/>
    <s v="0131 - JIP "/>
    <s v="50115062     ostatní ZPr - materiál pro hemodialýzu (sk.Z_525)"/>
    <x v="20"/>
    <x v="2"/>
    <n v="0"/>
    <n v="10"/>
  </r>
  <r>
    <s v="01"/>
    <s v="01"/>
    <s v="I. interní klinika - kardiologická"/>
    <x v="0"/>
    <s v="0131"/>
    <s v="JIP "/>
    <s v="0131 - JIP "/>
    <s v="50115063     ostatní ZPr - vaky, sety (sk.Z_528)"/>
    <x v="13"/>
    <x v="0"/>
    <n v="55.096699999998997"/>
    <n v="75.116957934686994"/>
  </r>
  <r>
    <s v="01"/>
    <s v="01"/>
    <s v="I. interní klinika - kardiologická"/>
    <x v="0"/>
    <s v="0131"/>
    <s v="JIP "/>
    <s v="0131 - JIP "/>
    <s v="50115063     ostatní ZPr - vaky, sety (sk.Z_528)"/>
    <x v="13"/>
    <x v="1"/>
    <n v="12.603300000000001"/>
    <n v="53.974070235663"/>
  </r>
  <r>
    <s v="01"/>
    <s v="01"/>
    <s v="I. interní klinika - kardiologická"/>
    <x v="0"/>
    <s v="0131"/>
    <s v="JIP "/>
    <s v="0131 - JIP "/>
    <s v="50115063     ostatní ZPr - vaky, sety (sk.Z_528)"/>
    <x v="13"/>
    <x v="2"/>
    <n v="9.4766000000000012"/>
    <n v="14.059641912030999"/>
  </r>
  <r>
    <s v="01"/>
    <s v="01"/>
    <s v="I. interní klinika - kardiologická"/>
    <x v="0"/>
    <s v="0131"/>
    <s v="JIP "/>
    <s v="0131 - JIP "/>
    <s v="50115064     ostatní ZPr - šicí materiál (sk.Z_529)"/>
    <x v="21"/>
    <x v="0"/>
    <n v="28.768950000000004"/>
    <n v="15.030794045916"/>
  </r>
  <r>
    <s v="01"/>
    <s v="01"/>
    <s v="I. interní klinika - kardiologická"/>
    <x v="0"/>
    <s v="0131"/>
    <s v="JIP "/>
    <s v="0131 - JIP "/>
    <s v="50115064     ostatní ZPr - šicí materiál (sk.Z_529)"/>
    <x v="21"/>
    <x v="1"/>
    <n v="25.343139999999998"/>
    <n v="28.205647489533"/>
  </r>
  <r>
    <s v="01"/>
    <s v="01"/>
    <s v="I. interní klinika - kardiologická"/>
    <x v="0"/>
    <s v="0131"/>
    <s v="JIP "/>
    <s v="0131 - JIP "/>
    <s v="50115064     ostatní ZPr - šicí materiál (sk.Z_529)"/>
    <x v="21"/>
    <x v="2"/>
    <n v="17.471780000000003"/>
    <n v="23.421292697655002"/>
  </r>
  <r>
    <s v="01"/>
    <s v="01"/>
    <s v="I. interní klinika - kardiologická"/>
    <x v="0"/>
    <s v="0131"/>
    <s v="JIP "/>
    <s v="0131 - JIP "/>
    <s v="50115065     ostatní ZPr - vpichovací materiál (sk.Z_530)"/>
    <x v="14"/>
    <x v="0"/>
    <n v="5.2721799999989996"/>
    <n v="5.375342144747"/>
  </r>
  <r>
    <s v="01"/>
    <s v="01"/>
    <s v="I. interní klinika - kardiologická"/>
    <x v="0"/>
    <s v="0131"/>
    <s v="JIP "/>
    <s v="0131 - JIP "/>
    <s v="50115065     ostatní ZPr - vpichovací materiál (sk.Z_530)"/>
    <x v="14"/>
    <x v="1"/>
    <n v="5.87"/>
    <n v="5.4082853619969997"/>
  </r>
  <r>
    <s v="01"/>
    <s v="01"/>
    <s v="I. interní klinika - kardiologická"/>
    <x v="0"/>
    <s v="0131"/>
    <s v="JIP "/>
    <s v="0131 - JIP "/>
    <s v="50115065     ostatní ZPr - vpichovací materiál (sk.Z_530)"/>
    <x v="14"/>
    <x v="2"/>
    <n v="4.6520000000000001"/>
    <n v="4.1834367525599996"/>
  </r>
  <r>
    <s v="01"/>
    <s v="01"/>
    <s v="I. interní klinika - kardiologická"/>
    <x v="0"/>
    <s v="0131"/>
    <s v="JIP "/>
    <s v="0131 - JIP "/>
    <s v="50115067     ostatní ZPr - rukavice (sk.Z_532)"/>
    <x v="15"/>
    <x v="0"/>
    <n v="47.091200000000001"/>
    <n v="42.85563841954"/>
  </r>
  <r>
    <s v="01"/>
    <s v="01"/>
    <s v="I. interní klinika - kardiologická"/>
    <x v="0"/>
    <s v="0131"/>
    <s v="JIP "/>
    <s v="0131 - JIP "/>
    <s v="50115067     ostatní ZPr - rukavice (sk.Z_532)"/>
    <x v="15"/>
    <x v="1"/>
    <n v="42.9619"/>
    <n v="47.757563149237001"/>
  </r>
  <r>
    <s v="01"/>
    <s v="01"/>
    <s v="I. interní klinika - kardiologická"/>
    <x v="0"/>
    <s v="0131"/>
    <s v="JIP "/>
    <s v="0131 - JIP "/>
    <s v="50115067     ostatní ZPr - rukavice (sk.Z_532)"/>
    <x v="15"/>
    <x v="2"/>
    <n v="33.016400000000004"/>
    <n v="40.228580092476001"/>
  </r>
  <r>
    <s v="01"/>
    <s v="01"/>
    <s v="I. interní klinika - kardiologická"/>
    <x v="0"/>
    <s v="0131"/>
    <s v="JIP "/>
    <s v="0131 - JIP "/>
    <s v="50115070     ostatní ZPr - katetry (sk.Z_513)"/>
    <x v="16"/>
    <x v="0"/>
    <n v="475.44507999999894"/>
    <n v="443.22747059621099"/>
  </r>
  <r>
    <s v="01"/>
    <s v="01"/>
    <s v="I. interní klinika - kardiologická"/>
    <x v="0"/>
    <s v="0131"/>
    <s v="JIP "/>
    <s v="0131 - JIP "/>
    <s v="50115070     ostatní ZPr - katetry (sk.Z_513)"/>
    <x v="16"/>
    <x v="1"/>
    <n v="416.41282999999999"/>
    <n v="443.21476806646899"/>
  </r>
  <r>
    <s v="01"/>
    <s v="01"/>
    <s v="I. interní klinika - kardiologická"/>
    <x v="0"/>
    <s v="0131"/>
    <s v="JIP "/>
    <s v="0131 - JIP "/>
    <s v="50115070     ostatní ZPr - katetry (sk.Z_513)"/>
    <x v="16"/>
    <x v="2"/>
    <n v="370.31528999999995"/>
    <n v="442.99999055072698"/>
  </r>
  <r>
    <s v="01"/>
    <s v="01"/>
    <s v="I. interní klinika - kardiologická"/>
    <x v="0"/>
    <s v="0131"/>
    <s v="JIP "/>
    <s v="0131 - JIP "/>
    <s v="50115079     ostatní ZPr - intenzivní péče (sk.Z_542)"/>
    <x v="18"/>
    <x v="2"/>
    <n v="89.200230000000005"/>
    <n v="0"/>
  </r>
  <r>
    <s v="01"/>
    <s v="01"/>
    <s v="I. interní klinika - kardiologická"/>
    <x v="0"/>
    <s v="0171"/>
    <s v="odd. invaz. vyš. metod-kardiovertery"/>
    <s v="0171 - odd. invaz. vyš. metod-kardiovertery"/>
    <s v="50113     Léky a léčiva"/>
    <x v="2"/>
    <x v="0"/>
    <n v="524.28280999999902"/>
    <n v="516.44426147139802"/>
  </r>
  <r>
    <s v="01"/>
    <s v="01"/>
    <s v="I. interní klinika - kardiologická"/>
    <x v="0"/>
    <s v="0171"/>
    <s v="odd. invaz. vyš. metod-kardiovertery"/>
    <s v="0171 - odd. invaz. vyš. metod-kardiovertery"/>
    <s v="50113     Léky a léčiva"/>
    <x v="2"/>
    <x v="1"/>
    <n v="555.59827000000007"/>
    <n v="516.12786899107698"/>
  </r>
  <r>
    <s v="01"/>
    <s v="01"/>
    <s v="I. interní klinika - kardiologická"/>
    <x v="0"/>
    <s v="0171"/>
    <s v="odd. invaz. vyš. metod-kardiovertery"/>
    <s v="0171 - odd. invaz. vyš. metod-kardiovertery"/>
    <s v="50113     Léky a léčiva"/>
    <x v="2"/>
    <x v="2"/>
    <n v="375.04109000000005"/>
    <n v="512.02453243389698"/>
  </r>
  <r>
    <s v="01"/>
    <s v="01"/>
    <s v="I. interní klinika - kardiologická"/>
    <x v="0"/>
    <s v="0171"/>
    <s v="odd. invaz. vyš. metod-kardiovertery"/>
    <s v="0171 - odd. invaz. vyš. metod-kardiovertery"/>
    <s v="50113001     léky - paušál+TISS (LEK)"/>
    <x v="3"/>
    <x v="0"/>
    <n v="396.03738999999894"/>
    <n v="365.77690161879099"/>
  </r>
  <r>
    <s v="01"/>
    <s v="01"/>
    <s v="I. interní klinika - kardiologická"/>
    <x v="0"/>
    <s v="0171"/>
    <s v="odd. invaz. vyš. metod-kardiovertery"/>
    <s v="0171 - odd. invaz. vyš. metod-kardiovertery"/>
    <s v="50113001     léky - paušál+TISS (LEK)"/>
    <x v="3"/>
    <x v="1"/>
    <n v="527.47613000000001"/>
    <n v="406.01885127836402"/>
  </r>
  <r>
    <s v="01"/>
    <s v="01"/>
    <s v="I. interní klinika - kardiologická"/>
    <x v="0"/>
    <s v="0171"/>
    <s v="odd. invaz. vyš. metod-kardiovertery"/>
    <s v="0171 - odd. invaz. vyš. metod-kardiovertery"/>
    <s v="50113001     léky - paušál+TISS (LEK)"/>
    <x v="3"/>
    <x v="2"/>
    <n v="361.39570000000003"/>
    <n v="493.27731449603499"/>
  </r>
  <r>
    <s v="01"/>
    <s v="01"/>
    <s v="I. interní klinika - kardiologická"/>
    <x v="0"/>
    <s v="0171"/>
    <s v="odd. invaz. vyš. metod-kardiovertery"/>
    <s v="0171 - odd. invaz. vyš. metod-kardiovertery"/>
    <s v="50113009     léky - RTG diagnostika ZUL (LEK)"/>
    <x v="22"/>
    <x v="0"/>
    <n v="128.24542000000002"/>
    <n v="150.25384424648399"/>
  </r>
  <r>
    <s v="01"/>
    <s v="01"/>
    <s v="I. interní klinika - kardiologická"/>
    <x v="0"/>
    <s v="0171"/>
    <s v="odd. invaz. vyš. metod-kardiovertery"/>
    <s v="0171 - odd. invaz. vyš. metod-kardiovertery"/>
    <s v="50113009     léky - RTG diagnostika ZUL (LEK)"/>
    <x v="22"/>
    <x v="1"/>
    <n v="28.122139999999998"/>
    <n v="110.109017712713"/>
  </r>
  <r>
    <s v="01"/>
    <s v="01"/>
    <s v="I. interní klinika - kardiologická"/>
    <x v="0"/>
    <s v="0171"/>
    <s v="odd. invaz. vyš. metod-kardiovertery"/>
    <s v="0171 - odd. invaz. vyš. metod-kardiovertery"/>
    <s v="50113009     léky - RTG diagnostika ZUL (LEK)"/>
    <x v="22"/>
    <x v="2"/>
    <n v="13.645389999999999"/>
    <n v="18.747217937862001"/>
  </r>
  <r>
    <s v="01"/>
    <s v="01"/>
    <s v="I. interní klinika - kardiologická"/>
    <x v="0"/>
    <s v="0171"/>
    <s v="odd. invaz. vyš. metod-kardiovertery"/>
    <s v="0171 - odd. invaz. vyš. metod-kardiovertery"/>
    <s v="50113013     léky (paušál) - antibiotika (LEK)"/>
    <x v="7"/>
    <x v="0"/>
    <n v="0"/>
    <n v="0.188414099926"/>
  </r>
  <r>
    <s v="01"/>
    <s v="01"/>
    <s v="I. interní klinika - kardiologická"/>
    <x v="0"/>
    <s v="0171"/>
    <s v="odd. invaz. vyš. metod-kardiovertery"/>
    <s v="0171 - odd. invaz. vyš. metod-kardiovertery"/>
    <s v="50113014     léky (paušál) - antimykotika (LEK)"/>
    <x v="8"/>
    <x v="0"/>
    <n v="0"/>
    <n v="0.225101506196"/>
  </r>
  <r>
    <s v="01"/>
    <s v="01"/>
    <s v="I. interní klinika - kardiologická"/>
    <x v="0"/>
    <s v="0171"/>
    <s v="odd. invaz. vyš. metod-kardiovertery"/>
    <s v="0171 - odd. invaz. vyš. metod-kardiovertery"/>
    <s v="50115     Zdravotnické prostředky"/>
    <x v="0"/>
    <x v="0"/>
    <n v="196831.33978000013"/>
    <n v="191846.553454504"/>
  </r>
  <r>
    <s v="01"/>
    <s v="01"/>
    <s v="I. interní klinika - kardiologická"/>
    <x v="0"/>
    <s v="0171"/>
    <s v="odd. invaz. vyš. metod-kardiovertery"/>
    <s v="0171 - odd. invaz. vyš. metod-kardiovertery"/>
    <s v="50115     Zdravotnické prostředky"/>
    <x v="0"/>
    <x v="1"/>
    <n v="170446.69297000003"/>
    <n v="163973.54908426999"/>
  </r>
  <r>
    <s v="01"/>
    <s v="01"/>
    <s v="I. interní klinika - kardiologická"/>
    <x v="0"/>
    <s v="0171"/>
    <s v="odd. invaz. vyš. metod-kardiovertery"/>
    <s v="0171 - odd. invaz. vyš. metod-kardiovertery"/>
    <s v="50115     Zdravotnické prostředky"/>
    <x v="0"/>
    <x v="2"/>
    <n v="123041.3095"/>
    <n v="166388.96594168601"/>
  </r>
  <r>
    <s v="01"/>
    <s v="01"/>
    <s v="I. interní klinika - kardiologická"/>
    <x v="0"/>
    <s v="0171"/>
    <s v="odd. invaz. vyš. metod-kardiovertery"/>
    <s v="0171 - odd. invaz. vyš. metod-kardiovertery"/>
    <s v="50115001     implant.umělé těl.náhr.-kardiostim. (sk.Z_517)"/>
    <x v="23"/>
    <x v="0"/>
    <n v="33482.32432"/>
    <n v="33499.999999998698"/>
  </r>
  <r>
    <s v="01"/>
    <s v="01"/>
    <s v="I. interní klinika - kardiologická"/>
    <x v="0"/>
    <s v="0171"/>
    <s v="odd. invaz. vyš. metod-kardiovertery"/>
    <s v="0171 - odd. invaz. vyš. metod-kardiovertery"/>
    <s v="50115001     implant.umělé těl.náhr.-kardiostim. (sk.Z_517)"/>
    <x v="23"/>
    <x v="1"/>
    <n v="33239.858110000023"/>
    <n v="30029.931643671502"/>
  </r>
  <r>
    <s v="01"/>
    <s v="01"/>
    <s v="I. interní klinika - kardiologická"/>
    <x v="0"/>
    <s v="0171"/>
    <s v="odd. invaz. vyš. metod-kardiovertery"/>
    <s v="0171 - odd. invaz. vyš. metod-kardiovertery"/>
    <s v="50115001     implant.umělé těl.náhr.-kardiostim. (sk.Z_517)"/>
    <x v="23"/>
    <x v="2"/>
    <n v="19553.959770000001"/>
    <n v="30029.599999999999"/>
  </r>
  <r>
    <s v="01"/>
    <s v="01"/>
    <s v="I. interní klinika - kardiologická"/>
    <x v="0"/>
    <s v="0171"/>
    <s v="odd. invaz. vyš. metod-kardiovertery"/>
    <s v="0171 - odd. invaz. vyš. metod-kardiovertery"/>
    <s v="50115002     implant.umělé těl.náhr.-defibr.,kardiov.(Z_516)"/>
    <x v="24"/>
    <x v="0"/>
    <n v="135520.79166000008"/>
    <n v="132999.99999999499"/>
  </r>
  <r>
    <s v="01"/>
    <s v="01"/>
    <s v="I. interní klinika - kardiologická"/>
    <x v="0"/>
    <s v="0171"/>
    <s v="odd. invaz. vyš. metod-kardiovertery"/>
    <s v="0171 - odd. invaz. vyš. metod-kardiovertery"/>
    <s v="50115002     implant.umělé těl.náhr.-defibr.,kardiov.(Z_516)"/>
    <x v="24"/>
    <x v="1"/>
    <n v="104752.86194000002"/>
    <n v="102099.975450649"/>
  </r>
  <r>
    <s v="01"/>
    <s v="01"/>
    <s v="I. interní klinika - kardiologická"/>
    <x v="0"/>
    <s v="0171"/>
    <s v="odd. invaz. vyš. metod-kardiovertery"/>
    <s v="0171 - odd. invaz. vyš. metod-kardiovertery"/>
    <s v="50115002     implant.umělé těl.náhr.-defibr.,kardiov.(Z_516)"/>
    <x v="24"/>
    <x v="2"/>
    <n v="83387.992029999994"/>
    <n v="102000"/>
  </r>
  <r>
    <s v="01"/>
    <s v="01"/>
    <s v="I. interní klinika - kardiologická"/>
    <x v="0"/>
    <s v="0171"/>
    <s v="odd. invaz. vyš. metod-kardiovertery"/>
    <s v="0171 - odd. invaz. vyš. metod-kardiovertery"/>
    <s v="50115004     implant.umělé těl.náhr.-kovové (s.Z_506)"/>
    <x v="25"/>
    <x v="0"/>
    <n v="852.51859000000104"/>
    <n v="511.61619688824499"/>
  </r>
  <r>
    <s v="01"/>
    <s v="01"/>
    <s v="I. interní klinika - kardiologická"/>
    <x v="0"/>
    <s v="0171"/>
    <s v="odd. invaz. vyš. metod-kardiovertery"/>
    <s v="0171 - odd. invaz. vyš. metod-kardiovertery"/>
    <s v="50115004     implant.umělé těl.náhr.-kovové (s.Z_506)"/>
    <x v="25"/>
    <x v="1"/>
    <n v="50.148000000000003"/>
    <n v="0"/>
  </r>
  <r>
    <s v="01"/>
    <s v="01"/>
    <s v="I. interní klinika - kardiologická"/>
    <x v="0"/>
    <s v="0171"/>
    <s v="odd. invaz. vyš. metod-kardiovertery"/>
    <s v="0171 - odd. invaz. vyš. metod-kardiovertery"/>
    <s v="50115004     implant.umělé těl.náhr.-kovové (s.Z_506)"/>
    <x v="25"/>
    <x v="2"/>
    <n v="0"/>
    <n v="50.147998420458997"/>
  </r>
  <r>
    <s v="01"/>
    <s v="01"/>
    <s v="I. interní klinika - kardiologická"/>
    <x v="0"/>
    <s v="0171"/>
    <s v="odd. invaz. vyš. metod-kardiovertery"/>
    <s v="0171 - odd. invaz. vyš. metod-kardiovertery"/>
    <s v="50115011     implant.umělé těl.náhr.-ostat.nákl.PZT(s.Z_515)"/>
    <x v="26"/>
    <x v="1"/>
    <n v="0"/>
    <n v="862.99953532655195"/>
  </r>
  <r>
    <s v="01"/>
    <s v="01"/>
    <s v="I. interní klinika - kardiologická"/>
    <x v="0"/>
    <s v="0171"/>
    <s v="odd. invaz. vyš. metod-kardiovertery"/>
    <s v="0171 - odd. invaz. vyš. metod-kardiovertery"/>
    <s v="50115012     implant.umělé těl.náhr.-kardiostim. SQ (Z_544)"/>
    <x v="27"/>
    <x v="2"/>
    <n v="59.8"/>
    <n v="0"/>
  </r>
  <r>
    <s v="01"/>
    <s v="01"/>
    <s v="I. interní klinika - kardiologická"/>
    <x v="0"/>
    <s v="0171"/>
    <s v="odd. invaz. vyš. metod-kardiovertery"/>
    <s v="0171 - odd. invaz. vyš. metod-kardiovertery"/>
    <s v="50115040     laboratorní materiál (sk.Z_505)"/>
    <x v="11"/>
    <x v="2"/>
    <n v="0.37509999999999999"/>
    <n v="0"/>
  </r>
  <r>
    <s v="01"/>
    <s v="01"/>
    <s v="I. interní klinika - kardiologická"/>
    <x v="0"/>
    <s v="0171"/>
    <s v="odd. invaz. vyš. metod-kardiovertery"/>
    <s v="0171 - odd. invaz. vyš. metod-kardiovertery"/>
    <s v="50115050     obvazový materiál (sk.Z_502)"/>
    <x v="12"/>
    <x v="0"/>
    <n v="136.46257"/>
    <n v="140.41057677297599"/>
  </r>
  <r>
    <s v="01"/>
    <s v="01"/>
    <s v="I. interní klinika - kardiologická"/>
    <x v="0"/>
    <s v="0171"/>
    <s v="odd. invaz. vyš. metod-kardiovertery"/>
    <s v="0171 - odd. invaz. vyš. metod-kardiovertery"/>
    <s v="50115050     obvazový materiál (sk.Z_502)"/>
    <x v="12"/>
    <x v="1"/>
    <n v="195.61811999999998"/>
    <n v="136.77289290700401"/>
  </r>
  <r>
    <s v="01"/>
    <s v="01"/>
    <s v="I. interní klinika - kardiologická"/>
    <x v="0"/>
    <s v="0171"/>
    <s v="odd. invaz. vyš. metod-kardiovertery"/>
    <s v="0171 - odd. invaz. vyš. metod-kardiovertery"/>
    <s v="50115050     obvazový materiál (sk.Z_502)"/>
    <x v="12"/>
    <x v="2"/>
    <n v="112.59734999999999"/>
    <n v="170.972680252293"/>
  </r>
  <r>
    <s v="01"/>
    <s v="01"/>
    <s v="I. interní klinika - kardiologická"/>
    <x v="0"/>
    <s v="0171"/>
    <s v="odd. invaz. vyš. metod-kardiovertery"/>
    <s v="0171 - odd. invaz. vyš. metod-kardiovertery"/>
    <s v="50115060     ostatní ZPr - mimo níže uvedené (sk.Z_503)"/>
    <x v="1"/>
    <x v="0"/>
    <n v="2078.3328600000009"/>
    <n v="2036.0969987676399"/>
  </r>
  <r>
    <s v="01"/>
    <s v="01"/>
    <s v="I. interní klinika - kardiologická"/>
    <x v="0"/>
    <s v="0171"/>
    <s v="odd. invaz. vyš. metod-kardiovertery"/>
    <s v="0171 - odd. invaz. vyš. metod-kardiovertery"/>
    <s v="50115060     ostatní ZPr - mimo níže uvedené (sk.Z_503)"/>
    <x v="1"/>
    <x v="1"/>
    <n v="2439.5210200000006"/>
    <n v="2078.3184076415"/>
  </r>
  <r>
    <s v="01"/>
    <s v="01"/>
    <s v="I. interní klinika - kardiologická"/>
    <x v="0"/>
    <s v="0171"/>
    <s v="odd. invaz. vyš. metod-kardiovertery"/>
    <s v="0171 - odd. invaz. vyš. metod-kardiovertery"/>
    <s v="50115060     ostatní ZPr - mimo níže uvedené (sk.Z_503)"/>
    <x v="1"/>
    <x v="2"/>
    <n v="1892.5263400000001"/>
    <n v="2241"/>
  </r>
  <r>
    <s v="01"/>
    <s v="01"/>
    <s v="I. interní klinika - kardiologická"/>
    <x v="0"/>
    <s v="0171"/>
    <s v="odd. invaz. vyš. metod-kardiovertery"/>
    <s v="0171 - odd. invaz. vyš. metod-kardiovertery"/>
    <s v="50115063     ostatní ZPr - vaky, sety (sk.Z_528)"/>
    <x v="13"/>
    <x v="0"/>
    <n v="975.39936999999986"/>
    <n v="858.49898476558405"/>
  </r>
  <r>
    <s v="01"/>
    <s v="01"/>
    <s v="I. interní klinika - kardiologická"/>
    <x v="0"/>
    <s v="0171"/>
    <s v="odd. invaz. vyš. metod-kardiovertery"/>
    <s v="0171 - odd. invaz. vyš. metod-kardiovertery"/>
    <s v="50115063     ostatní ZPr - vaky, sety (sk.Z_528)"/>
    <x v="13"/>
    <x v="1"/>
    <n v="2267.7670800000001"/>
    <n v="1007.52509072465"/>
  </r>
  <r>
    <s v="01"/>
    <s v="01"/>
    <s v="I. interní klinika - kardiologická"/>
    <x v="0"/>
    <s v="0171"/>
    <s v="odd. invaz. vyš. metod-kardiovertery"/>
    <s v="0171 - odd. invaz. vyš. metod-kardiovertery"/>
    <s v="50115063     ostatní ZPr - vaky, sety (sk.Z_528)"/>
    <x v="13"/>
    <x v="2"/>
    <n v="751.97191999999995"/>
    <n v="2234.0257109459999"/>
  </r>
  <r>
    <s v="01"/>
    <s v="01"/>
    <s v="I. interní klinika - kardiologická"/>
    <x v="0"/>
    <s v="0171"/>
    <s v="odd. invaz. vyš. metod-kardiovertery"/>
    <s v="0171 - odd. invaz. vyš. metod-kardiovertery"/>
    <s v="50115064     ostatní ZPr - šicí materiál (sk.Z_529)"/>
    <x v="21"/>
    <x v="0"/>
    <n v="226.37719999999899"/>
    <n v="200.36490852815899"/>
  </r>
  <r>
    <s v="01"/>
    <s v="01"/>
    <s v="I. interní klinika - kardiologická"/>
    <x v="0"/>
    <s v="0171"/>
    <s v="odd. invaz. vyš. metod-kardiovertery"/>
    <s v="0171 - odd. invaz. vyš. metod-kardiovertery"/>
    <s v="50115064     ostatní ZPr - šicí materiál (sk.Z_529)"/>
    <x v="21"/>
    <x v="1"/>
    <n v="306.42913999999996"/>
    <n v="238.944017255376"/>
  </r>
  <r>
    <s v="01"/>
    <s v="01"/>
    <s v="I. interní klinika - kardiologická"/>
    <x v="0"/>
    <s v="0171"/>
    <s v="odd. invaz. vyš. metod-kardiovertery"/>
    <s v="0171 - odd. invaz. vyš. metod-kardiovertery"/>
    <s v="50115064     ostatní ZPr - šicí materiál (sk.Z_529)"/>
    <x v="21"/>
    <x v="2"/>
    <n v="208.89229"/>
    <n v="297.57869719162301"/>
  </r>
  <r>
    <s v="01"/>
    <s v="01"/>
    <s v="I. interní klinika - kardiologická"/>
    <x v="0"/>
    <s v="0171"/>
    <s v="odd. invaz. vyš. metod-kardiovertery"/>
    <s v="0171 - odd. invaz. vyš. metod-kardiovertery"/>
    <s v="50115065     ostatní ZPr - vpichovací materiál (sk.Z_530)"/>
    <x v="14"/>
    <x v="0"/>
    <n v="49.001669999999997"/>
    <n v="62.925447334940998"/>
  </r>
  <r>
    <s v="01"/>
    <s v="01"/>
    <s v="I. interní klinika - kardiologická"/>
    <x v="0"/>
    <s v="0171"/>
    <s v="odd. invaz. vyš. metod-kardiovertery"/>
    <s v="0171 - odd. invaz. vyš. metod-kardiovertery"/>
    <s v="50115065     ostatní ZPr - vpichovací materiál (sk.Z_530)"/>
    <x v="14"/>
    <x v="1"/>
    <n v="58.329250000000002"/>
    <n v="51.266687770411998"/>
  </r>
  <r>
    <s v="01"/>
    <s v="01"/>
    <s v="I. interní klinika - kardiologická"/>
    <x v="0"/>
    <s v="0171"/>
    <s v="odd. invaz. vyš. metod-kardiovertery"/>
    <s v="0171 - odd. invaz. vyš. metod-kardiovertery"/>
    <s v="50115065     ostatní ZPr - vpichovací materiál (sk.Z_530)"/>
    <x v="14"/>
    <x v="2"/>
    <n v="37.348380000000006"/>
    <n v="66.048633405079997"/>
  </r>
  <r>
    <s v="01"/>
    <s v="01"/>
    <s v="I. interní klinika - kardiologická"/>
    <x v="0"/>
    <s v="0171"/>
    <s v="odd. invaz. vyš. metod-kardiovertery"/>
    <s v="0171 - odd. invaz. vyš. metod-kardiovertery"/>
    <s v="50115067     ostatní ZPr - rukavice (sk.Z_532)"/>
    <x v="15"/>
    <x v="0"/>
    <n v="39.293399999999998"/>
    <n v="28.954253629821999"/>
  </r>
  <r>
    <s v="01"/>
    <s v="01"/>
    <s v="I. interní klinika - kardiologická"/>
    <x v="0"/>
    <s v="0171"/>
    <s v="odd. invaz. vyš. metod-kardiovertery"/>
    <s v="0171 - odd. invaz. vyš. metod-kardiovertery"/>
    <s v="50115067     ostatní ZPr - rukavice (sk.Z_532)"/>
    <x v="15"/>
    <x v="1"/>
    <n v="53.316969999999998"/>
    <n v="41.849422679211997"/>
  </r>
  <r>
    <s v="01"/>
    <s v="01"/>
    <s v="I. interní klinika - kardiologická"/>
    <x v="0"/>
    <s v="0171"/>
    <s v="odd. invaz. vyš. metod-kardiovertery"/>
    <s v="0171 - odd. invaz. vyš. metod-kardiovertery"/>
    <s v="50115067     ostatní ZPr - rukavice (sk.Z_532)"/>
    <x v="15"/>
    <x v="2"/>
    <n v="47.927599999999998"/>
    <n v="46.592838035743"/>
  </r>
  <r>
    <s v="01"/>
    <s v="01"/>
    <s v="I. interní klinika - kardiologická"/>
    <x v="0"/>
    <s v="0171"/>
    <s v="odd. invaz. vyš. metod-kardiovertery"/>
    <s v="0171 - odd. invaz. vyš. metod-kardiovertery"/>
    <s v="50115070     ostatní ZPr - katetry (sk.Z_513)"/>
    <x v="16"/>
    <x v="0"/>
    <n v="2610.4389900000001"/>
    <n v="407.68607782436902"/>
  </r>
  <r>
    <s v="01"/>
    <s v="01"/>
    <s v="I. interní klinika - kardiologická"/>
    <x v="0"/>
    <s v="0171"/>
    <s v="odd. invaz. vyš. metod-kardiovertery"/>
    <s v="0171 - odd. invaz. vyš. metod-kardiovertery"/>
    <s v="50115070     ostatní ZPr - katetry (sk.Z_513)"/>
    <x v="16"/>
    <x v="1"/>
    <n v="639.44410000000005"/>
    <n v="3426.47817303284"/>
  </r>
  <r>
    <s v="01"/>
    <s v="01"/>
    <s v="I. interní klinika - kardiologická"/>
    <x v="0"/>
    <s v="0171"/>
    <s v="odd. invaz. vyš. metod-kardiovertery"/>
    <s v="0171 - odd. invaz. vyš. metod-kardiovertery"/>
    <s v="50115070     ostatní ZPr - katetry (sk.Z_513)"/>
    <x v="16"/>
    <x v="2"/>
    <n v="263.34933999999998"/>
    <n v="452.99998573159797"/>
  </r>
  <r>
    <s v="01"/>
    <s v="01"/>
    <s v="I. interní klinika - kardiologická"/>
    <x v="0"/>
    <s v="0171"/>
    <s v="odd. invaz. vyš. metod-kardiovertery"/>
    <s v="0171 - odd. invaz. vyš. metod-kardiovertery"/>
    <s v="50115071     ostatní ZPr - katetry ablační (sk.Z_514)"/>
    <x v="28"/>
    <x v="0"/>
    <n v="20860.399150000019"/>
    <n v="21099.9999999994"/>
  </r>
  <r>
    <s v="01"/>
    <s v="01"/>
    <s v="I. interní klinika - kardiologická"/>
    <x v="0"/>
    <s v="0171"/>
    <s v="odd. invaz. vyš. metod-kardiovertery"/>
    <s v="0171 - odd. invaz. vyš. metod-kardiovertery"/>
    <s v="50115071     ostatní ZPr - katetry ablační (sk.Z_514)"/>
    <x v="28"/>
    <x v="1"/>
    <n v="26443.399240000006"/>
    <n v="23999.487762612502"/>
  </r>
  <r>
    <s v="01"/>
    <s v="01"/>
    <s v="I. interní klinika - kardiologická"/>
    <x v="0"/>
    <s v="0171"/>
    <s v="odd. invaz. vyš. metod-kardiovertery"/>
    <s v="0171 - odd. invaz. vyš. metod-kardiovertery"/>
    <s v="50115071     ostatní ZPr - katetry ablační (sk.Z_514)"/>
    <x v="28"/>
    <x v="2"/>
    <n v="16060.432350000001"/>
    <n v="26999.999397703301"/>
  </r>
  <r>
    <s v="01"/>
    <s v="01"/>
    <s v="I. interní klinika - kardiologická"/>
    <x v="0"/>
    <s v="0171"/>
    <s v="odd. invaz. vyš. metod-kardiovertery"/>
    <s v="0171 - odd. invaz. vyš. metod-kardiovertery"/>
    <s v="50115073     ostatní ZPr - katetry PCI (sk.Z_536)"/>
    <x v="29"/>
    <x v="2"/>
    <n v="2.0463630789890885E-12"/>
    <n v="0"/>
  </r>
  <r>
    <s v="01"/>
    <s v="01"/>
    <s v="I. interní klinika - kardiologická"/>
    <x v="0"/>
    <s v="0171"/>
    <s v="odd. invaz. vyš. metod-kardiovertery"/>
    <s v="0171 - odd. invaz. vyš. metod-kardiovertery"/>
    <s v="50115079     ostatní ZPr - intenzivní péče (sk.Z_542)"/>
    <x v="18"/>
    <x v="2"/>
    <n v="18.313599999999987"/>
    <n v="0"/>
  </r>
  <r>
    <s v="01"/>
    <s v="01"/>
    <s v="I. interní klinika - kardiologická"/>
    <x v="0"/>
    <s v="0171"/>
    <s v="odd. invaz. vyš. metod-kardiovertery"/>
    <s v="0171 - odd. invaz. vyš. metod-kardiovertery"/>
    <s v="50115080     ostatní ZPr - staplery, extraktory (sk.Z_523)"/>
    <x v="30"/>
    <x v="0"/>
    <n v="0"/>
    <n v="9.9998700312055308E-6"/>
  </r>
  <r>
    <s v="01"/>
    <s v="01"/>
    <s v="I. interní klinika - kardiologická"/>
    <x v="0"/>
    <s v="0171"/>
    <s v="odd. invaz. vyš. metod-kardiovertery"/>
    <s v="0171 - odd. invaz. vyš. metod-kardiovertery"/>
    <s v="50115082     ostatní ZPr - katetry extrakční (sk.Z_543)"/>
    <x v="31"/>
    <x v="2"/>
    <n v="645.82343000000003"/>
    <n v="1800"/>
  </r>
  <r>
    <s v="01"/>
    <s v="01"/>
    <s v="I. interní klinika - kardiologická"/>
    <x v="0"/>
    <s v="0172"/>
    <s v="katetrizační sál"/>
    <s v="0172 - katetrizační sál"/>
    <s v="50113     Léky a léčiva"/>
    <x v="2"/>
    <x v="0"/>
    <n v="4846.0797300000004"/>
    <n v="5052.14349297634"/>
  </r>
  <r>
    <s v="01"/>
    <s v="01"/>
    <s v="I. interní klinika - kardiologická"/>
    <x v="0"/>
    <s v="0172"/>
    <s v="katetrizační sál"/>
    <s v="0172 - katetrizační sál"/>
    <s v="50113     Léky a léčiva"/>
    <x v="2"/>
    <x v="1"/>
    <n v="5201.5733500000024"/>
    <n v="5244.4047231572004"/>
  </r>
  <r>
    <s v="01"/>
    <s v="01"/>
    <s v="I. interní klinika - kardiologická"/>
    <x v="0"/>
    <s v="0172"/>
    <s v="katetrizační sál"/>
    <s v="0172 - katetrizační sál"/>
    <s v="50113     Léky a léčiva"/>
    <x v="2"/>
    <x v="2"/>
    <n v="4257.3538800000015"/>
    <n v="5413.1501161917604"/>
  </r>
  <r>
    <s v="01"/>
    <s v="01"/>
    <s v="I. interní klinika - kardiologická"/>
    <x v="0"/>
    <s v="0172"/>
    <s v="katetrizační sál"/>
    <s v="0172 - katetrizační sál"/>
    <s v="50113001     léky - paušál+TISS (LEK)"/>
    <x v="3"/>
    <x v="0"/>
    <n v="596.521379999999"/>
    <n v="550.18438752393399"/>
  </r>
  <r>
    <s v="01"/>
    <s v="01"/>
    <s v="I. interní klinika - kardiologická"/>
    <x v="0"/>
    <s v="0172"/>
    <s v="katetrizační sál"/>
    <s v="0172 - katetrizační sál"/>
    <s v="50113001     léky - paušál+TISS (LEK)"/>
    <x v="3"/>
    <x v="1"/>
    <n v="631.10152999999991"/>
    <n v="596.49349847480596"/>
  </r>
  <r>
    <s v="01"/>
    <s v="01"/>
    <s v="I. interní klinika - kardiologická"/>
    <x v="0"/>
    <s v="0172"/>
    <s v="katetrizační sál"/>
    <s v="0172 - katetrizační sál"/>
    <s v="50113001     léky - paušál+TISS (LEK)"/>
    <x v="3"/>
    <x v="2"/>
    <n v="442.01641000000001"/>
    <n v="644.12385452939395"/>
  </r>
  <r>
    <s v="01"/>
    <s v="01"/>
    <s v="I. interní klinika - kardiologická"/>
    <x v="0"/>
    <s v="0172"/>
    <s v="katetrizační sál"/>
    <s v="0172 - katetrizační sál"/>
    <s v="50113009     léky - RTG diagnostika ZUL (LEK)"/>
    <x v="22"/>
    <x v="0"/>
    <n v="4225.7560600000024"/>
    <n v="4476.5796329680998"/>
  </r>
  <r>
    <s v="01"/>
    <s v="01"/>
    <s v="I. interní klinika - kardiologická"/>
    <x v="0"/>
    <s v="0172"/>
    <s v="katetrizační sál"/>
    <s v="0172 - katetrizační sál"/>
    <s v="50113009     léky - RTG diagnostika ZUL (LEK)"/>
    <x v="22"/>
    <x v="1"/>
    <n v="4569.6026900000015"/>
    <n v="4624.0729118228101"/>
  </r>
  <r>
    <s v="01"/>
    <s v="01"/>
    <s v="I. interní klinika - kardiologická"/>
    <x v="0"/>
    <s v="0172"/>
    <s v="katetrizační sál"/>
    <s v="0172 - katetrizační sál"/>
    <s v="50113009     léky - RTG diagnostika ZUL (LEK)"/>
    <x v="22"/>
    <x v="2"/>
    <n v="3814.9663899999996"/>
    <n v="4768.1658288543103"/>
  </r>
  <r>
    <s v="01"/>
    <s v="01"/>
    <s v="I. interní klinika - kardiologická"/>
    <x v="0"/>
    <s v="0172"/>
    <s v="katetrizační sál"/>
    <s v="0172 - katetrizační sál"/>
    <s v="50113012     léky - trombolýza (LEK)"/>
    <x v="19"/>
    <x v="0"/>
    <n v="21.78078"/>
    <n v="21.996990137824"/>
  </r>
  <r>
    <s v="01"/>
    <s v="01"/>
    <s v="I. interní klinika - kardiologická"/>
    <x v="0"/>
    <s v="0172"/>
    <s v="katetrizační sál"/>
    <s v="0172 - katetrizační sál"/>
    <s v="50113012     léky - trombolýza (LEK)"/>
    <x v="19"/>
    <x v="1"/>
    <n v="0"/>
    <n v="21.792224422737"/>
  </r>
  <r>
    <s v="01"/>
    <s v="01"/>
    <s v="I. interní klinika - kardiologická"/>
    <x v="0"/>
    <s v="0172"/>
    <s v="katetrizační sál"/>
    <s v="0172 - katetrizační sál"/>
    <s v="50113013     léky (paušál) - antibiotika (LEK)"/>
    <x v="7"/>
    <x v="0"/>
    <n v="2.0215100000000001"/>
    <n v="3.3824823464790001"/>
  </r>
  <r>
    <s v="01"/>
    <s v="01"/>
    <s v="I. interní klinika - kardiologická"/>
    <x v="0"/>
    <s v="0172"/>
    <s v="katetrizační sál"/>
    <s v="0172 - katetrizační sál"/>
    <s v="50113013     léky (paušál) - antibiotika (LEK)"/>
    <x v="7"/>
    <x v="1"/>
    <n v="0.86912999999999996"/>
    <n v="2.046088436852"/>
  </r>
  <r>
    <s v="01"/>
    <s v="01"/>
    <s v="I. interní klinika - kardiologická"/>
    <x v="0"/>
    <s v="0172"/>
    <s v="katetrizační sál"/>
    <s v="0172 - katetrizační sál"/>
    <s v="50113013     léky (paušál) - antibiotika (LEK)"/>
    <x v="7"/>
    <x v="2"/>
    <n v="0.37108000000000002"/>
    <n v="0.86043280805400002"/>
  </r>
  <r>
    <s v="01"/>
    <s v="01"/>
    <s v="I. interní klinika - kardiologická"/>
    <x v="0"/>
    <s v="0172"/>
    <s v="katetrizační sál"/>
    <s v="0172 - katetrizační sál"/>
    <s v="50115     Zdravotnické prostředky"/>
    <x v="0"/>
    <x v="0"/>
    <n v="92727.706920000099"/>
    <n v="94123.864731791604"/>
  </r>
  <r>
    <s v="01"/>
    <s v="01"/>
    <s v="I. interní klinika - kardiologická"/>
    <x v="0"/>
    <s v="0172"/>
    <s v="katetrizační sál"/>
    <s v="0172 - katetrizační sál"/>
    <s v="50115     Zdravotnické prostředky"/>
    <x v="0"/>
    <x v="1"/>
    <n v="102666.99705000003"/>
    <n v="107190.95757457"/>
  </r>
  <r>
    <s v="01"/>
    <s v="01"/>
    <s v="I. interní klinika - kardiologická"/>
    <x v="0"/>
    <s v="0172"/>
    <s v="katetrizační sál"/>
    <s v="0172 - katetrizační sál"/>
    <s v="50115     Zdravotnické prostředky"/>
    <x v="0"/>
    <x v="2"/>
    <n v="60240.643210000009"/>
    <n v="90583.3277020643"/>
  </r>
  <r>
    <s v="01"/>
    <s v="01"/>
    <s v="I. interní klinika - kardiologická"/>
    <x v="0"/>
    <s v="0172"/>
    <s v="katetrizační sál"/>
    <s v="0172 - katetrizační sál"/>
    <s v="50115001     implant.umělé těl.náhr.-kardiostim. (sk.Z_517)"/>
    <x v="23"/>
    <x v="1"/>
    <n v="71.787599999999998"/>
    <n v="0"/>
  </r>
  <r>
    <s v="01"/>
    <s v="01"/>
    <s v="I. interní klinika - kardiologická"/>
    <x v="0"/>
    <s v="0172"/>
    <s v="katetrizační sál"/>
    <s v="0172 - katetrizační sál"/>
    <s v="50115004     implant.umělé těl.náhr.-kovové (s.Z_506)"/>
    <x v="25"/>
    <x v="0"/>
    <n v="1312.295820000003"/>
    <n v="1160.89286043573"/>
  </r>
  <r>
    <s v="01"/>
    <s v="01"/>
    <s v="I. interní klinika - kardiologická"/>
    <x v="0"/>
    <s v="0172"/>
    <s v="katetrizační sál"/>
    <s v="0172 - katetrizační sál"/>
    <s v="50115004     implant.umělé těl.náhr.-kovové (s.Z_506)"/>
    <x v="25"/>
    <x v="1"/>
    <n v="0"/>
    <n v="4.9999973078010003"/>
  </r>
  <r>
    <s v="01"/>
    <s v="01"/>
    <s v="I. interní klinika - kardiologická"/>
    <x v="0"/>
    <s v="0172"/>
    <s v="katetrizační sál"/>
    <s v="0172 - katetrizační sál"/>
    <s v="50115009     implant.umělé těl.náhr.-chlopně (bal.TAVI) (sk.Z_524)"/>
    <x v="32"/>
    <x v="0"/>
    <n v="518.17849999999999"/>
    <n v="1037"/>
  </r>
  <r>
    <s v="01"/>
    <s v="01"/>
    <s v="I. interní klinika - kardiologická"/>
    <x v="0"/>
    <s v="0172"/>
    <s v="katetrizační sál"/>
    <s v="0172 - katetrizační sál"/>
    <s v="50115009     implant.umělé těl.náhr.-chlopně (bal.TAVI) (sk.Z_524)"/>
    <x v="32"/>
    <x v="1"/>
    <n v="2072.7273500000001"/>
    <n v="1761.9994965589101"/>
  </r>
  <r>
    <s v="01"/>
    <s v="01"/>
    <s v="I. interní klinika - kardiologická"/>
    <x v="0"/>
    <s v="0172"/>
    <s v="katetrizační sál"/>
    <s v="0172 - katetrizační sál"/>
    <s v="50115009     implant.umělé těl.náhr.-chlopně (bal.TAVI) (sk.Z_524)"/>
    <x v="32"/>
    <x v="2"/>
    <n v="10010.068499999999"/>
    <n v="18199.862656072601"/>
  </r>
  <r>
    <s v="01"/>
    <s v="01"/>
    <s v="I. interní klinika - kardiologická"/>
    <x v="0"/>
    <s v="0172"/>
    <s v="katetrizační sál"/>
    <s v="0172 - katetrizační sál"/>
    <s v="50115011     implant.umělé těl.náhr.-ostat.nákl.PZT(s.Z_515)"/>
    <x v="26"/>
    <x v="1"/>
    <n v="1923.7999999999997"/>
    <n v="2113.9994109469799"/>
  </r>
  <r>
    <s v="01"/>
    <s v="01"/>
    <s v="I. interní klinika - kardiologická"/>
    <x v="0"/>
    <s v="0172"/>
    <s v="katetrizační sál"/>
    <s v="0172 - katetrizační sál"/>
    <s v="50115011     implant.umělé těl.náhr.-ostat.nákl.PZT(s.Z_515)"/>
    <x v="26"/>
    <x v="2"/>
    <n v="2261.1339699999999"/>
    <n v="4304.9999230514204"/>
  </r>
  <r>
    <s v="01"/>
    <s v="01"/>
    <s v="I. interní klinika - kardiologická"/>
    <x v="0"/>
    <s v="0172"/>
    <s v="katetrizační sál"/>
    <s v="0172 - katetrizační sál"/>
    <s v="50115040     laboratorní materiál (sk.Z_505)"/>
    <x v="11"/>
    <x v="0"/>
    <n v="22.929500000000001"/>
    <n v="2.224710872033"/>
  </r>
  <r>
    <s v="01"/>
    <s v="01"/>
    <s v="I. interní klinika - kardiologická"/>
    <x v="0"/>
    <s v="0172"/>
    <s v="katetrizační sál"/>
    <s v="0172 - katetrizační sál"/>
    <s v="50115040     laboratorní materiál (sk.Z_505)"/>
    <x v="11"/>
    <x v="1"/>
    <n v="151.73400000000001"/>
    <n v="89.930674613310998"/>
  </r>
  <r>
    <s v="01"/>
    <s v="01"/>
    <s v="I. interní klinika - kardiologická"/>
    <x v="0"/>
    <s v="0172"/>
    <s v="katetrizační sál"/>
    <s v="0172 - katetrizační sál"/>
    <s v="50115040     laboratorní materiál (sk.Z_505)"/>
    <x v="11"/>
    <x v="2"/>
    <n v="84.1434"/>
    <n v="149.999995275364"/>
  </r>
  <r>
    <s v="01"/>
    <s v="01"/>
    <s v="I. interní klinika - kardiologická"/>
    <x v="0"/>
    <s v="0172"/>
    <s v="katetrizační sál"/>
    <s v="0172 - katetrizační sál"/>
    <s v="50115050     obvazový materiál (sk.Z_502)"/>
    <x v="12"/>
    <x v="0"/>
    <n v="55.704819999999998"/>
    <n v="61.138507884279001"/>
  </r>
  <r>
    <s v="01"/>
    <s v="01"/>
    <s v="I. interní klinika - kardiologická"/>
    <x v="0"/>
    <s v="0172"/>
    <s v="katetrizační sál"/>
    <s v="0172 - katetrizační sál"/>
    <s v="50115050     obvazový materiál (sk.Z_502)"/>
    <x v="12"/>
    <x v="1"/>
    <n v="41.50808"/>
    <n v="55.831495627437"/>
  </r>
  <r>
    <s v="01"/>
    <s v="01"/>
    <s v="I. interní klinika - kardiologická"/>
    <x v="0"/>
    <s v="0172"/>
    <s v="katetrizační sál"/>
    <s v="0172 - katetrizační sál"/>
    <s v="50115050     obvazový materiál (sk.Z_502)"/>
    <x v="12"/>
    <x v="2"/>
    <n v="33.373370000000001"/>
    <n v="39.954581667760998"/>
  </r>
  <r>
    <s v="01"/>
    <s v="01"/>
    <s v="I. interní klinika - kardiologická"/>
    <x v="0"/>
    <s v="0172"/>
    <s v="katetrizační sál"/>
    <s v="0172 - katetrizační sál"/>
    <s v="50115060     ostatní ZPr - mimo níže uvedené (sk.Z_503)"/>
    <x v="1"/>
    <x v="0"/>
    <n v="10750.66709000001"/>
    <n v="10156.9327830738"/>
  </r>
  <r>
    <s v="01"/>
    <s v="01"/>
    <s v="I. interní klinika - kardiologická"/>
    <x v="0"/>
    <s v="0172"/>
    <s v="katetrizační sál"/>
    <s v="0172 - katetrizační sál"/>
    <s v="50115060     ostatní ZPr - mimo níže uvedené (sk.Z_503)"/>
    <x v="1"/>
    <x v="1"/>
    <n v="13131.267560000004"/>
    <n v="11538.601686379699"/>
  </r>
  <r>
    <s v="01"/>
    <s v="01"/>
    <s v="I. interní klinika - kardiologická"/>
    <x v="0"/>
    <s v="0172"/>
    <s v="katetrizační sál"/>
    <s v="0172 - katetrizační sál"/>
    <s v="50115060     ostatní ZPr - mimo níže uvedené (sk.Z_503)"/>
    <x v="1"/>
    <x v="2"/>
    <n v="3581.7869800000017"/>
    <n v="4699.8938241019296"/>
  </r>
  <r>
    <s v="01"/>
    <s v="01"/>
    <s v="I. interní klinika - kardiologická"/>
    <x v="0"/>
    <s v="0172"/>
    <s v="katetrizační sál"/>
    <s v="0172 - katetrizační sál"/>
    <s v="50115063     ostatní ZPr - vaky, sety (sk.Z_528)"/>
    <x v="13"/>
    <x v="0"/>
    <n v="2619.9597600000006"/>
    <n v="2545.3180631681998"/>
  </r>
  <r>
    <s v="01"/>
    <s v="01"/>
    <s v="I. interní klinika - kardiologická"/>
    <x v="0"/>
    <s v="0172"/>
    <s v="katetrizační sál"/>
    <s v="0172 - katetrizační sál"/>
    <s v="50115063     ostatní ZPr - vaky, sety (sk.Z_528)"/>
    <x v="13"/>
    <x v="1"/>
    <n v="2431.7187900000013"/>
    <n v="2608.5765647141602"/>
  </r>
  <r>
    <s v="01"/>
    <s v="01"/>
    <s v="I. interní klinika - kardiologická"/>
    <x v="0"/>
    <s v="0172"/>
    <s v="katetrizační sál"/>
    <s v="0172 - katetrizační sál"/>
    <s v="50115063     ostatní ZPr - vaky, sety (sk.Z_528)"/>
    <x v="13"/>
    <x v="2"/>
    <n v="2416.5152200000007"/>
    <n v="3090.1239467405298"/>
  </r>
  <r>
    <s v="01"/>
    <s v="01"/>
    <s v="I. interní klinika - kardiologická"/>
    <x v="0"/>
    <s v="0172"/>
    <s v="katetrizační sál"/>
    <s v="0172 - katetrizační sál"/>
    <s v="50115064     ostatní ZPr - šicí materiál (sk.Z_529)"/>
    <x v="21"/>
    <x v="0"/>
    <n v="16.211099999999998"/>
    <n v="19.333674163959"/>
  </r>
  <r>
    <s v="01"/>
    <s v="01"/>
    <s v="I. interní klinika - kardiologická"/>
    <x v="0"/>
    <s v="0172"/>
    <s v="katetrizační sál"/>
    <s v="0172 - katetrizační sál"/>
    <s v="50115064     ostatní ZPr - šicí materiál (sk.Z_529)"/>
    <x v="21"/>
    <x v="1"/>
    <n v="2.1571199999999999"/>
    <n v="7.893666359959"/>
  </r>
  <r>
    <s v="01"/>
    <s v="01"/>
    <s v="I. interní klinika - kardiologická"/>
    <x v="0"/>
    <s v="0172"/>
    <s v="katetrizační sál"/>
    <s v="0172 - katetrizační sál"/>
    <s v="50115064     ostatní ZPr - šicí materiál (sk.Z_529)"/>
    <x v="21"/>
    <x v="2"/>
    <n v="8.5514299999999999"/>
    <n v="0"/>
  </r>
  <r>
    <s v="01"/>
    <s v="01"/>
    <s v="I. interní klinika - kardiologická"/>
    <x v="0"/>
    <s v="0172"/>
    <s v="katetrizační sál"/>
    <s v="0172 - katetrizační sál"/>
    <s v="50115065     ostatní ZPr - vpichovací materiál (sk.Z_530)"/>
    <x v="14"/>
    <x v="0"/>
    <n v="2.3318599999989997"/>
    <n v="10.198740528583"/>
  </r>
  <r>
    <s v="01"/>
    <s v="01"/>
    <s v="I. interní klinika - kardiologická"/>
    <x v="0"/>
    <s v="0172"/>
    <s v="katetrizační sál"/>
    <s v="0172 - katetrizační sál"/>
    <s v="50115065     ostatní ZPr - vpichovací materiál (sk.Z_530)"/>
    <x v="14"/>
    <x v="1"/>
    <n v="16.122129999999999"/>
    <n v="2.3920587506920001"/>
  </r>
  <r>
    <s v="01"/>
    <s v="01"/>
    <s v="I. interní klinika - kardiologická"/>
    <x v="0"/>
    <s v="0172"/>
    <s v="katetrizační sál"/>
    <s v="0172 - katetrizační sál"/>
    <s v="50115065     ostatní ZPr - vpichovací materiál (sk.Z_530)"/>
    <x v="14"/>
    <x v="2"/>
    <n v="6.2678200000000004"/>
    <n v="16.669354780214"/>
  </r>
  <r>
    <s v="01"/>
    <s v="01"/>
    <s v="I. interní klinika - kardiologická"/>
    <x v="0"/>
    <s v="0172"/>
    <s v="katetrizační sál"/>
    <s v="0172 - katetrizační sál"/>
    <s v="50115067     ostatní ZPr - rukavice (sk.Z_532)"/>
    <x v="15"/>
    <x v="0"/>
    <n v="61.735600000000005"/>
    <n v="46.653762461527997"/>
  </r>
  <r>
    <s v="01"/>
    <s v="01"/>
    <s v="I. interní klinika - kardiologická"/>
    <x v="0"/>
    <s v="0172"/>
    <s v="katetrizační sál"/>
    <s v="0172 - katetrizační sál"/>
    <s v="50115067     ostatní ZPr - rukavice (sk.Z_532)"/>
    <x v="15"/>
    <x v="1"/>
    <n v="91.656689999999998"/>
    <n v="72.609186843586997"/>
  </r>
  <r>
    <s v="01"/>
    <s v="01"/>
    <s v="I. interní klinika - kardiologická"/>
    <x v="0"/>
    <s v="0172"/>
    <s v="katetrizační sál"/>
    <s v="0172 - katetrizační sál"/>
    <s v="50115067     ostatní ZPr - rukavice (sk.Z_532)"/>
    <x v="15"/>
    <x v="2"/>
    <n v="72.455399999999997"/>
    <n v="92.251953162391999"/>
  </r>
  <r>
    <s v="01"/>
    <s v="01"/>
    <s v="I. interní klinika - kardiologická"/>
    <x v="0"/>
    <s v="0172"/>
    <s v="katetrizační sál"/>
    <s v="0172 - katetrizační sál"/>
    <s v="50115070     ostatní ZPr - katetry (sk.Z_513)"/>
    <x v="16"/>
    <x v="0"/>
    <n v="77367.692870000086"/>
    <n v="79084.1716292036"/>
  </r>
  <r>
    <s v="01"/>
    <s v="01"/>
    <s v="I. interní klinika - kardiologická"/>
    <x v="0"/>
    <s v="0172"/>
    <s v="katetrizační sál"/>
    <s v="0172 - katetrizační sál"/>
    <s v="50115070     ostatní ZPr - katetry (sk.Z_513)"/>
    <x v="16"/>
    <x v="1"/>
    <n v="82732.517730000036"/>
    <n v="88934.123336467601"/>
  </r>
  <r>
    <s v="01"/>
    <s v="01"/>
    <s v="I. interní klinika - kardiologická"/>
    <x v="0"/>
    <s v="0172"/>
    <s v="katetrizační sál"/>
    <s v="0172 - katetrizační sál"/>
    <s v="50115070     ostatní ZPr - katetry (sk.Z_513)"/>
    <x v="16"/>
    <x v="2"/>
    <n v="842.69800999999995"/>
    <n v="0"/>
  </r>
  <r>
    <s v="01"/>
    <s v="01"/>
    <s v="I. interní klinika - kardiologická"/>
    <x v="0"/>
    <s v="0172"/>
    <s v="katetrizační sál"/>
    <s v="0172 - katetrizační sál"/>
    <s v="50115072     ostatní ZPr - katetry diagnostické (sk.Z_535)"/>
    <x v="33"/>
    <x v="2"/>
    <n v="6577.3724500000008"/>
    <n v="9149.9998687810894"/>
  </r>
  <r>
    <s v="01"/>
    <s v="01"/>
    <s v="I. interní klinika - kardiologická"/>
    <x v="0"/>
    <s v="0172"/>
    <s v="katetrizační sál"/>
    <s v="0172 - katetrizační sál"/>
    <s v="50115073     ostatní ZPr - katetry PCI (sk.Z_536)"/>
    <x v="29"/>
    <x v="2"/>
    <n v="10577.70967"/>
    <n v="17889.957841269799"/>
  </r>
  <r>
    <s v="01"/>
    <s v="01"/>
    <s v="I. interní klinika - kardiologická"/>
    <x v="0"/>
    <s v="0172"/>
    <s v="katetrizační sál"/>
    <s v="0172 - katetrizační sál"/>
    <s v="50115074     ostatní ZPr - katetry zaváděcí (sk.Z_537)"/>
    <x v="34"/>
    <x v="2"/>
    <n v="4225.5567900000024"/>
    <n v="5859.6144999999997"/>
  </r>
  <r>
    <s v="01"/>
    <s v="01"/>
    <s v="I. interní klinika - kardiologická"/>
    <x v="0"/>
    <s v="0172"/>
    <s v="katetrizační sál"/>
    <s v="0172 - katetrizační sál"/>
    <s v="50115075     ostatní ZPr - stenty (sk.Z_538)"/>
    <x v="35"/>
    <x v="2"/>
    <n v="9.4990000000000006"/>
    <n v="0"/>
  </r>
  <r>
    <s v="01"/>
    <s v="01"/>
    <s v="I. interní klinika - kardiologická"/>
    <x v="0"/>
    <s v="0172"/>
    <s v="katetrizační sál"/>
    <s v="0172 - katetrizační sál"/>
    <s v="50115076     ostatní ZPr - stenty kovové (sk.Z_539)"/>
    <x v="36"/>
    <x v="2"/>
    <n v="6352.0248500000007"/>
    <n v="8589.9998031401392"/>
  </r>
  <r>
    <s v="01"/>
    <s v="01"/>
    <s v="I. interní klinika - kardiologická"/>
    <x v="0"/>
    <s v="0172"/>
    <s v="katetrizační sál"/>
    <s v="0172 - katetrizační sál"/>
    <s v="50115077     ostatní ZPr - stenty lékové (sk.Z_540)"/>
    <x v="37"/>
    <x v="2"/>
    <n v="12495.98134"/>
    <n v="17199.999488164402"/>
  </r>
  <r>
    <s v="01"/>
    <s v="01"/>
    <s v="I. interní klinika - kardiologická"/>
    <x v="0"/>
    <s v="0172"/>
    <s v="katetrizační sál"/>
    <s v="0172 - katetrizační sál"/>
    <s v="50115078     ostatní ZPr - stenty absorbční (sk.Z_541)"/>
    <x v="38"/>
    <x v="2"/>
    <n v="605.76601000000005"/>
    <n v="1299.9999658566301"/>
  </r>
  <r>
    <s v="01"/>
    <s v="01"/>
    <s v="I. interní klinika - kardiologická"/>
    <x v="0"/>
    <s v="0172"/>
    <s v="katetrizační sál"/>
    <s v="0172 - katetrizační sál"/>
    <s v="50115079     ostatní ZPr - intenzivní péče (sk.Z_542)"/>
    <x v="18"/>
    <x v="2"/>
    <n v="79.73899999999999"/>
    <n v="0"/>
  </r>
  <r>
    <s v="01"/>
    <s v="01"/>
    <s v="I. interní klinika - kardiologická"/>
    <x v="0"/>
    <s v="0172"/>
    <s v="katetrizační sál"/>
    <s v="0172 - katetrizační sál"/>
    <s v="50115080     ostatní ZPr - staplery, extraktory (sk.Z_523)"/>
    <x v="30"/>
    <x v="1"/>
    <n v="0"/>
    <n v="0"/>
  </r>
  <r>
    <s v="01"/>
    <s v="01"/>
    <s v="I. interní klinika - kardiologická"/>
    <x v="0"/>
    <s v="0194"/>
    <s v="centrum - I.interna "/>
    <s v="0194 - centrum - I.interna "/>
    <s v="50113     Léky a léčiva"/>
    <x v="2"/>
    <x v="0"/>
    <n v="13589.575560000018"/>
    <n v="13906.166666666701"/>
  </r>
  <r>
    <s v="01"/>
    <s v="01"/>
    <s v="I. interní klinika - kardiologická"/>
    <x v="0"/>
    <s v="0194"/>
    <s v="centrum - I.interna "/>
    <s v="0194 - centrum - I.interna "/>
    <s v="50113     Léky a léčiva"/>
    <x v="2"/>
    <x v="1"/>
    <n v="30897.433540000009"/>
    <n v="30252.3999999997"/>
  </r>
  <r>
    <s v="01"/>
    <s v="01"/>
    <s v="I. interní klinika - kardiologická"/>
    <x v="0"/>
    <s v="0194"/>
    <s v="centrum - I.interna "/>
    <s v="0194 - centrum - I.interna "/>
    <s v="50113     Léky a léčiva"/>
    <x v="2"/>
    <x v="2"/>
    <n v="37689.880320000011"/>
    <n v="43695.610343514803"/>
  </r>
  <r>
    <s v="01"/>
    <s v="01"/>
    <s v="I. interní klinika - kardiologická"/>
    <x v="0"/>
    <s v="0194"/>
    <s v="centrum - I.interna "/>
    <s v="0194 - centrum - I.interna "/>
    <s v="50113016     léky - spotřeba v centrech (LEK)"/>
    <x v="39"/>
    <x v="0"/>
    <n v="13589.575560000018"/>
    <n v="13906.166666666701"/>
  </r>
  <r>
    <s v="01"/>
    <s v="01"/>
    <s v="I. interní klinika - kardiologická"/>
    <x v="0"/>
    <s v="0194"/>
    <s v="centrum - I.interna "/>
    <s v="0194 - centrum - I.interna "/>
    <s v="50113016     léky - spotřeba v centrech (LEK)"/>
    <x v="39"/>
    <x v="1"/>
    <n v="30897.433540000009"/>
    <n v="30252.3999999997"/>
  </r>
  <r>
    <s v="01"/>
    <s v="01"/>
    <s v="I. interní klinika - kardiologická"/>
    <x v="0"/>
    <s v="0194"/>
    <s v="centrum - I.interna "/>
    <s v="0194 - centrum - I.interna "/>
    <s v="50113016     léky - spotřeba v centrech (LEK)"/>
    <x v="39"/>
    <x v="2"/>
    <n v="37689.880320000011"/>
    <n v="43695.610343514803"/>
  </r>
  <r>
    <s v="02"/>
    <s v="02"/>
    <s v="II. interní klinika - gastro-enterologická a hepatologická"/>
    <x v="1"/>
    <s v="0213"/>
    <s v="lůžkové oddělení 30C"/>
    <s v="0213 - lůžkové oddělení 30C"/>
    <s v="50113     Léky a léčiva"/>
    <x v="2"/>
    <x v="0"/>
    <n v="3210.6277100000025"/>
    <n v="2582.89187469852"/>
  </r>
  <r>
    <s v="02"/>
    <s v="02"/>
    <s v="II. interní klinika - gastro-enterologická a hepatologická"/>
    <x v="1"/>
    <s v="0213"/>
    <s v="lůžkové oddělení 30C"/>
    <s v="0213 - lůžkové oddělení 30C"/>
    <s v="50113     Léky a léčiva"/>
    <x v="2"/>
    <x v="1"/>
    <n v="3409.1354100000012"/>
    <n v="2983.76536551561"/>
  </r>
  <r>
    <s v="02"/>
    <s v="02"/>
    <s v="II. interní klinika - gastro-enterologická a hepatologická"/>
    <x v="1"/>
    <s v="0213"/>
    <s v="lůžkové oddělení 30C"/>
    <s v="0213 - lůžkové oddělení 30C"/>
    <s v="50113     Léky a léčiva"/>
    <x v="2"/>
    <x v="2"/>
    <n v="2122.1789600000011"/>
    <n v="2978.6598014477399"/>
  </r>
  <r>
    <s v="02"/>
    <s v="02"/>
    <s v="II. interní klinika - gastro-enterologická a hepatologická"/>
    <x v="1"/>
    <s v="0213"/>
    <s v="lůžkové oddělení 30C"/>
    <s v="0213 - lůžkové oddělení 30C"/>
    <s v="50113001     léky - paušál+TISS (LEK)"/>
    <x v="3"/>
    <x v="0"/>
    <n v="1704.3553500000007"/>
    <n v="1547.60439086876"/>
  </r>
  <r>
    <s v="02"/>
    <s v="02"/>
    <s v="II. interní klinika - gastro-enterologická a hepatologická"/>
    <x v="1"/>
    <s v="0213"/>
    <s v="lůžkové oddělení 30C"/>
    <s v="0213 - lůžkové oddělení 30C"/>
    <s v="50113001     léky - paušál+TISS (LEK)"/>
    <x v="3"/>
    <x v="1"/>
    <n v="1596.7682600000012"/>
    <n v="1718.80105237874"/>
  </r>
  <r>
    <s v="02"/>
    <s v="02"/>
    <s v="II. interní klinika - gastro-enterologická a hepatologická"/>
    <x v="1"/>
    <s v="0213"/>
    <s v="lůžkové oddělení 30C"/>
    <s v="0213 - lůžkové oddělení 30C"/>
    <s v="50113001     léky - paušál+TISS (LEK)"/>
    <x v="3"/>
    <x v="2"/>
    <n v="1172.85472"/>
    <n v="1556.6877659715201"/>
  </r>
  <r>
    <s v="02"/>
    <s v="02"/>
    <s v="II. interní klinika - gastro-enterologická a hepatologická"/>
    <x v="1"/>
    <s v="0213"/>
    <s v="lůžkové oddělení 30C"/>
    <s v="0213 - lůžkové oddělení 30C"/>
    <s v="50113002     léky - parenterální výživa (LEK)"/>
    <x v="17"/>
    <x v="2"/>
    <n v="15.4945"/>
    <n v="21"/>
  </r>
  <r>
    <s v="02"/>
    <s v="02"/>
    <s v="II. interní klinika - gastro-enterologická a hepatologická"/>
    <x v="1"/>
    <s v="0213"/>
    <s v="lůžkové oddělení 30C"/>
    <s v="0213 - lůžkové oddělení 30C"/>
    <s v="50113006     léky - enterální výživa (LEK)"/>
    <x v="4"/>
    <x v="0"/>
    <n v="32.929449999999001"/>
    <n v="47.988423576332004"/>
  </r>
  <r>
    <s v="02"/>
    <s v="02"/>
    <s v="II. interní klinika - gastro-enterologická a hepatologická"/>
    <x v="1"/>
    <s v="0213"/>
    <s v="lůžkové oddělení 30C"/>
    <s v="0213 - lůžkové oddělení 30C"/>
    <s v="50113006     léky - enterální výživa (LEK)"/>
    <x v="4"/>
    <x v="1"/>
    <n v="40.190750000000001"/>
    <n v="37.880252912167997"/>
  </r>
  <r>
    <s v="02"/>
    <s v="02"/>
    <s v="II. interní klinika - gastro-enterologická a hepatologická"/>
    <x v="1"/>
    <s v="0213"/>
    <s v="lůžkové oddělení 30C"/>
    <s v="0213 - lůžkové oddělení 30C"/>
    <s v="50113006     léky - enterální výživa (LEK)"/>
    <x v="4"/>
    <x v="2"/>
    <n v="8.1495400000000018"/>
    <n v="26"/>
  </r>
  <r>
    <s v="02"/>
    <s v="02"/>
    <s v="II. interní klinika - gastro-enterologická a hepatologická"/>
    <x v="1"/>
    <s v="0213"/>
    <s v="lůžkové oddělení 30C"/>
    <s v="0213 - lůžkové oddělení 30C"/>
    <s v="50113008     léky - krev.deriváty ZUL (TO)"/>
    <x v="5"/>
    <x v="0"/>
    <n v="360.33041999999898"/>
    <n v="22.816696532896"/>
  </r>
  <r>
    <s v="02"/>
    <s v="02"/>
    <s v="II. interní klinika - gastro-enterologická a hepatologická"/>
    <x v="1"/>
    <s v="0213"/>
    <s v="lůžkové oddělení 30C"/>
    <s v="0213 - lůžkové oddělení 30C"/>
    <s v="50113008     léky - krev.deriváty ZUL (TO)"/>
    <x v="5"/>
    <x v="1"/>
    <n v="768.69448"/>
    <n v="360.00316104062301"/>
  </r>
  <r>
    <s v="02"/>
    <s v="02"/>
    <s v="II. interní klinika - gastro-enterologická a hepatologická"/>
    <x v="1"/>
    <s v="0213"/>
    <s v="lůžkové oddělení 30C"/>
    <s v="0213 - lůžkové oddělení 30C"/>
    <s v="50113008     léky - krev.deriváty ZUL (TO)"/>
    <x v="5"/>
    <x v="2"/>
    <n v="560.49580000000003"/>
    <n v="536.73800732655002"/>
  </r>
  <r>
    <s v="02"/>
    <s v="02"/>
    <s v="II. interní klinika - gastro-enterologická a hepatologická"/>
    <x v="1"/>
    <s v="0213"/>
    <s v="lůžkové oddělení 30C"/>
    <s v="0213 - lůžkové oddělení 30C"/>
    <s v="50113011     léky - hemofilici ZUL (TO)"/>
    <x v="6"/>
    <x v="0"/>
    <n v="0"/>
    <n v="16.539799710819"/>
  </r>
  <r>
    <s v="02"/>
    <s v="02"/>
    <s v="II. interní klinika - gastro-enterologická a hepatologická"/>
    <x v="1"/>
    <s v="0213"/>
    <s v="lůžkové oddělení 30C"/>
    <s v="0213 - lůžkové oddělení 30C"/>
    <s v="50113011     léky - hemofilici ZUL (TO)"/>
    <x v="6"/>
    <x v="1"/>
    <n v="61.984999999999999"/>
    <n v="0"/>
  </r>
  <r>
    <s v="02"/>
    <s v="02"/>
    <s v="II. interní klinika - gastro-enterologická a hepatologická"/>
    <x v="1"/>
    <s v="0213"/>
    <s v="lůžkové oddělení 30C"/>
    <s v="0213 - lůžkové oddělení 30C"/>
    <s v="50113013     léky (paušál) - antibiotika (LEK)"/>
    <x v="7"/>
    <x v="0"/>
    <n v="1023.6117499999998"/>
    <n v="879.044107609094"/>
  </r>
  <r>
    <s v="02"/>
    <s v="02"/>
    <s v="II. interní klinika - gastro-enterologická a hepatologická"/>
    <x v="1"/>
    <s v="0213"/>
    <s v="lůžkové oddělení 30C"/>
    <s v="0213 - lůžkové oddělení 30C"/>
    <s v="50113013     léky (paušál) - antibiotika (LEK)"/>
    <x v="7"/>
    <x v="1"/>
    <n v="770.40072000000009"/>
    <n v="802.93097942215604"/>
  </r>
  <r>
    <s v="02"/>
    <s v="02"/>
    <s v="II. interní klinika - gastro-enterologická a hepatologická"/>
    <x v="1"/>
    <s v="0213"/>
    <s v="lůžkové oddělení 30C"/>
    <s v="0213 - lůžkové oddělení 30C"/>
    <s v="50113013     léky (paušál) - antibiotika (LEK)"/>
    <x v="7"/>
    <x v="2"/>
    <n v="334.67887999999999"/>
    <n v="747.47060448756997"/>
  </r>
  <r>
    <s v="02"/>
    <s v="02"/>
    <s v="II. interní klinika - gastro-enterologická a hepatologická"/>
    <x v="1"/>
    <s v="0213"/>
    <s v="lůžkové oddělení 30C"/>
    <s v="0213 - lůžkové oddělení 30C"/>
    <s v="50113014     léky (paušál) - antimykotika (LEK)"/>
    <x v="8"/>
    <x v="0"/>
    <n v="58.908819999998997"/>
    <n v="37.794439552718003"/>
  </r>
  <r>
    <s v="02"/>
    <s v="02"/>
    <s v="II. interní klinika - gastro-enterologická a hepatologická"/>
    <x v="1"/>
    <s v="0213"/>
    <s v="lůžkové oddělení 30C"/>
    <s v="0213 - lůžkové oddělení 30C"/>
    <s v="50113014     léky (paušál) - antimykotika (LEK)"/>
    <x v="8"/>
    <x v="1"/>
    <n v="140.43374"/>
    <n v="34.977653917734997"/>
  </r>
  <r>
    <s v="02"/>
    <s v="02"/>
    <s v="II. interní klinika - gastro-enterologická a hepatologická"/>
    <x v="1"/>
    <s v="0213"/>
    <s v="lůžkové oddělení 30C"/>
    <s v="0213 - lůžkové oddělení 30C"/>
    <s v="50113014     léky (paušál) - antimykotika (LEK)"/>
    <x v="8"/>
    <x v="2"/>
    <n v="8.6160899999999998"/>
    <n v="59.431865069864003"/>
  </r>
  <r>
    <s v="02"/>
    <s v="02"/>
    <s v="II. interní klinika - gastro-enterologická a hepatologická"/>
    <x v="1"/>
    <s v="0213"/>
    <s v="lůžkové oddělení 30C"/>
    <s v="0213 - lůžkové oddělení 30C"/>
    <s v="50113190     medicinální plyny"/>
    <x v="9"/>
    <x v="0"/>
    <n v="30.49192"/>
    <n v="31.104016847905999"/>
  </r>
  <r>
    <s v="02"/>
    <s v="02"/>
    <s v="II. interní klinika - gastro-enterologická a hepatologická"/>
    <x v="1"/>
    <s v="0213"/>
    <s v="lůžkové oddělení 30C"/>
    <s v="0213 - lůžkové oddělení 30C"/>
    <s v="50113190     medicinální plyny"/>
    <x v="9"/>
    <x v="1"/>
    <n v="30.662459999999999"/>
    <n v="29.172265844182999"/>
  </r>
  <r>
    <s v="02"/>
    <s v="02"/>
    <s v="II. interní klinika - gastro-enterologická a hepatologická"/>
    <x v="1"/>
    <s v="0213"/>
    <s v="lůžkové oddělení 30C"/>
    <s v="0213 - lůžkové oddělení 30C"/>
    <s v="50113190     medicinální plyny"/>
    <x v="9"/>
    <x v="2"/>
    <n v="21.889429999999997"/>
    <n v="31.331558592238"/>
  </r>
  <r>
    <s v="02"/>
    <s v="02"/>
    <s v="II. interní klinika - gastro-enterologická a hepatologická"/>
    <x v="1"/>
    <s v="0213"/>
    <s v="lůžkové oddělení 30C"/>
    <s v="0213 - lůžkové oddělení 30C"/>
    <s v="50115     Zdravotnické prostředky"/>
    <x v="0"/>
    <x v="0"/>
    <n v="611.79403999999897"/>
    <n v="629.37092586752897"/>
  </r>
  <r>
    <s v="02"/>
    <s v="02"/>
    <s v="II. interní klinika - gastro-enterologická a hepatologická"/>
    <x v="1"/>
    <s v="0213"/>
    <s v="lůžkové oddělení 30C"/>
    <s v="0213 - lůžkové oddělení 30C"/>
    <s v="50115     Zdravotnické prostředky"/>
    <x v="0"/>
    <x v="1"/>
    <n v="574.38830000000007"/>
    <n v="546.16630065607001"/>
  </r>
  <r>
    <s v="02"/>
    <s v="02"/>
    <s v="II. interní klinika - gastro-enterologická a hepatologická"/>
    <x v="1"/>
    <s v="0213"/>
    <s v="lůžkové oddělení 30C"/>
    <s v="0213 - lůžkové oddělení 30C"/>
    <s v="50115     Zdravotnické prostředky"/>
    <x v="0"/>
    <x v="2"/>
    <n v="414.69525999999996"/>
    <n v="577.85988069747498"/>
  </r>
  <r>
    <s v="02"/>
    <s v="02"/>
    <s v="II. interní klinika - gastro-enterologická a hepatologická"/>
    <x v="1"/>
    <s v="0213"/>
    <s v="lůžkové oddělení 30C"/>
    <s v="0213 - lůžkové oddělení 30C"/>
    <s v="50115020     diagnostika laboratorní-LEK (sk.Z_501)"/>
    <x v="10"/>
    <x v="0"/>
    <n v="42.065529999999995"/>
    <n v="59.504193882142999"/>
  </r>
  <r>
    <s v="02"/>
    <s v="02"/>
    <s v="II. interní klinika - gastro-enterologická a hepatologická"/>
    <x v="1"/>
    <s v="0213"/>
    <s v="lůžkové oddělení 30C"/>
    <s v="0213 - lůžkové oddělení 30C"/>
    <s v="50115020     diagnostika laboratorní-LEK (sk.Z_501)"/>
    <x v="10"/>
    <x v="1"/>
    <n v="37.90842"/>
    <n v="42.028387602880002"/>
  </r>
  <r>
    <s v="02"/>
    <s v="02"/>
    <s v="II. interní klinika - gastro-enterologická a hepatologická"/>
    <x v="1"/>
    <s v="0213"/>
    <s v="lůžkové oddělení 30C"/>
    <s v="0213 - lůžkové oddělení 30C"/>
    <s v="50115020     diagnostika laboratorní-LEK (sk.Z_501)"/>
    <x v="10"/>
    <x v="2"/>
    <n v="33.152239999999999"/>
    <n v="38"/>
  </r>
  <r>
    <s v="02"/>
    <s v="02"/>
    <s v="II. interní klinika - gastro-enterologická a hepatologická"/>
    <x v="1"/>
    <s v="0213"/>
    <s v="lůžkové oddělení 30C"/>
    <s v="0213 - lůžkové oddělení 30C"/>
    <s v="50115040     laboratorní materiál (sk.Z_505)"/>
    <x v="11"/>
    <x v="0"/>
    <n v="1.5908500000000001"/>
    <n v="0"/>
  </r>
  <r>
    <s v="02"/>
    <s v="02"/>
    <s v="II. interní klinika - gastro-enterologická a hepatologická"/>
    <x v="1"/>
    <s v="0213"/>
    <s v="lůžkové oddělení 30C"/>
    <s v="0213 - lůžkové oddělení 30C"/>
    <s v="50115040     laboratorní materiál (sk.Z_505)"/>
    <x v="11"/>
    <x v="1"/>
    <n v="2.3646699999999998"/>
    <n v="1.6051962587240001"/>
  </r>
  <r>
    <s v="02"/>
    <s v="02"/>
    <s v="II. interní klinika - gastro-enterologická a hepatologická"/>
    <x v="1"/>
    <s v="0213"/>
    <s v="lůžkové oddělení 30C"/>
    <s v="0213 - lůžkové oddělení 30C"/>
    <s v="50115040     laboratorní materiál (sk.Z_505)"/>
    <x v="11"/>
    <x v="2"/>
    <n v="0.47775000000000001"/>
    <n v="3.2136698987769998"/>
  </r>
  <r>
    <s v="02"/>
    <s v="02"/>
    <s v="II. interní klinika - gastro-enterologická a hepatologická"/>
    <x v="1"/>
    <s v="0213"/>
    <s v="lůžkové oddělení 30C"/>
    <s v="0213 - lůžkové oddělení 30C"/>
    <s v="50115050     obvazový materiál (sk.Z_502)"/>
    <x v="12"/>
    <x v="0"/>
    <n v="116.72667"/>
    <n v="112.21067532420101"/>
  </r>
  <r>
    <s v="02"/>
    <s v="02"/>
    <s v="II. interní klinika - gastro-enterologická a hepatologická"/>
    <x v="1"/>
    <s v="0213"/>
    <s v="lůžkové oddělení 30C"/>
    <s v="0213 - lůžkové oddělení 30C"/>
    <s v="50115050     obvazový materiál (sk.Z_502)"/>
    <x v="12"/>
    <x v="1"/>
    <n v="97.434950000000015"/>
    <n v="116.02720633756999"/>
  </r>
  <r>
    <s v="02"/>
    <s v="02"/>
    <s v="II. interní klinika - gastro-enterologická a hepatologická"/>
    <x v="1"/>
    <s v="0213"/>
    <s v="lůžkové oddělení 30C"/>
    <s v="0213 - lůžkové oddělení 30C"/>
    <s v="50115050     obvazový materiál (sk.Z_502)"/>
    <x v="12"/>
    <x v="2"/>
    <n v="78.086429999999993"/>
    <n v="97"/>
  </r>
  <r>
    <s v="02"/>
    <s v="02"/>
    <s v="II. interní klinika - gastro-enterologická a hepatologická"/>
    <x v="1"/>
    <s v="0213"/>
    <s v="lůžkové oddělení 30C"/>
    <s v="0213 - lůžkové oddělení 30C"/>
    <s v="50115060     ostatní ZPr - mimo níže uvedené (sk.Z_503)"/>
    <x v="1"/>
    <x v="0"/>
    <n v="340.06472000000002"/>
    <n v="344.43460210416401"/>
  </r>
  <r>
    <s v="02"/>
    <s v="02"/>
    <s v="II. interní klinika - gastro-enterologická a hepatologická"/>
    <x v="1"/>
    <s v="0213"/>
    <s v="lůžkové oddělení 30C"/>
    <s v="0213 - lůžkové oddělení 30C"/>
    <s v="50115060     ostatní ZPr - mimo níže uvedené (sk.Z_503)"/>
    <x v="1"/>
    <x v="1"/>
    <n v="312.23228"/>
    <n v="269.95366347842003"/>
  </r>
  <r>
    <s v="02"/>
    <s v="02"/>
    <s v="II. interní klinika - gastro-enterologická a hepatologická"/>
    <x v="1"/>
    <s v="0213"/>
    <s v="lůžkové oddělení 30C"/>
    <s v="0213 - lůžkové oddělení 30C"/>
    <s v="50115060     ostatní ZPr - mimo níže uvedené (sk.Z_503)"/>
    <x v="1"/>
    <x v="2"/>
    <n v="203.82259000000002"/>
    <n v="315.64621079869801"/>
  </r>
  <r>
    <s v="02"/>
    <s v="02"/>
    <s v="II. interní klinika - gastro-enterologická a hepatologická"/>
    <x v="1"/>
    <s v="0213"/>
    <s v="lůžkové oddělení 30C"/>
    <s v="0213 - lůžkové oddělení 30C"/>
    <s v="50115063     ostatní ZPr - vaky, sety (sk.Z_528)"/>
    <x v="13"/>
    <x v="0"/>
    <n v="62.958299999998999"/>
    <n v="69.072879587521001"/>
  </r>
  <r>
    <s v="02"/>
    <s v="02"/>
    <s v="II. interní klinika - gastro-enterologická a hepatologická"/>
    <x v="1"/>
    <s v="0213"/>
    <s v="lůžkové oddělení 30C"/>
    <s v="0213 - lůžkové oddělení 30C"/>
    <s v="50115063     ostatní ZPr - vaky, sety (sk.Z_528)"/>
    <x v="13"/>
    <x v="1"/>
    <n v="53.417350000000006"/>
    <n v="64.443076099766998"/>
  </r>
  <r>
    <s v="02"/>
    <s v="02"/>
    <s v="II. interní klinika - gastro-enterologická a hepatologická"/>
    <x v="1"/>
    <s v="0213"/>
    <s v="lůžkové oddělení 30C"/>
    <s v="0213 - lůžkové oddělení 30C"/>
    <s v="50115063     ostatní ZPr - vaky, sety (sk.Z_528)"/>
    <x v="13"/>
    <x v="2"/>
    <n v="36.411999999999999"/>
    <n v="53"/>
  </r>
  <r>
    <s v="02"/>
    <s v="02"/>
    <s v="II. interní klinika - gastro-enterologická a hepatologická"/>
    <x v="1"/>
    <s v="0213"/>
    <s v="lůžkové oddělení 30C"/>
    <s v="0213 - lůžkové oddělení 30C"/>
    <s v="50115065     ostatní ZPr - vpichovací materiál (sk.Z_530)"/>
    <x v="14"/>
    <x v="0"/>
    <n v="6.5217999999989988"/>
    <n v="6.2257527184450003"/>
  </r>
  <r>
    <s v="02"/>
    <s v="02"/>
    <s v="II. interní klinika - gastro-enterologická a hepatologická"/>
    <x v="1"/>
    <s v="0213"/>
    <s v="lůžkové oddělení 30C"/>
    <s v="0213 - lůžkové oddělení 30C"/>
    <s v="50115065     ostatní ZPr - vpichovací materiál (sk.Z_530)"/>
    <x v="14"/>
    <x v="1"/>
    <n v="16.1586"/>
    <n v="7.7009527368319999"/>
  </r>
  <r>
    <s v="02"/>
    <s v="02"/>
    <s v="II. interní klinika - gastro-enterologická a hepatologická"/>
    <x v="1"/>
    <s v="0213"/>
    <s v="lůžkové oddělení 30C"/>
    <s v="0213 - lůžkové oddělení 30C"/>
    <s v="50115065     ostatní ZPr - vpichovací materiál (sk.Z_530)"/>
    <x v="14"/>
    <x v="2"/>
    <n v="11.392999999999999"/>
    <n v="16"/>
  </r>
  <r>
    <s v="02"/>
    <s v="02"/>
    <s v="II. interní klinika - gastro-enterologická a hepatologická"/>
    <x v="1"/>
    <s v="0213"/>
    <s v="lůžkové oddělení 30C"/>
    <s v="0213 - lůžkové oddělení 30C"/>
    <s v="50115067     ostatní ZPr - rukavice (sk.Z_532)"/>
    <x v="15"/>
    <x v="0"/>
    <n v="41.866169999998995"/>
    <n v="37.659880667015997"/>
  </r>
  <r>
    <s v="02"/>
    <s v="02"/>
    <s v="II. interní klinika - gastro-enterologická a hepatologická"/>
    <x v="1"/>
    <s v="0213"/>
    <s v="lůžkové oddělení 30C"/>
    <s v="0213 - lůžkové oddělení 30C"/>
    <s v="50115067     ostatní ZPr - rukavice (sk.Z_532)"/>
    <x v="15"/>
    <x v="1"/>
    <n v="54.872029999999995"/>
    <n v="44.407818141874998"/>
  </r>
  <r>
    <s v="02"/>
    <s v="02"/>
    <s v="II. interní klinika - gastro-enterologická a hepatologická"/>
    <x v="1"/>
    <s v="0213"/>
    <s v="lůžkové oddělení 30C"/>
    <s v="0213 - lůžkové oddělení 30C"/>
    <s v="50115067     ostatní ZPr - rukavice (sk.Z_532)"/>
    <x v="15"/>
    <x v="2"/>
    <n v="50.978000000000002"/>
    <n v="55"/>
  </r>
  <r>
    <s v="02"/>
    <s v="02"/>
    <s v="II. interní klinika - gastro-enterologická a hepatologická"/>
    <x v="1"/>
    <s v="0213"/>
    <s v="lůžkové oddělení 30C"/>
    <s v="0213 - lůžkové oddělení 30C"/>
    <s v="50115070     ostatní ZPr - katetry (sk.Z_513)"/>
    <x v="16"/>
    <x v="0"/>
    <n v="0"/>
    <n v="0.26294158403700002"/>
  </r>
  <r>
    <s v="02"/>
    <s v="02"/>
    <s v="II. interní klinika - gastro-enterologická a hepatologická"/>
    <x v="1"/>
    <s v="0213"/>
    <s v="lůžkové oddělení 30C"/>
    <s v="0213 - lůžkové oddělení 30C"/>
    <s v="50115079     ostatní ZPr - intenzivní péče (sk.Z_542)"/>
    <x v="18"/>
    <x v="2"/>
    <n v="0.37324999999999997"/>
    <n v="0"/>
  </r>
  <r>
    <s v="02"/>
    <s v="02"/>
    <s v="II. interní klinika - gastro-enterologická a hepatologická"/>
    <x v="1"/>
    <s v="0216"/>
    <s v="metabolická jednotka 30M"/>
    <s v="0216 - metabolická jednotka 30M"/>
    <s v="50113     Léky a léčiva"/>
    <x v="2"/>
    <x v="0"/>
    <n v="439.201920000001"/>
    <n v="432.66666666666703"/>
  </r>
  <r>
    <s v="02"/>
    <s v="02"/>
    <s v="II. interní klinika - gastro-enterologická a hepatologická"/>
    <x v="1"/>
    <s v="0216"/>
    <s v="metabolická jednotka 30M"/>
    <s v="0216 - metabolická jednotka 30M"/>
    <s v="50113     Léky a léčiva"/>
    <x v="2"/>
    <x v="1"/>
    <n v="407.98066"/>
    <n v="531.84380148984906"/>
  </r>
  <r>
    <s v="02"/>
    <s v="02"/>
    <s v="II. interní klinika - gastro-enterologická a hepatologická"/>
    <x v="1"/>
    <s v="0216"/>
    <s v="metabolická jednotka 30M"/>
    <s v="0216 - metabolická jednotka 30M"/>
    <s v="50113     Léky a léčiva"/>
    <x v="2"/>
    <x v="2"/>
    <n v="268.66683"/>
    <n v="503.44550850904102"/>
  </r>
  <r>
    <s v="02"/>
    <s v="02"/>
    <s v="II. interní klinika - gastro-enterologická a hepatologická"/>
    <x v="1"/>
    <s v="0216"/>
    <s v="metabolická jednotka 30M"/>
    <s v="0216 - metabolická jednotka 30M"/>
    <s v="50113001     léky - paušál+TISS (LEK)"/>
    <x v="3"/>
    <x v="0"/>
    <n v="28.624499999999998"/>
    <n v="0"/>
  </r>
  <r>
    <s v="02"/>
    <s v="02"/>
    <s v="II. interní klinika - gastro-enterologická a hepatologická"/>
    <x v="1"/>
    <s v="0216"/>
    <s v="metabolická jednotka 30M"/>
    <s v="0216 - metabolická jednotka 30M"/>
    <s v="50113001     léky - paušál+TISS (LEK)"/>
    <x v="3"/>
    <x v="1"/>
    <n v="0"/>
    <n v="10.970528015578999"/>
  </r>
  <r>
    <s v="02"/>
    <s v="02"/>
    <s v="II. interní klinika - gastro-enterologická a hepatologická"/>
    <x v="1"/>
    <s v="0216"/>
    <s v="metabolická jednotka 30M"/>
    <s v="0216 - metabolická jednotka 30M"/>
    <s v="50113006     léky - enterální výživa (LEK)"/>
    <x v="4"/>
    <x v="0"/>
    <n v="0"/>
    <n v="145"/>
  </r>
  <r>
    <s v="02"/>
    <s v="02"/>
    <s v="II. interní klinika - gastro-enterologická a hepatologická"/>
    <x v="1"/>
    <s v="0216"/>
    <s v="metabolická jednotka 30M"/>
    <s v="0216 - metabolická jednotka 30M"/>
    <s v="50113006     léky - enterální výživa (LEK)"/>
    <x v="4"/>
    <x v="1"/>
    <n v="0"/>
    <n v="0"/>
  </r>
  <r>
    <s v="02"/>
    <s v="02"/>
    <s v="II. interní klinika - gastro-enterologická a hepatologická"/>
    <x v="1"/>
    <s v="0216"/>
    <s v="metabolická jednotka 30M"/>
    <s v="0216 - metabolická jednotka 30M"/>
    <s v="50113013     léky (paušál) - antibiotika (LEK)"/>
    <x v="7"/>
    <x v="0"/>
    <n v="229.30913000000001"/>
    <n v="190.666666666667"/>
  </r>
  <r>
    <s v="02"/>
    <s v="02"/>
    <s v="II. interní klinika - gastro-enterologická a hepatologická"/>
    <x v="1"/>
    <s v="0216"/>
    <s v="metabolická jednotka 30M"/>
    <s v="0216 - metabolická jednotka 30M"/>
    <s v="50113013     léky (paušál) - antibiotika (LEK)"/>
    <x v="7"/>
    <x v="1"/>
    <n v="326.65804000000003"/>
    <n v="360.98500388559398"/>
  </r>
  <r>
    <s v="02"/>
    <s v="02"/>
    <s v="II. interní klinika - gastro-enterologická a hepatologická"/>
    <x v="1"/>
    <s v="0216"/>
    <s v="metabolická jednotka 30M"/>
    <s v="0216 - metabolická jednotka 30M"/>
    <s v="50113013     léky (paušál) - antibiotika (LEK)"/>
    <x v="7"/>
    <x v="2"/>
    <n v="257.75244000000004"/>
    <n v="299.895621454403"/>
  </r>
  <r>
    <s v="02"/>
    <s v="02"/>
    <s v="II. interní klinika - gastro-enterologická a hepatologická"/>
    <x v="1"/>
    <s v="0216"/>
    <s v="metabolická jednotka 30M"/>
    <s v="0216 - metabolická jednotka 30M"/>
    <s v="50113014     léky (paušál) - antimykotika (LEK)"/>
    <x v="8"/>
    <x v="0"/>
    <n v="181.268290000001"/>
    <n v="97"/>
  </r>
  <r>
    <s v="02"/>
    <s v="02"/>
    <s v="II. interní klinika - gastro-enterologická a hepatologická"/>
    <x v="1"/>
    <s v="0216"/>
    <s v="metabolická jednotka 30M"/>
    <s v="0216 - metabolická jednotka 30M"/>
    <s v="50113014     léky (paušál) - antimykotika (LEK)"/>
    <x v="8"/>
    <x v="1"/>
    <n v="81.322619999999986"/>
    <n v="159.888269588675"/>
  </r>
  <r>
    <s v="02"/>
    <s v="02"/>
    <s v="II. interní klinika - gastro-enterologická a hepatologická"/>
    <x v="1"/>
    <s v="0216"/>
    <s v="metabolická jednotka 30M"/>
    <s v="0216 - metabolická jednotka 30M"/>
    <s v="50113014     léky (paušál) - antimykotika (LEK)"/>
    <x v="8"/>
    <x v="2"/>
    <n v="10.914389999999999"/>
    <n v="203.54988705463799"/>
  </r>
  <r>
    <s v="02"/>
    <s v="02"/>
    <s v="II. interní klinika - gastro-enterologická a hepatologická"/>
    <x v="1"/>
    <s v="0221"/>
    <s v="ambulance"/>
    <s v="0221 - ambulance"/>
    <s v="50113     Léky a léčiva"/>
    <x v="2"/>
    <x v="0"/>
    <n v="73.443159999999992"/>
    <n v="173.176884068878"/>
  </r>
  <r>
    <s v="02"/>
    <s v="02"/>
    <s v="II. interní klinika - gastro-enterologická a hepatologická"/>
    <x v="1"/>
    <s v="0221"/>
    <s v="ambulance"/>
    <s v="0221 - ambulance"/>
    <s v="50113     Léky a léčiva"/>
    <x v="2"/>
    <x v="1"/>
    <n v="79.143220000000014"/>
    <n v="70.371984864107006"/>
  </r>
  <r>
    <s v="02"/>
    <s v="02"/>
    <s v="II. interní klinika - gastro-enterologická a hepatologická"/>
    <x v="1"/>
    <s v="0221"/>
    <s v="ambulance"/>
    <s v="0221 - ambulance"/>
    <s v="50113     Léky a léčiva"/>
    <x v="2"/>
    <x v="2"/>
    <n v="1317.5573999999999"/>
    <n v="1386.24845300469"/>
  </r>
  <r>
    <s v="02"/>
    <s v="02"/>
    <s v="II. interní klinika - gastro-enterologická a hepatologická"/>
    <x v="1"/>
    <s v="0221"/>
    <s v="ambulance"/>
    <s v="0221 - ambulance"/>
    <s v="50113001     léky - paušál+TISS (LEK)"/>
    <x v="3"/>
    <x v="0"/>
    <n v="72.332259999999991"/>
    <n v="171.424570920192"/>
  </r>
  <r>
    <s v="02"/>
    <s v="02"/>
    <s v="II. interní klinika - gastro-enterologická a hepatologická"/>
    <x v="1"/>
    <s v="0221"/>
    <s v="ambulance"/>
    <s v="0221 - ambulance"/>
    <s v="50113001     léky - paušál+TISS (LEK)"/>
    <x v="3"/>
    <x v="1"/>
    <n v="78.402620000000013"/>
    <n v="69.309163299367995"/>
  </r>
  <r>
    <s v="02"/>
    <s v="02"/>
    <s v="II. interní klinika - gastro-enterologická a hepatologická"/>
    <x v="1"/>
    <s v="0221"/>
    <s v="ambulance"/>
    <s v="0221 - ambulance"/>
    <s v="50113001     léky - paušál+TISS (LEK)"/>
    <x v="3"/>
    <x v="2"/>
    <n v="50.483999999999995"/>
    <n v="84.895829250486003"/>
  </r>
  <r>
    <s v="02"/>
    <s v="02"/>
    <s v="II. interní klinika - gastro-enterologická a hepatologická"/>
    <x v="1"/>
    <s v="0221"/>
    <s v="ambulance"/>
    <s v="0221 - ambulance"/>
    <s v="50113017     léky - dle §16 (LEK)"/>
    <x v="40"/>
    <x v="2"/>
    <n v="1263.7614000000001"/>
    <n v="1300"/>
  </r>
  <r>
    <s v="02"/>
    <s v="02"/>
    <s v="II. interní klinika - gastro-enterologická a hepatologická"/>
    <x v="1"/>
    <s v="0221"/>
    <s v="ambulance"/>
    <s v="0221 - ambulance"/>
    <s v="50113190     medicinální plyny"/>
    <x v="9"/>
    <x v="0"/>
    <n v="1.1109"/>
    <n v="1.7523131486850001"/>
  </r>
  <r>
    <s v="02"/>
    <s v="02"/>
    <s v="II. interní klinika - gastro-enterologická a hepatologická"/>
    <x v="1"/>
    <s v="0221"/>
    <s v="ambulance"/>
    <s v="0221 - ambulance"/>
    <s v="50113190     medicinální plyny"/>
    <x v="9"/>
    <x v="1"/>
    <n v="0.74060000000000004"/>
    <n v="1.062821564739"/>
  </r>
  <r>
    <s v="02"/>
    <s v="02"/>
    <s v="II. interní klinika - gastro-enterologická a hepatologická"/>
    <x v="1"/>
    <s v="0221"/>
    <s v="ambulance"/>
    <s v="0221 - ambulance"/>
    <s v="50113190     medicinální plyny"/>
    <x v="9"/>
    <x v="2"/>
    <n v="3.3119999999999998"/>
    <n v="1.3526237541999999"/>
  </r>
  <r>
    <s v="02"/>
    <s v="02"/>
    <s v="II. interní klinika - gastro-enterologická a hepatologická"/>
    <x v="1"/>
    <s v="0221"/>
    <s v="ambulance"/>
    <s v="0221 - ambulance"/>
    <s v="50115     Zdravotnické prostředky"/>
    <x v="0"/>
    <x v="0"/>
    <n v="205.68534"/>
    <n v="167.22787245109001"/>
  </r>
  <r>
    <s v="02"/>
    <s v="02"/>
    <s v="II. interní klinika - gastro-enterologická a hepatologická"/>
    <x v="1"/>
    <s v="0221"/>
    <s v="ambulance"/>
    <s v="0221 - ambulance"/>
    <s v="50115     Zdravotnické prostředky"/>
    <x v="0"/>
    <x v="1"/>
    <n v="147.37574000000001"/>
    <n v="194.77611910196799"/>
  </r>
  <r>
    <s v="02"/>
    <s v="02"/>
    <s v="II. interní klinika - gastro-enterologická a hepatologická"/>
    <x v="1"/>
    <s v="0221"/>
    <s v="ambulance"/>
    <s v="0221 - ambulance"/>
    <s v="50115     Zdravotnické prostředky"/>
    <x v="0"/>
    <x v="2"/>
    <n v="101.09732000000001"/>
    <n v="144.45416309041201"/>
  </r>
  <r>
    <s v="02"/>
    <s v="02"/>
    <s v="II. interní klinika - gastro-enterologická a hepatologická"/>
    <x v="1"/>
    <s v="0221"/>
    <s v="ambulance"/>
    <s v="0221 - ambulance"/>
    <s v="50115040     laboratorní materiál (sk.Z_505)"/>
    <x v="11"/>
    <x v="0"/>
    <n v="3.135999999999"/>
    <n v="2.0001379977039999"/>
  </r>
  <r>
    <s v="02"/>
    <s v="02"/>
    <s v="II. interní klinika - gastro-enterologická a hepatologická"/>
    <x v="1"/>
    <s v="0221"/>
    <s v="ambulance"/>
    <s v="0221 - ambulance"/>
    <s v="50115040     laboratorní materiál (sk.Z_505)"/>
    <x v="11"/>
    <x v="1"/>
    <n v="8.4900000000000003E-2"/>
    <n v="3.1361982523440002"/>
  </r>
  <r>
    <s v="02"/>
    <s v="02"/>
    <s v="II. interní klinika - gastro-enterologická a hepatologická"/>
    <x v="1"/>
    <s v="0221"/>
    <s v="ambulance"/>
    <s v="0221 - ambulance"/>
    <s v="50115040     laboratorní materiál (sk.Z_505)"/>
    <x v="11"/>
    <x v="2"/>
    <n v="0"/>
    <n v="8.4899997325000004E-2"/>
  </r>
  <r>
    <s v="02"/>
    <s v="02"/>
    <s v="II. interní klinika - gastro-enterologická a hepatologická"/>
    <x v="1"/>
    <s v="0221"/>
    <s v="ambulance"/>
    <s v="0221 - ambulance"/>
    <s v="50115050     obvazový materiál (sk.Z_502)"/>
    <x v="12"/>
    <x v="0"/>
    <n v="7.0759499999999997"/>
    <n v="7.5175068662960003"/>
  </r>
  <r>
    <s v="02"/>
    <s v="02"/>
    <s v="II. interní klinika - gastro-enterologická a hepatologická"/>
    <x v="1"/>
    <s v="0221"/>
    <s v="ambulance"/>
    <s v="0221 - ambulance"/>
    <s v="50115050     obvazový materiál (sk.Z_502)"/>
    <x v="12"/>
    <x v="1"/>
    <n v="10.33929"/>
    <n v="8.0920416128910002"/>
  </r>
  <r>
    <s v="02"/>
    <s v="02"/>
    <s v="II. interní klinika - gastro-enterologická a hepatologická"/>
    <x v="1"/>
    <s v="0221"/>
    <s v="ambulance"/>
    <s v="0221 - ambulance"/>
    <s v="50115050     obvazový materiál (sk.Z_502)"/>
    <x v="12"/>
    <x v="2"/>
    <n v="3.0903399999999994"/>
    <n v="8.3825114849620004"/>
  </r>
  <r>
    <s v="02"/>
    <s v="02"/>
    <s v="II. interní klinika - gastro-enterologická a hepatologická"/>
    <x v="1"/>
    <s v="0221"/>
    <s v="ambulance"/>
    <s v="0221 - ambulance"/>
    <s v="50115060     ostatní ZPr - mimo níže uvedené (sk.Z_503)"/>
    <x v="1"/>
    <x v="0"/>
    <n v="180.83508"/>
    <n v="124.66640695949999"/>
  </r>
  <r>
    <s v="02"/>
    <s v="02"/>
    <s v="II. interní klinika - gastro-enterologická a hepatologická"/>
    <x v="1"/>
    <s v="0221"/>
    <s v="ambulance"/>
    <s v="0221 - ambulance"/>
    <s v="50115060     ostatní ZPr - mimo níže uvedené (sk.Z_503)"/>
    <x v="1"/>
    <x v="1"/>
    <n v="109.44455000000001"/>
    <n v="166.834023594803"/>
  </r>
  <r>
    <s v="02"/>
    <s v="02"/>
    <s v="II. interní klinika - gastro-enterologická a hepatologická"/>
    <x v="1"/>
    <s v="0221"/>
    <s v="ambulance"/>
    <s v="0221 - ambulance"/>
    <s v="50115060     ostatní ZPr - mimo níže uvedené (sk.Z_503)"/>
    <x v="1"/>
    <x v="2"/>
    <n v="74.875870000000006"/>
    <n v="109"/>
  </r>
  <r>
    <s v="02"/>
    <s v="02"/>
    <s v="II. interní klinika - gastro-enterologická a hepatologická"/>
    <x v="1"/>
    <s v="0221"/>
    <s v="ambulance"/>
    <s v="0221 - ambulance"/>
    <s v="50115063     ostatní ZPr - vaky, sety (sk.Z_528)"/>
    <x v="13"/>
    <x v="0"/>
    <n v="3.96515"/>
    <n v="21.075755740767999"/>
  </r>
  <r>
    <s v="02"/>
    <s v="02"/>
    <s v="II. interní klinika - gastro-enterologická a hepatologická"/>
    <x v="1"/>
    <s v="0221"/>
    <s v="ambulance"/>
    <s v="0221 - ambulance"/>
    <s v="50115063     ostatní ZPr - vaky, sety (sk.Z_528)"/>
    <x v="13"/>
    <x v="1"/>
    <n v="4.2475999999999994"/>
    <n v="3.8843575857519999"/>
  </r>
  <r>
    <s v="02"/>
    <s v="02"/>
    <s v="II. interní klinika - gastro-enterologická a hepatologická"/>
    <x v="1"/>
    <s v="0221"/>
    <s v="ambulance"/>
    <s v="0221 - ambulance"/>
    <s v="50115063     ostatní ZPr - vaky, sety (sk.Z_528)"/>
    <x v="13"/>
    <x v="2"/>
    <n v="3.5104999999999995"/>
    <n v="3.986751608124"/>
  </r>
  <r>
    <s v="02"/>
    <s v="02"/>
    <s v="II. interní klinika - gastro-enterologická a hepatologická"/>
    <x v="1"/>
    <s v="0221"/>
    <s v="ambulance"/>
    <s v="0221 - ambulance"/>
    <s v="50115065     ostatní ZPr - vpichovací materiál (sk.Z_530)"/>
    <x v="14"/>
    <x v="0"/>
    <n v="0.45499999999899998"/>
    <n v="1.2668839822160001"/>
  </r>
  <r>
    <s v="02"/>
    <s v="02"/>
    <s v="II. interní klinika - gastro-enterologická a hepatologická"/>
    <x v="1"/>
    <s v="0221"/>
    <s v="ambulance"/>
    <s v="0221 - ambulance"/>
    <s v="50115065     ostatní ZPr - vpichovací materiál (sk.Z_530)"/>
    <x v="14"/>
    <x v="1"/>
    <n v="12.090000000000002"/>
    <n v="2.4667461732540001"/>
  </r>
  <r>
    <s v="02"/>
    <s v="02"/>
    <s v="II. interní klinika - gastro-enterologická a hepatologická"/>
    <x v="1"/>
    <s v="0221"/>
    <s v="ambulance"/>
    <s v="0221 - ambulance"/>
    <s v="50115065     ostatní ZPr - vpichovací materiál (sk.Z_530)"/>
    <x v="14"/>
    <x v="2"/>
    <n v="11.653000000000002"/>
    <n v="12"/>
  </r>
  <r>
    <s v="02"/>
    <s v="02"/>
    <s v="II. interní klinika - gastro-enterologická a hepatologická"/>
    <x v="1"/>
    <s v="0221"/>
    <s v="ambulance"/>
    <s v="0221 - ambulance"/>
    <s v="50115067     ostatní ZPr - rukavice (sk.Z_532)"/>
    <x v="15"/>
    <x v="0"/>
    <n v="10.218160000000001"/>
    <n v="10.701180904604"/>
  </r>
  <r>
    <s v="02"/>
    <s v="02"/>
    <s v="II. interní klinika - gastro-enterologická a hepatologická"/>
    <x v="1"/>
    <s v="0221"/>
    <s v="ambulance"/>
    <s v="0221 - ambulance"/>
    <s v="50115067     ostatní ZPr - rukavice (sk.Z_532)"/>
    <x v="15"/>
    <x v="1"/>
    <n v="11.1694"/>
    <n v="10.362751882921"/>
  </r>
  <r>
    <s v="02"/>
    <s v="02"/>
    <s v="II. interní klinika - gastro-enterologická a hepatologická"/>
    <x v="1"/>
    <s v="0221"/>
    <s v="ambulance"/>
    <s v="0221 - ambulance"/>
    <s v="50115067     ostatní ZPr - rukavice (sk.Z_532)"/>
    <x v="15"/>
    <x v="2"/>
    <n v="7.9519999999999991"/>
    <n v="11"/>
  </r>
  <r>
    <s v="02"/>
    <s v="02"/>
    <s v="II. interní klinika - gastro-enterologická a hepatologická"/>
    <x v="1"/>
    <s v="0221"/>
    <s v="ambulance"/>
    <s v="0221 - ambulance"/>
    <s v="50115079     ostatní ZPr - intenzivní péče (sk.Z_542)"/>
    <x v="18"/>
    <x v="2"/>
    <n v="1.5610000000000001E-2"/>
    <n v="0"/>
  </r>
  <r>
    <s v="02"/>
    <s v="02"/>
    <s v="II. interní klinika - gastro-enterologická a hepatologická"/>
    <x v="1"/>
    <s v="0231"/>
    <s v="JIP 30D"/>
    <s v="0231 - JIP 30D"/>
    <s v="50113     Léky a léčiva"/>
    <x v="2"/>
    <x v="0"/>
    <n v="6887.9511100000027"/>
    <n v="5175.7897342189299"/>
  </r>
  <r>
    <s v="02"/>
    <s v="02"/>
    <s v="II. interní klinika - gastro-enterologická a hepatologická"/>
    <x v="1"/>
    <s v="0231"/>
    <s v="JIP 30D"/>
    <s v="0231 - JIP 30D"/>
    <s v="50113     Léky a léčiva"/>
    <x v="2"/>
    <x v="1"/>
    <n v="6675.2967400000016"/>
    <n v="6625.8377026363596"/>
  </r>
  <r>
    <s v="02"/>
    <s v="02"/>
    <s v="II. interní klinika - gastro-enterologická a hepatologická"/>
    <x v="1"/>
    <s v="0231"/>
    <s v="JIP 30D"/>
    <s v="0231 - JIP 30D"/>
    <s v="50113     Léky a léčiva"/>
    <x v="2"/>
    <x v="2"/>
    <n v="4386.0022700000009"/>
    <n v="6195.3858876491004"/>
  </r>
  <r>
    <s v="02"/>
    <s v="02"/>
    <s v="II. interní klinika - gastro-enterologická a hepatologická"/>
    <x v="1"/>
    <s v="0231"/>
    <s v="JIP 30D"/>
    <s v="0231 - JIP 30D"/>
    <s v="50113001     léky - paušál+TISS (LEK)"/>
    <x v="3"/>
    <x v="0"/>
    <n v="2562.7839000000008"/>
    <n v="2280.37625501201"/>
  </r>
  <r>
    <s v="02"/>
    <s v="02"/>
    <s v="II. interní klinika - gastro-enterologická a hepatologická"/>
    <x v="1"/>
    <s v="0231"/>
    <s v="JIP 30D"/>
    <s v="0231 - JIP 30D"/>
    <s v="50113001     léky - paušál+TISS (LEK)"/>
    <x v="3"/>
    <x v="1"/>
    <n v="2499.5254100000006"/>
    <n v="2556.9012071403199"/>
  </r>
  <r>
    <s v="02"/>
    <s v="02"/>
    <s v="II. interní klinika - gastro-enterologická a hepatologická"/>
    <x v="1"/>
    <s v="0231"/>
    <s v="JIP 30D"/>
    <s v="0231 - JIP 30D"/>
    <s v="50113001     léky - paušál+TISS (LEK)"/>
    <x v="3"/>
    <x v="2"/>
    <n v="1768.1167899999998"/>
    <n v="2536.1215952510502"/>
  </r>
  <r>
    <s v="02"/>
    <s v="02"/>
    <s v="II. interní klinika - gastro-enterologická a hepatologická"/>
    <x v="1"/>
    <s v="0231"/>
    <s v="JIP 30D"/>
    <s v="0231 - JIP 30D"/>
    <s v="50113002     léky - parenterální výživa (LEK)"/>
    <x v="17"/>
    <x v="2"/>
    <n v="1194.48487"/>
    <n v="1400"/>
  </r>
  <r>
    <s v="02"/>
    <s v="02"/>
    <s v="II. interní klinika - gastro-enterologická a hepatologická"/>
    <x v="1"/>
    <s v="0231"/>
    <s v="JIP 30D"/>
    <s v="0231 - JIP 30D"/>
    <s v="50113006     léky - enterální výživa (LEK)"/>
    <x v="4"/>
    <x v="0"/>
    <n v="1530.0457300000007"/>
    <n v="1335.3046385672701"/>
  </r>
  <r>
    <s v="02"/>
    <s v="02"/>
    <s v="II. interní klinika - gastro-enterologická a hepatologická"/>
    <x v="1"/>
    <s v="0231"/>
    <s v="JIP 30D"/>
    <s v="0231 - JIP 30D"/>
    <s v="50113006     léky - enterální výživa (LEK)"/>
    <x v="4"/>
    <x v="1"/>
    <n v="1509.4018500000009"/>
    <n v="1537.75981893363"/>
  </r>
  <r>
    <s v="02"/>
    <s v="02"/>
    <s v="II. interní klinika - gastro-enterologická a hepatologická"/>
    <x v="1"/>
    <s v="0231"/>
    <s v="JIP 30D"/>
    <s v="0231 - JIP 30D"/>
    <s v="50113006     léky - enterální výživa (LEK)"/>
    <x v="4"/>
    <x v="2"/>
    <n v="70.586790000000065"/>
    <n v="47"/>
  </r>
  <r>
    <s v="02"/>
    <s v="02"/>
    <s v="II. interní klinika - gastro-enterologická a hepatologická"/>
    <x v="1"/>
    <s v="0231"/>
    <s v="JIP 30D"/>
    <s v="0231 - JIP 30D"/>
    <s v="50113008     léky - krev.deriváty ZUL (TO)"/>
    <x v="5"/>
    <x v="0"/>
    <n v="1596.52334"/>
    <n v="490.16754778289402"/>
  </r>
  <r>
    <s v="02"/>
    <s v="02"/>
    <s v="II. interní klinika - gastro-enterologická a hepatologická"/>
    <x v="1"/>
    <s v="0231"/>
    <s v="JIP 30D"/>
    <s v="0231 - JIP 30D"/>
    <s v="50113008     léky - krev.deriváty ZUL (TO)"/>
    <x v="5"/>
    <x v="1"/>
    <n v="1732.9087400000001"/>
    <n v="1595.0140051661001"/>
  </r>
  <r>
    <s v="02"/>
    <s v="02"/>
    <s v="II. interní klinika - gastro-enterologická a hepatologická"/>
    <x v="1"/>
    <s v="0231"/>
    <s v="JIP 30D"/>
    <s v="0231 - JIP 30D"/>
    <s v="50113008     léky - krev.deriváty ZUL (TO)"/>
    <x v="5"/>
    <x v="2"/>
    <n v="1143.7187699999999"/>
    <n v="1484.38300844277"/>
  </r>
  <r>
    <s v="02"/>
    <s v="02"/>
    <s v="II. interní klinika - gastro-enterologická a hepatologická"/>
    <x v="1"/>
    <s v="0231"/>
    <s v="JIP 30D"/>
    <s v="0231 - JIP 30D"/>
    <s v="50113011     léky - hemofilici ZUL (TO)"/>
    <x v="6"/>
    <x v="0"/>
    <n v="0"/>
    <n v="31.45970096436"/>
  </r>
  <r>
    <s v="02"/>
    <s v="02"/>
    <s v="II. interní klinika - gastro-enterologická a hepatologická"/>
    <x v="1"/>
    <s v="0231"/>
    <s v="JIP 30D"/>
    <s v="0231 - JIP 30D"/>
    <s v="50113011     léky - hemofilici ZUL (TO)"/>
    <x v="6"/>
    <x v="1"/>
    <n v="283.65584000000001"/>
    <n v="0"/>
  </r>
  <r>
    <s v="02"/>
    <s v="02"/>
    <s v="II. interní klinika - gastro-enterologická a hepatologická"/>
    <x v="1"/>
    <s v="0231"/>
    <s v="JIP 30D"/>
    <s v="0231 - JIP 30D"/>
    <s v="50113011     léky - hemofilici ZUL (TO)"/>
    <x v="6"/>
    <x v="2"/>
    <n v="0"/>
    <n v="104.999996692754"/>
  </r>
  <r>
    <s v="02"/>
    <s v="02"/>
    <s v="II. interní klinika - gastro-enterologická a hepatologická"/>
    <x v="1"/>
    <s v="0231"/>
    <s v="JIP 30D"/>
    <s v="0231 - JIP 30D"/>
    <s v="50113013     léky (paušál) - antibiotika (LEK)"/>
    <x v="7"/>
    <x v="0"/>
    <n v="674.70203000000004"/>
    <n v="663.39583330601101"/>
  </r>
  <r>
    <s v="02"/>
    <s v="02"/>
    <s v="II. interní klinika - gastro-enterologická a hepatologická"/>
    <x v="1"/>
    <s v="0231"/>
    <s v="JIP 30D"/>
    <s v="0231 - JIP 30D"/>
    <s v="50113013     léky (paušál) - antibiotika (LEK)"/>
    <x v="7"/>
    <x v="1"/>
    <n v="563.73662999999999"/>
    <n v="518.95539617253598"/>
  </r>
  <r>
    <s v="02"/>
    <s v="02"/>
    <s v="II. interní klinika - gastro-enterologická a hepatologická"/>
    <x v="1"/>
    <s v="0231"/>
    <s v="JIP 30D"/>
    <s v="0231 - JIP 30D"/>
    <s v="50113013     léky (paušál) - antibiotika (LEK)"/>
    <x v="7"/>
    <x v="2"/>
    <n v="201.44729999999998"/>
    <n v="532.76149599649705"/>
  </r>
  <r>
    <s v="02"/>
    <s v="02"/>
    <s v="II. interní klinika - gastro-enterologická a hepatologická"/>
    <x v="1"/>
    <s v="0231"/>
    <s v="JIP 30D"/>
    <s v="0231 - JIP 30D"/>
    <s v="50113014     léky (paušál) - antimykotika (LEK)"/>
    <x v="8"/>
    <x v="0"/>
    <n v="508.71381000000002"/>
    <n v="358.26545176729002"/>
  </r>
  <r>
    <s v="02"/>
    <s v="02"/>
    <s v="II. interní klinika - gastro-enterologická a hepatologická"/>
    <x v="1"/>
    <s v="0231"/>
    <s v="JIP 30D"/>
    <s v="0231 - JIP 30D"/>
    <s v="50113014     léky (paušál) - antimykotika (LEK)"/>
    <x v="8"/>
    <x v="1"/>
    <n v="65.112970000000004"/>
    <n v="402.68204717234499"/>
  </r>
  <r>
    <s v="02"/>
    <s v="02"/>
    <s v="II. interní klinika - gastro-enterologická a hepatologická"/>
    <x v="1"/>
    <s v="0231"/>
    <s v="JIP 30D"/>
    <s v="0231 - JIP 30D"/>
    <s v="50113014     léky (paušál) - antimykotika (LEK)"/>
    <x v="8"/>
    <x v="2"/>
    <n v="-17.606250000000003"/>
    <n v="70.844902768666003"/>
  </r>
  <r>
    <s v="02"/>
    <s v="02"/>
    <s v="II. interní klinika - gastro-enterologická a hepatologická"/>
    <x v="1"/>
    <s v="0231"/>
    <s v="JIP 30D"/>
    <s v="0231 - JIP 30D"/>
    <s v="50113190     medicinální plyny"/>
    <x v="9"/>
    <x v="0"/>
    <n v="15.182300000000001"/>
    <n v="16.820306819094998"/>
  </r>
  <r>
    <s v="02"/>
    <s v="02"/>
    <s v="II. interní klinika - gastro-enterologická a hepatologická"/>
    <x v="1"/>
    <s v="0231"/>
    <s v="JIP 30D"/>
    <s v="0231 - JIP 30D"/>
    <s v="50113190     medicinální plyny"/>
    <x v="9"/>
    <x v="1"/>
    <n v="20.955300000000001"/>
    <n v="14.525228051436001"/>
  </r>
  <r>
    <s v="02"/>
    <s v="02"/>
    <s v="II. interní klinika - gastro-enterologická a hepatologická"/>
    <x v="1"/>
    <s v="0231"/>
    <s v="JIP 30D"/>
    <s v="0231 - JIP 30D"/>
    <s v="50113190     medicinální plyny"/>
    <x v="9"/>
    <x v="2"/>
    <n v="25.253999999999998"/>
    <n v="19.274888497359001"/>
  </r>
  <r>
    <s v="02"/>
    <s v="02"/>
    <s v="II. interní klinika - gastro-enterologická a hepatologická"/>
    <x v="1"/>
    <s v="0231"/>
    <s v="JIP 30D"/>
    <s v="0231 - JIP 30D"/>
    <s v="50115     Zdravotnické prostředky"/>
    <x v="0"/>
    <x v="0"/>
    <n v="902.24293999999884"/>
    <n v="909.70939963931903"/>
  </r>
  <r>
    <s v="02"/>
    <s v="02"/>
    <s v="II. interní klinika - gastro-enterologická a hepatologická"/>
    <x v="1"/>
    <s v="0231"/>
    <s v="JIP 30D"/>
    <s v="0231 - JIP 30D"/>
    <s v="50115     Zdravotnické prostředky"/>
    <x v="0"/>
    <x v="1"/>
    <n v="927.07416999999998"/>
    <n v="876.12124849010604"/>
  </r>
  <r>
    <s v="02"/>
    <s v="02"/>
    <s v="II. interní klinika - gastro-enterologická a hepatologická"/>
    <x v="1"/>
    <s v="0231"/>
    <s v="JIP 30D"/>
    <s v="0231 - JIP 30D"/>
    <s v="50115     Zdravotnické prostředky"/>
    <x v="0"/>
    <x v="2"/>
    <n v="805.56190000000004"/>
    <n v="933.08129983995104"/>
  </r>
  <r>
    <s v="02"/>
    <s v="02"/>
    <s v="II. interní klinika - gastro-enterologická a hepatologická"/>
    <x v="1"/>
    <s v="0231"/>
    <s v="JIP 30D"/>
    <s v="0231 - JIP 30D"/>
    <s v="50115020     diagnostika laboratorní-LEK (sk.Z_501)"/>
    <x v="10"/>
    <x v="0"/>
    <n v="80.648599999999007"/>
    <n v="82.089111931492994"/>
  </r>
  <r>
    <s v="02"/>
    <s v="02"/>
    <s v="II. interní klinika - gastro-enterologická a hepatologická"/>
    <x v="1"/>
    <s v="0231"/>
    <s v="JIP 30D"/>
    <s v="0231 - JIP 30D"/>
    <s v="50115020     diagnostika laboratorní-LEK (sk.Z_501)"/>
    <x v="10"/>
    <x v="1"/>
    <n v="67.302210000000002"/>
    <n v="80.648514580888005"/>
  </r>
  <r>
    <s v="02"/>
    <s v="02"/>
    <s v="II. interní klinika - gastro-enterologická a hepatologická"/>
    <x v="1"/>
    <s v="0231"/>
    <s v="JIP 30D"/>
    <s v="0231 - JIP 30D"/>
    <s v="50115020     diagnostika laboratorní-LEK (sk.Z_501)"/>
    <x v="10"/>
    <x v="2"/>
    <n v="35.228649999999995"/>
    <n v="67"/>
  </r>
  <r>
    <s v="02"/>
    <s v="02"/>
    <s v="II. interní klinika - gastro-enterologická a hepatologická"/>
    <x v="1"/>
    <s v="0231"/>
    <s v="JIP 30D"/>
    <s v="0231 - JIP 30D"/>
    <s v="50115040     laboratorní materiál (sk.Z_505)"/>
    <x v="11"/>
    <x v="0"/>
    <n v="3.5673499999990002"/>
    <n v="3.7997517272180001"/>
  </r>
  <r>
    <s v="02"/>
    <s v="02"/>
    <s v="II. interní klinika - gastro-enterologická a hepatologická"/>
    <x v="1"/>
    <s v="0231"/>
    <s v="JIP 30D"/>
    <s v="0231 - JIP 30D"/>
    <s v="50115040     laboratorní materiál (sk.Z_505)"/>
    <x v="11"/>
    <x v="1"/>
    <n v="5.2526000000000002"/>
    <n v="3.5675755215249998"/>
  </r>
  <r>
    <s v="02"/>
    <s v="02"/>
    <s v="II. interní klinika - gastro-enterologická a hepatologická"/>
    <x v="1"/>
    <s v="0231"/>
    <s v="JIP 30D"/>
    <s v="0231 - JIP 30D"/>
    <s v="50115040     laboratorní materiál (sk.Z_505)"/>
    <x v="11"/>
    <x v="2"/>
    <n v="1.665"/>
    <n v="5.0812998399509999"/>
  </r>
  <r>
    <s v="02"/>
    <s v="02"/>
    <s v="II. interní klinika - gastro-enterologická a hepatologická"/>
    <x v="1"/>
    <s v="0231"/>
    <s v="JIP 30D"/>
    <s v="0231 - JIP 30D"/>
    <s v="50115050     obvazový materiál (sk.Z_502)"/>
    <x v="12"/>
    <x v="0"/>
    <n v="137.76115999999999"/>
    <n v="130.175518474131"/>
  </r>
  <r>
    <s v="02"/>
    <s v="02"/>
    <s v="II. interní klinika - gastro-enterologická a hepatologická"/>
    <x v="1"/>
    <s v="0231"/>
    <s v="JIP 30D"/>
    <s v="0231 - JIP 30D"/>
    <s v="50115050     obvazový materiál (sk.Z_502)"/>
    <x v="12"/>
    <x v="1"/>
    <n v="127.87468"/>
    <n v="138.074448890046"/>
  </r>
  <r>
    <s v="02"/>
    <s v="02"/>
    <s v="II. interní klinika - gastro-enterologická a hepatologická"/>
    <x v="1"/>
    <s v="0231"/>
    <s v="JIP 30D"/>
    <s v="0231 - JIP 30D"/>
    <s v="50115050     obvazový materiál (sk.Z_502)"/>
    <x v="12"/>
    <x v="2"/>
    <n v="125.96862"/>
    <n v="135"/>
  </r>
  <r>
    <s v="02"/>
    <s v="02"/>
    <s v="II. interní klinika - gastro-enterologická a hepatologická"/>
    <x v="1"/>
    <s v="0231"/>
    <s v="JIP 30D"/>
    <s v="0231 - JIP 30D"/>
    <s v="50115060     ostatní ZPr - mimo níže uvedené (sk.Z_503)"/>
    <x v="1"/>
    <x v="0"/>
    <n v="466.75049999999999"/>
    <n v="456.74540569926103"/>
  </r>
  <r>
    <s v="02"/>
    <s v="02"/>
    <s v="II. interní klinika - gastro-enterologická a hepatologická"/>
    <x v="1"/>
    <s v="0231"/>
    <s v="JIP 30D"/>
    <s v="0231 - JIP 30D"/>
    <s v="50115060     ostatní ZPr - mimo níže uvedené (sk.Z_503)"/>
    <x v="1"/>
    <x v="1"/>
    <n v="485.3088600000001"/>
    <n v="425.76632047527602"/>
  </r>
  <r>
    <s v="02"/>
    <s v="02"/>
    <s v="II. interní klinika - gastro-enterologická a hepatologická"/>
    <x v="1"/>
    <s v="0231"/>
    <s v="JIP 30D"/>
    <s v="0231 - JIP 30D"/>
    <s v="50115060     ostatní ZPr - mimo níže uvedené (sk.Z_503)"/>
    <x v="1"/>
    <x v="2"/>
    <n v="395.4705899999999"/>
    <n v="485"/>
  </r>
  <r>
    <s v="02"/>
    <s v="02"/>
    <s v="II. interní klinika - gastro-enterologická a hepatologická"/>
    <x v="1"/>
    <s v="0231"/>
    <s v="JIP 30D"/>
    <s v="0231 - JIP 30D"/>
    <s v="50115063     ostatní ZPr - vaky, sety (sk.Z_528)"/>
    <x v="13"/>
    <x v="0"/>
    <n v="70.873239999999001"/>
    <n v="87.001030230919"/>
  </r>
  <r>
    <s v="02"/>
    <s v="02"/>
    <s v="II. interní klinika - gastro-enterologická a hepatologická"/>
    <x v="1"/>
    <s v="0231"/>
    <s v="JIP 30D"/>
    <s v="0231 - JIP 30D"/>
    <s v="50115063     ostatní ZPr - vaky, sety (sk.Z_528)"/>
    <x v="13"/>
    <x v="1"/>
    <n v="55.858179999999997"/>
    <n v="68.429156584449998"/>
  </r>
  <r>
    <s v="02"/>
    <s v="02"/>
    <s v="II. interní klinika - gastro-enterologická a hepatologická"/>
    <x v="1"/>
    <s v="0231"/>
    <s v="JIP 30D"/>
    <s v="0231 - JIP 30D"/>
    <s v="50115063     ostatní ZPr - vaky, sety (sk.Z_528)"/>
    <x v="13"/>
    <x v="2"/>
    <n v="57.700320000000005"/>
    <n v="53"/>
  </r>
  <r>
    <s v="02"/>
    <s v="02"/>
    <s v="II. interní klinika - gastro-enterologická a hepatologická"/>
    <x v="1"/>
    <s v="0231"/>
    <s v="JIP 30D"/>
    <s v="0231 - JIP 30D"/>
    <s v="50115064     ostatní ZPr - šicí materiál (sk.Z_529)"/>
    <x v="21"/>
    <x v="0"/>
    <n v="8.5983400000000003"/>
    <n v="9.6665054689709997"/>
  </r>
  <r>
    <s v="02"/>
    <s v="02"/>
    <s v="II. interní klinika - gastro-enterologická a hepatologická"/>
    <x v="1"/>
    <s v="0231"/>
    <s v="JIP 30D"/>
    <s v="0231 - JIP 30D"/>
    <s v="50115064     ostatní ZPr - šicí materiál (sk.Z_529)"/>
    <x v="21"/>
    <x v="1"/>
    <n v="9.7258200000000006"/>
    <n v="8.4299825692329993"/>
  </r>
  <r>
    <s v="02"/>
    <s v="02"/>
    <s v="II. interní klinika - gastro-enterologická a hepatologická"/>
    <x v="1"/>
    <s v="0231"/>
    <s v="JIP 30D"/>
    <s v="0231 - JIP 30D"/>
    <s v="50115064     ostatní ZPr - šicí materiál (sk.Z_529)"/>
    <x v="21"/>
    <x v="2"/>
    <n v="7.8498600000000005"/>
    <n v="12"/>
  </r>
  <r>
    <s v="02"/>
    <s v="02"/>
    <s v="II. interní klinika - gastro-enterologická a hepatologická"/>
    <x v="1"/>
    <s v="0231"/>
    <s v="JIP 30D"/>
    <s v="0231 - JIP 30D"/>
    <s v="50115065     ostatní ZPr - vpichovací materiál (sk.Z_530)"/>
    <x v="14"/>
    <x v="0"/>
    <n v="13.130299999999998"/>
    <n v="15.202151720911001"/>
  </r>
  <r>
    <s v="02"/>
    <s v="02"/>
    <s v="II. interní klinika - gastro-enterologická a hepatologická"/>
    <x v="1"/>
    <s v="0231"/>
    <s v="JIP 30D"/>
    <s v="0231 - JIP 30D"/>
    <s v="50115065     ostatní ZPr - vpichovací materiál (sk.Z_530)"/>
    <x v="14"/>
    <x v="1"/>
    <n v="17.948369999999997"/>
    <n v="17.469269282797001"/>
  </r>
  <r>
    <s v="02"/>
    <s v="02"/>
    <s v="II. interní klinika - gastro-enterologická a hepatologická"/>
    <x v="1"/>
    <s v="0231"/>
    <s v="JIP 30D"/>
    <s v="0231 - JIP 30D"/>
    <s v="50115065     ostatní ZPr - vpichovací materiál (sk.Z_530)"/>
    <x v="14"/>
    <x v="2"/>
    <n v="17.355999999999998"/>
    <n v="18"/>
  </r>
  <r>
    <s v="02"/>
    <s v="02"/>
    <s v="II. interní klinika - gastro-enterologická a hepatologická"/>
    <x v="1"/>
    <s v="0231"/>
    <s v="JIP 30D"/>
    <s v="0231 - JIP 30D"/>
    <s v="50115067     ostatní ZPr - rukavice (sk.Z_532)"/>
    <x v="15"/>
    <x v="0"/>
    <n v="58.147360000000006"/>
    <n v="57.274932280413999"/>
  </r>
  <r>
    <s v="02"/>
    <s v="02"/>
    <s v="II. interní klinika - gastro-enterologická a hepatologická"/>
    <x v="1"/>
    <s v="0231"/>
    <s v="JIP 30D"/>
    <s v="0231 - JIP 30D"/>
    <s v="50115067     ostatní ZPr - rukavice (sk.Z_532)"/>
    <x v="15"/>
    <x v="1"/>
    <n v="68.86542"/>
    <n v="60.970175827760997"/>
  </r>
  <r>
    <s v="02"/>
    <s v="02"/>
    <s v="II. interní klinika - gastro-enterologická a hepatologická"/>
    <x v="1"/>
    <s v="0231"/>
    <s v="JIP 30D"/>
    <s v="0231 - JIP 30D"/>
    <s v="50115067     ostatní ZPr - rukavice (sk.Z_532)"/>
    <x v="15"/>
    <x v="2"/>
    <n v="42.014000000000003"/>
    <n v="69"/>
  </r>
  <r>
    <s v="02"/>
    <s v="02"/>
    <s v="II. interní klinika - gastro-enterologická a hepatologická"/>
    <x v="1"/>
    <s v="0231"/>
    <s v="JIP 30D"/>
    <s v="0231 - JIP 30D"/>
    <s v="50115070     ostatní ZPr - katetry (sk.Z_513)"/>
    <x v="16"/>
    <x v="0"/>
    <n v="62.766089999999998"/>
    <n v="67.754992105997005"/>
  </r>
  <r>
    <s v="02"/>
    <s v="02"/>
    <s v="II. interní klinika - gastro-enterologická a hepatologická"/>
    <x v="1"/>
    <s v="0231"/>
    <s v="JIP 30D"/>
    <s v="0231 - JIP 30D"/>
    <s v="50115070     ostatní ZPr - katetry (sk.Z_513)"/>
    <x v="16"/>
    <x v="1"/>
    <n v="88.938029999999998"/>
    <n v="72.765804758127004"/>
  </r>
  <r>
    <s v="02"/>
    <s v="02"/>
    <s v="II. interní klinika - gastro-enterologická a hepatologická"/>
    <x v="1"/>
    <s v="0231"/>
    <s v="JIP 30D"/>
    <s v="0231 - JIP 30D"/>
    <s v="50115070     ostatní ZPr - katetry (sk.Z_513)"/>
    <x v="16"/>
    <x v="2"/>
    <n v="113.34639"/>
    <n v="89"/>
  </r>
  <r>
    <s v="02"/>
    <s v="02"/>
    <s v="II. interní klinika - gastro-enterologická a hepatologická"/>
    <x v="1"/>
    <s v="0231"/>
    <s v="JIP 30D"/>
    <s v="0231 - JIP 30D"/>
    <s v="50115079     ostatní ZPr - intenzivní péče (sk.Z_542)"/>
    <x v="18"/>
    <x v="2"/>
    <n v="8.9624699999999997"/>
    <n v="0"/>
  </r>
  <r>
    <s v="02"/>
    <s v="02"/>
    <s v="II. interní klinika - gastro-enterologická a hepatologická"/>
    <x v="1"/>
    <s v="0266"/>
    <s v="pracoviště DK COS"/>
    <s v="0266 - pracoviště DK COS"/>
    <s v="50115     Zdravotnické prostředky"/>
    <x v="0"/>
    <x v="0"/>
    <n v="0"/>
    <n v="1.9002943629010001"/>
  </r>
  <r>
    <s v="02"/>
    <s v="02"/>
    <s v="II. interní klinika - gastro-enterologická a hepatologická"/>
    <x v="1"/>
    <s v="0266"/>
    <s v="pracoviště DK COS"/>
    <s v="0266 - pracoviště DK COS"/>
    <s v="50115067     ostatní ZPr - rukavice (sk.Z_532)"/>
    <x v="15"/>
    <x v="0"/>
    <n v="0"/>
    <n v="1.9002943629010001"/>
  </r>
  <r>
    <s v="02"/>
    <s v="02"/>
    <s v="II. interní klinika - gastro-enterologická a hepatologická"/>
    <x v="1"/>
    <s v="0271"/>
    <s v="odd. invaz. vyš. metotody-endoskopie"/>
    <s v="0271 - odd. invaz. vyš. metotody-endoskopie"/>
    <s v="50113     Léky a léčiva"/>
    <x v="2"/>
    <x v="0"/>
    <n v="207.42459000000002"/>
    <n v="208.360086907728"/>
  </r>
  <r>
    <s v="02"/>
    <s v="02"/>
    <s v="II. interní klinika - gastro-enterologická a hepatologická"/>
    <x v="1"/>
    <s v="0271"/>
    <s v="odd. invaz. vyš. metotody-endoskopie"/>
    <s v="0271 - odd. invaz. vyš. metotody-endoskopie"/>
    <s v="50113     Léky a léčiva"/>
    <x v="2"/>
    <x v="1"/>
    <n v="228.63592999999997"/>
    <n v="220.78586546003501"/>
  </r>
  <r>
    <s v="02"/>
    <s v="02"/>
    <s v="II. interní klinika - gastro-enterologická a hepatologická"/>
    <x v="1"/>
    <s v="0271"/>
    <s v="odd. invaz. vyš. metotody-endoskopie"/>
    <s v="0271 - odd. invaz. vyš. metotody-endoskopie"/>
    <s v="50113     Léky a léčiva"/>
    <x v="2"/>
    <x v="2"/>
    <n v="147.65515999999997"/>
    <n v="223.35325472297399"/>
  </r>
  <r>
    <s v="02"/>
    <s v="02"/>
    <s v="II. interní klinika - gastro-enterologická a hepatologická"/>
    <x v="1"/>
    <s v="0271"/>
    <s v="odd. invaz. vyš. metotody-endoskopie"/>
    <s v="0271 - odd. invaz. vyš. metotody-endoskopie"/>
    <s v="50113001     léky - paušál+TISS (LEK)"/>
    <x v="3"/>
    <x v="0"/>
    <n v="67.563479999999004"/>
    <n v="65.147154751323995"/>
  </r>
  <r>
    <s v="02"/>
    <s v="02"/>
    <s v="II. interní klinika - gastro-enterologická a hepatologická"/>
    <x v="1"/>
    <s v="0271"/>
    <s v="odd. invaz. vyš. metotody-endoskopie"/>
    <s v="0271 - odd. invaz. vyš. metotody-endoskopie"/>
    <s v="50113001     léky - paušál+TISS (LEK)"/>
    <x v="3"/>
    <x v="1"/>
    <n v="72.56922999999999"/>
    <n v="77.800046428472996"/>
  </r>
  <r>
    <s v="02"/>
    <s v="02"/>
    <s v="II. interní klinika - gastro-enterologická a hepatologická"/>
    <x v="1"/>
    <s v="0271"/>
    <s v="odd. invaz. vyš. metotody-endoskopie"/>
    <s v="0271 - odd. invaz. vyš. metotody-endoskopie"/>
    <s v="50113001     léky - paušál+TISS (LEK)"/>
    <x v="3"/>
    <x v="2"/>
    <n v="44.497140000000002"/>
    <n v="64.478218637495999"/>
  </r>
  <r>
    <s v="02"/>
    <s v="02"/>
    <s v="II. interní klinika - gastro-enterologická a hepatologická"/>
    <x v="1"/>
    <s v="0271"/>
    <s v="odd. invaz. vyš. metotody-endoskopie"/>
    <s v="0271 - odd. invaz. vyš. metotody-endoskopie"/>
    <s v="50113009     léky - RTG diagnostika ZUL (LEK)"/>
    <x v="22"/>
    <x v="0"/>
    <n v="40.988490000000006"/>
    <n v="42.998664867830001"/>
  </r>
  <r>
    <s v="02"/>
    <s v="02"/>
    <s v="II. interní klinika - gastro-enterologická a hepatologická"/>
    <x v="1"/>
    <s v="0271"/>
    <s v="odd. invaz. vyš. metotody-endoskopie"/>
    <s v="0271 - odd. invaz. vyš. metotody-endoskopie"/>
    <s v="50113009     léky - RTG diagnostika ZUL (LEK)"/>
    <x v="22"/>
    <x v="1"/>
    <n v="47.856869999999994"/>
    <n v="48.388326176397001"/>
  </r>
  <r>
    <s v="02"/>
    <s v="02"/>
    <s v="II. interní klinika - gastro-enterologická a hepatologická"/>
    <x v="1"/>
    <s v="0271"/>
    <s v="odd. invaz. vyš. metotody-endoskopie"/>
    <s v="0271 - odd. invaz. vyš. metotody-endoskopie"/>
    <s v="50113009     léky - RTG diagnostika ZUL (LEK)"/>
    <x v="22"/>
    <x v="2"/>
    <n v="35.632470000000005"/>
    <n v="48.783562321213999"/>
  </r>
  <r>
    <s v="02"/>
    <s v="02"/>
    <s v="II. interní klinika - gastro-enterologická a hepatologická"/>
    <x v="1"/>
    <s v="0271"/>
    <s v="odd. invaz. vyš. metotody-endoskopie"/>
    <s v="0271 - odd. invaz. vyš. metotody-endoskopie"/>
    <s v="50113013     léky (paušál) - antibiotika (LEK)"/>
    <x v="7"/>
    <x v="0"/>
    <n v="7.1480000000000002E-2"/>
    <n v="2.3068831742200002"/>
  </r>
  <r>
    <s v="02"/>
    <s v="02"/>
    <s v="II. interní klinika - gastro-enterologická a hepatologická"/>
    <x v="1"/>
    <s v="0271"/>
    <s v="odd. invaz. vyš. metotody-endoskopie"/>
    <s v="0271 - odd. invaz. vyš. metotody-endoskopie"/>
    <s v="50113013     léky (paušál) - antibiotika (LEK)"/>
    <x v="7"/>
    <x v="1"/>
    <n v="0"/>
    <n v="7.2349086308999999E-2"/>
  </r>
  <r>
    <s v="02"/>
    <s v="02"/>
    <s v="II. interní klinika - gastro-enterologická a hepatologická"/>
    <x v="1"/>
    <s v="0271"/>
    <s v="odd. invaz. vyš. metotody-endoskopie"/>
    <s v="0271 - odd. invaz. vyš. metotody-endoskopie"/>
    <s v="50113190     medicinální plyny"/>
    <x v="9"/>
    <x v="0"/>
    <n v="98.801139999999009"/>
    <n v="97.907384114352993"/>
  </r>
  <r>
    <s v="02"/>
    <s v="02"/>
    <s v="II. interní klinika - gastro-enterologická a hepatologická"/>
    <x v="1"/>
    <s v="0271"/>
    <s v="odd. invaz. vyš. metotody-endoskopie"/>
    <s v="0271 - odd. invaz. vyš. metotody-endoskopie"/>
    <s v="50113190     medicinální plyny"/>
    <x v="9"/>
    <x v="1"/>
    <n v="108.20983"/>
    <n v="94.525143768853994"/>
  </r>
  <r>
    <s v="02"/>
    <s v="02"/>
    <s v="II. interní klinika - gastro-enterologická a hepatologická"/>
    <x v="1"/>
    <s v="0271"/>
    <s v="odd. invaz. vyš. metotody-endoskopie"/>
    <s v="0271 - odd. invaz. vyš. metotody-endoskopie"/>
    <s v="50113190     medicinální plyny"/>
    <x v="9"/>
    <x v="2"/>
    <n v="67.52555000000001"/>
    <n v="110.091473764263"/>
  </r>
  <r>
    <s v="02"/>
    <s v="02"/>
    <s v="II. interní klinika - gastro-enterologická a hepatologická"/>
    <x v="1"/>
    <s v="0271"/>
    <s v="odd. invaz. vyš. metotody-endoskopie"/>
    <s v="0271 - odd. invaz. vyš. metotody-endoskopie"/>
    <s v="50115     Zdravotnické prostředky"/>
    <x v="0"/>
    <x v="0"/>
    <n v="3063.0743900000007"/>
    <n v="3091.8080175004402"/>
  </r>
  <r>
    <s v="02"/>
    <s v="02"/>
    <s v="II. interní klinika - gastro-enterologická a hepatologická"/>
    <x v="1"/>
    <s v="0271"/>
    <s v="odd. invaz. vyš. metotody-endoskopie"/>
    <s v="0271 - odd. invaz. vyš. metotody-endoskopie"/>
    <s v="50115     Zdravotnické prostředky"/>
    <x v="0"/>
    <x v="1"/>
    <n v="3923.6404700000016"/>
    <n v="4193.9046313971803"/>
  </r>
  <r>
    <s v="02"/>
    <s v="02"/>
    <s v="II. interní klinika - gastro-enterologická a hepatologická"/>
    <x v="1"/>
    <s v="0271"/>
    <s v="odd. invaz. vyš. metotody-endoskopie"/>
    <s v="0271 - odd. invaz. vyš. metotody-endoskopie"/>
    <s v="50115     Zdravotnické prostředky"/>
    <x v="0"/>
    <x v="2"/>
    <n v="3386.1763900000005"/>
    <n v="4111.2252638671398"/>
  </r>
  <r>
    <s v="02"/>
    <s v="02"/>
    <s v="II. interní klinika - gastro-enterologická a hepatologická"/>
    <x v="1"/>
    <s v="0271"/>
    <s v="odd. invaz. vyš. metotody-endoskopie"/>
    <s v="0271 - odd. invaz. vyš. metotody-endoskopie"/>
    <s v="50115020     diagnostika laboratorní-LEK (sk.Z_501)"/>
    <x v="10"/>
    <x v="0"/>
    <n v="8.2037999999999993"/>
    <n v="11.592584548595999"/>
  </r>
  <r>
    <s v="02"/>
    <s v="02"/>
    <s v="II. interní klinika - gastro-enterologická a hepatologická"/>
    <x v="1"/>
    <s v="0271"/>
    <s v="odd. invaz. vyš. metotody-endoskopie"/>
    <s v="0271 - odd. invaz. vyš. metotody-endoskopie"/>
    <s v="50115020     diagnostika laboratorní-LEK (sk.Z_501)"/>
    <x v="10"/>
    <x v="1"/>
    <n v="12.751380000000001"/>
    <n v="32.203778388377998"/>
  </r>
  <r>
    <s v="02"/>
    <s v="02"/>
    <s v="II. interní klinika - gastro-enterologická a hepatologická"/>
    <x v="1"/>
    <s v="0271"/>
    <s v="odd. invaz. vyš. metotody-endoskopie"/>
    <s v="0271 - odd. invaz. vyš. metotody-endoskopie"/>
    <s v="50115020     diagnostika laboratorní-LEK (sk.Z_501)"/>
    <x v="10"/>
    <x v="2"/>
    <n v="7.6400900000000007"/>
    <n v="13"/>
  </r>
  <r>
    <s v="02"/>
    <s v="02"/>
    <s v="II. interní klinika - gastro-enterologická a hepatologická"/>
    <x v="1"/>
    <s v="0271"/>
    <s v="odd. invaz. vyš. metotody-endoskopie"/>
    <s v="0271 - odd. invaz. vyš. metotody-endoskopie"/>
    <s v="50115040     laboratorní materiál (sk.Z_505)"/>
    <x v="11"/>
    <x v="0"/>
    <n v="0"/>
    <n v="0.94990943338099998"/>
  </r>
  <r>
    <s v="02"/>
    <s v="02"/>
    <s v="II. interní klinika - gastro-enterologická a hepatologická"/>
    <x v="1"/>
    <s v="0271"/>
    <s v="odd. invaz. vyš. metotody-endoskopie"/>
    <s v="0271 - odd. invaz. vyš. metotody-endoskopie"/>
    <s v="50115050     obvazový materiál (sk.Z_502)"/>
    <x v="12"/>
    <x v="0"/>
    <n v="9.538239999999"/>
    <n v="10.582095723251999"/>
  </r>
  <r>
    <s v="02"/>
    <s v="02"/>
    <s v="II. interní klinika - gastro-enterologická a hepatologická"/>
    <x v="1"/>
    <s v="0271"/>
    <s v="odd. invaz. vyš. metotody-endoskopie"/>
    <s v="0271 - odd. invaz. vyš. metotody-endoskopie"/>
    <s v="50115050     obvazový materiál (sk.Z_502)"/>
    <x v="12"/>
    <x v="1"/>
    <n v="15.175830000000003"/>
    <n v="11.559930987069"/>
  </r>
  <r>
    <s v="02"/>
    <s v="02"/>
    <s v="II. interní klinika - gastro-enterologická a hepatologická"/>
    <x v="1"/>
    <s v="0271"/>
    <s v="odd. invaz. vyš. metotody-endoskopie"/>
    <s v="0271 - odd. invaz. vyš. metotody-endoskopie"/>
    <s v="50115050     obvazový materiál (sk.Z_502)"/>
    <x v="12"/>
    <x v="2"/>
    <n v="10.254350000000001"/>
    <n v="13.978505716776001"/>
  </r>
  <r>
    <s v="02"/>
    <s v="02"/>
    <s v="II. interní klinika - gastro-enterologická a hepatologická"/>
    <x v="1"/>
    <s v="0271"/>
    <s v="odd. invaz. vyš. metotody-endoskopie"/>
    <s v="0271 - odd. invaz. vyš. metotody-endoskopie"/>
    <s v="50115060     ostatní ZPr - mimo níže uvedené (sk.Z_503)"/>
    <x v="1"/>
    <x v="0"/>
    <n v="1922.3771100000008"/>
    <n v="1832.5916080383899"/>
  </r>
  <r>
    <s v="02"/>
    <s v="02"/>
    <s v="II. interní klinika - gastro-enterologická a hepatologická"/>
    <x v="1"/>
    <s v="0271"/>
    <s v="odd. invaz. vyš. metotody-endoskopie"/>
    <s v="0271 - odd. invaz. vyš. metotody-endoskopie"/>
    <s v="50115060     ostatní ZPr - mimo níže uvedené (sk.Z_503)"/>
    <x v="1"/>
    <x v="1"/>
    <n v="2290.2297600000011"/>
    <n v="2324.0546811640702"/>
  </r>
  <r>
    <s v="02"/>
    <s v="02"/>
    <s v="II. interní klinika - gastro-enterologická a hepatologická"/>
    <x v="1"/>
    <s v="0271"/>
    <s v="odd. invaz. vyš. metotody-endoskopie"/>
    <s v="0271 - odd. invaz. vyš. metotody-endoskopie"/>
    <s v="50115060     ostatní ZPr - mimo níže uvedené (sk.Z_503)"/>
    <x v="1"/>
    <x v="2"/>
    <n v="1840.4765199999999"/>
    <n v="2289"/>
  </r>
  <r>
    <s v="02"/>
    <s v="02"/>
    <s v="II. interní klinika - gastro-enterologická a hepatologická"/>
    <x v="1"/>
    <s v="0271"/>
    <s v="odd. invaz. vyš. metotody-endoskopie"/>
    <s v="0271 - odd. invaz. vyš. metotody-endoskopie"/>
    <s v="50115063     ostatní ZPr - vaky, sety (sk.Z_528)"/>
    <x v="13"/>
    <x v="2"/>
    <n v="0.28575"/>
    <n v="0"/>
  </r>
  <r>
    <s v="02"/>
    <s v="02"/>
    <s v="II. interní klinika - gastro-enterologická a hepatologická"/>
    <x v="1"/>
    <s v="0271"/>
    <s v="odd. invaz. vyš. metotody-endoskopie"/>
    <s v="0271 - odd. invaz. vyš. metotody-endoskopie"/>
    <s v="50115065     ostatní ZPr - vpichovací materiál (sk.Z_530)"/>
    <x v="14"/>
    <x v="0"/>
    <n v="0.87899999999900014"/>
    <n v="0.95009885242400005"/>
  </r>
  <r>
    <s v="02"/>
    <s v="02"/>
    <s v="II. interní klinika - gastro-enterologická a hepatologická"/>
    <x v="1"/>
    <s v="0271"/>
    <s v="odd. invaz. vyš. metotody-endoskopie"/>
    <s v="0271 - odd. invaz. vyš. metotody-endoskopie"/>
    <s v="50115065     ostatní ZPr - vpichovací materiál (sk.Z_530)"/>
    <x v="14"/>
    <x v="1"/>
    <n v="1.1259999999999999"/>
    <n v="0.90169205778100003"/>
  </r>
  <r>
    <s v="02"/>
    <s v="02"/>
    <s v="II. interní klinika - gastro-enterologická a hepatologická"/>
    <x v="1"/>
    <s v="0271"/>
    <s v="odd. invaz. vyš. metotody-endoskopie"/>
    <s v="0271 - odd. invaz. vyš. metotody-endoskopie"/>
    <s v="50115065     ostatní ZPr - vpichovací materiál (sk.Z_530)"/>
    <x v="14"/>
    <x v="2"/>
    <n v="1.1860000000000002"/>
    <n v="0.99076885954399996"/>
  </r>
  <r>
    <s v="02"/>
    <s v="02"/>
    <s v="II. interní klinika - gastro-enterologická a hepatologická"/>
    <x v="1"/>
    <s v="0271"/>
    <s v="odd. invaz. vyš. metotody-endoskopie"/>
    <s v="0271 - odd. invaz. vyš. metotody-endoskopie"/>
    <s v="50115067     ostatní ZPr - rukavice (sk.Z_532)"/>
    <x v="15"/>
    <x v="0"/>
    <n v="85.023239999998992"/>
    <n v="86.611526840853998"/>
  </r>
  <r>
    <s v="02"/>
    <s v="02"/>
    <s v="II. interní klinika - gastro-enterologická a hepatologická"/>
    <x v="1"/>
    <s v="0271"/>
    <s v="odd. invaz. vyš. metotody-endoskopie"/>
    <s v="0271 - odd. invaz. vyš. metotody-endoskopie"/>
    <s v="50115067     ostatní ZPr - rukavice (sk.Z_532)"/>
    <x v="15"/>
    <x v="1"/>
    <n v="90.674390000000002"/>
    <n v="86.226359775345003"/>
  </r>
  <r>
    <s v="02"/>
    <s v="02"/>
    <s v="II. interní klinika - gastro-enterologická a hepatologická"/>
    <x v="1"/>
    <s v="0271"/>
    <s v="odd. invaz. vyš. metotody-endoskopie"/>
    <s v="0271 - odd. invaz. vyš. metotody-endoskopie"/>
    <s v="50115067     ostatní ZPr - rukavice (sk.Z_532)"/>
    <x v="15"/>
    <x v="2"/>
    <n v="66.274320000000003"/>
    <n v="91"/>
  </r>
  <r>
    <s v="02"/>
    <s v="02"/>
    <s v="II. interní klinika - gastro-enterologická a hepatologická"/>
    <x v="1"/>
    <s v="0271"/>
    <s v="odd. invaz. vyš. metotody-endoskopie"/>
    <s v="0271 - odd. invaz. vyš. metotody-endoskopie"/>
    <s v="50115070     ostatní ZPr - katetry (sk.Z_513)"/>
    <x v="16"/>
    <x v="0"/>
    <n v="224.17389999999901"/>
    <n v="281.52918655446302"/>
  </r>
  <r>
    <s v="02"/>
    <s v="02"/>
    <s v="II. interní klinika - gastro-enterologická a hepatologická"/>
    <x v="1"/>
    <s v="0271"/>
    <s v="odd. invaz. vyš. metotody-endoskopie"/>
    <s v="0271 - odd. invaz. vyš. metotody-endoskopie"/>
    <s v="50115070     ostatní ZPr - katetry (sk.Z_513)"/>
    <x v="16"/>
    <x v="1"/>
    <n v="436.01390000000009"/>
    <n v="559.40766329900305"/>
  </r>
  <r>
    <s v="02"/>
    <s v="02"/>
    <s v="II. interní klinika - gastro-enterologická a hepatologická"/>
    <x v="1"/>
    <s v="0271"/>
    <s v="odd. invaz. vyš. metotody-endoskopie"/>
    <s v="0271 - odd. invaz. vyš. metotody-endoskopie"/>
    <s v="50115070     ostatní ZPr - katetry (sk.Z_513)"/>
    <x v="16"/>
    <x v="2"/>
    <n v="80.963120000000004"/>
    <n v="135"/>
  </r>
  <r>
    <s v="02"/>
    <s v="02"/>
    <s v="II. interní klinika - gastro-enterologická a hepatologická"/>
    <x v="1"/>
    <s v="0271"/>
    <s v="odd. invaz. vyš. metotody-endoskopie"/>
    <s v="0271 - odd. invaz. vyš. metotody-endoskopie"/>
    <s v="50115075     ostatní ZPr - stenty (sk.Z_538)"/>
    <x v="35"/>
    <x v="2"/>
    <n v="317.33088999999995"/>
    <n v="339.99998929082398"/>
  </r>
  <r>
    <s v="02"/>
    <s v="02"/>
    <s v="II. interní klinika - gastro-enterologická a hepatologická"/>
    <x v="1"/>
    <s v="0271"/>
    <s v="odd. invaz. vyš. metotody-endoskopie"/>
    <s v="0271 - odd. invaz. vyš. metotody-endoskopie"/>
    <s v="50115080     ostatní ZPr - staplery, extraktory (sk.Z_523)"/>
    <x v="30"/>
    <x v="0"/>
    <n v="812.87910000000011"/>
    <n v="867.00100750907404"/>
  </r>
  <r>
    <s v="02"/>
    <s v="02"/>
    <s v="II. interní klinika - gastro-enterologická a hepatologická"/>
    <x v="1"/>
    <s v="0271"/>
    <s v="odd. invaz. vyš. metotody-endoskopie"/>
    <s v="0271 - odd. invaz. vyš. metotody-endoskopie"/>
    <s v="50115080     ostatní ZPr - staplery, extraktory (sk.Z_523)"/>
    <x v="30"/>
    <x v="1"/>
    <n v="1077.6692100000009"/>
    <n v="1179.55052572554"/>
  </r>
  <r>
    <s v="02"/>
    <s v="02"/>
    <s v="II. interní klinika - gastro-enterologická a hepatologická"/>
    <x v="1"/>
    <s v="0271"/>
    <s v="odd. invaz. vyš. metotody-endoskopie"/>
    <s v="0271 - odd. invaz. vyš. metotody-endoskopie"/>
    <s v="50115080     ostatní ZPr - staplery, extraktory (sk.Z_523)"/>
    <x v="30"/>
    <x v="2"/>
    <n v="1061.7653500000001"/>
    <n v="1228.2560000000001"/>
  </r>
  <r>
    <s v="02"/>
    <s v="02"/>
    <s v="II. interní klinika - gastro-enterologická a hepatologická"/>
    <x v="1"/>
    <s v="0294"/>
    <s v="centrum - II.interna"/>
    <s v="0294 - centrum - II.interna"/>
    <s v="50113     Léky a léčiva"/>
    <x v="2"/>
    <x v="0"/>
    <n v="23843.01213000001"/>
    <n v="23806.749999998901"/>
  </r>
  <r>
    <s v="02"/>
    <s v="02"/>
    <s v="II. interní klinika - gastro-enterologická a hepatologická"/>
    <x v="1"/>
    <s v="0294"/>
    <s v="centrum - II.interna"/>
    <s v="0294 - centrum - II.interna"/>
    <s v="50113     Léky a léčiva"/>
    <x v="2"/>
    <x v="1"/>
    <n v="26486.070210000009"/>
    <n v="25977.999999999502"/>
  </r>
  <r>
    <s v="02"/>
    <s v="02"/>
    <s v="II. interní klinika - gastro-enterologická a hepatologická"/>
    <x v="1"/>
    <s v="0294"/>
    <s v="centrum - II.interna"/>
    <s v="0294 - centrum - II.interna"/>
    <s v="50113     Léky a léčiva"/>
    <x v="2"/>
    <x v="2"/>
    <n v="20654.449679999998"/>
    <n v="26848.5116742877"/>
  </r>
  <r>
    <s v="02"/>
    <s v="02"/>
    <s v="II. interní klinika - gastro-enterologická a hepatologická"/>
    <x v="1"/>
    <s v="0294"/>
    <s v="centrum - II.interna"/>
    <s v="0294 - centrum - II.interna"/>
    <s v="50113016     léky - spotřeba v centrech (LEK)"/>
    <x v="39"/>
    <x v="0"/>
    <n v="23843.01213000001"/>
    <n v="23806.749999998901"/>
  </r>
  <r>
    <s v="02"/>
    <s v="02"/>
    <s v="II. interní klinika - gastro-enterologická a hepatologická"/>
    <x v="1"/>
    <s v="0294"/>
    <s v="centrum - II.interna"/>
    <s v="0294 - centrum - II.interna"/>
    <s v="50113016     léky - spotřeba v centrech (LEK)"/>
    <x v="39"/>
    <x v="1"/>
    <n v="26486.070210000009"/>
    <n v="25977.999999999502"/>
  </r>
  <r>
    <s v="02"/>
    <s v="02"/>
    <s v="II. interní klinika - gastro-enterologická a hepatologická"/>
    <x v="1"/>
    <s v="0294"/>
    <s v="centrum - II.interna"/>
    <s v="0294 - centrum - II.interna"/>
    <s v="50113016     léky - spotřeba v centrech (LEK)"/>
    <x v="39"/>
    <x v="2"/>
    <n v="20654.449679999998"/>
    <n v="26848.5116742877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3     Léky a léčiva"/>
    <x v="2"/>
    <x v="0"/>
    <n v="1788.6820100000007"/>
    <n v="2593.00923066223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3     Léky a léčiva"/>
    <x v="2"/>
    <x v="1"/>
    <n v="1849.340380000001"/>
    <n v="1995.0366988354899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3     Léky a léčiva"/>
    <x v="2"/>
    <x v="2"/>
    <n v="1221.9771700000001"/>
    <n v="1544.2241745112201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3001     léky - paušál+TISS (LEK)"/>
    <x v="3"/>
    <x v="0"/>
    <n v="1189.2194900000011"/>
    <n v="1861.9990303044001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3001     léky - paušál+TISS (LEK)"/>
    <x v="3"/>
    <x v="1"/>
    <n v="1234.181360000001"/>
    <n v="1178.5746029546101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3001     léky - paušál+TISS (LEK)"/>
    <x v="3"/>
    <x v="2"/>
    <n v="918.98146999999892"/>
    <n v="1085.4000000000001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3002     léky - parenterální výživa (LEK)"/>
    <x v="17"/>
    <x v="2"/>
    <n v="3.35399"/>
    <n v="4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3006     léky - enterální výživa (LEK)"/>
    <x v="4"/>
    <x v="0"/>
    <n v="17.674059999999002"/>
    <n v="136.688899762169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3006     léky - enterální výživa (LEK)"/>
    <x v="4"/>
    <x v="1"/>
    <n v="17.931960000000004"/>
    <n v="17.647654691616001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3006     léky - enterální výživa (LEK)"/>
    <x v="4"/>
    <x v="2"/>
    <n v="14.78782"/>
    <n v="16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3008     léky - krev.deriváty ZUL (TO)"/>
    <x v="5"/>
    <x v="0"/>
    <n v="214.22736000000003"/>
    <n v="163.566771314411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3008     léky - krev.deriváty ZUL (TO)"/>
    <x v="5"/>
    <x v="1"/>
    <n v="140.63956000000002"/>
    <n v="214.00187906303699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3008     léky - krev.deriváty ZUL (TO)"/>
    <x v="5"/>
    <x v="2"/>
    <n v="84.049899999999994"/>
    <n v="16.413972500174999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3013     léky (paušál) - antibiotika (LEK)"/>
    <x v="7"/>
    <x v="0"/>
    <n v="280.09870000000001"/>
    <n v="301.526554032592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3013     léky (paušál) - antibiotika (LEK)"/>
    <x v="7"/>
    <x v="1"/>
    <n v="370.98714000000001"/>
    <n v="501.48980915585901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3013     léky (paušál) - antibiotika (LEK)"/>
    <x v="7"/>
    <x v="2"/>
    <n v="143.72150999999999"/>
    <n v="339.99496804709702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3014     léky (paušál) - antimykotika (LEK)"/>
    <x v="8"/>
    <x v="0"/>
    <n v="26.478570000000001"/>
    <n v="67.019972795059005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3014     léky (paušál) - antimykotika (LEK)"/>
    <x v="8"/>
    <x v="1"/>
    <n v="24.27544"/>
    <n v="24.978230849212999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3014     léky (paušál) - antimykotika (LEK)"/>
    <x v="8"/>
    <x v="2"/>
    <n v="13.303630000000002"/>
    <n v="19.928658654456001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3190     medicinální plyny"/>
    <x v="9"/>
    <x v="0"/>
    <n v="60.983829999998996"/>
    <n v="62.208002453601999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3190     medicinální plyny"/>
    <x v="9"/>
    <x v="1"/>
    <n v="61.324919999999999"/>
    <n v="58.344522121155002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3190     medicinální plyny"/>
    <x v="9"/>
    <x v="2"/>
    <n v="43.778849999999998"/>
    <n v="62.486575309491997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5     Zdravotnické prostředky"/>
    <x v="0"/>
    <x v="0"/>
    <n v="548.03760999999906"/>
    <n v="559.87119047875603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5     Zdravotnické prostředky"/>
    <x v="0"/>
    <x v="1"/>
    <n v="601.59559999999988"/>
    <n v="599.28897858138896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5     Zdravotnické prostředky"/>
    <x v="0"/>
    <x v="2"/>
    <n v="435.45012000000003"/>
    <n v="612.33512509517095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5020     diagnostika laboratorní-LEK (sk.Z_501)"/>
    <x v="10"/>
    <x v="0"/>
    <n v="41.757799999999996"/>
    <n v="60.622458041442002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5020     diagnostika laboratorní-LEK (sk.Z_501)"/>
    <x v="10"/>
    <x v="1"/>
    <n v="42.395390000000006"/>
    <n v="41.757755772148997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5020     diagnostika laboratorní-LEK (sk.Z_501)"/>
    <x v="10"/>
    <x v="2"/>
    <n v="32.940370000000001"/>
    <n v="43.510988629509001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5040     laboratorní materiál (sk.Z_505)"/>
    <x v="11"/>
    <x v="0"/>
    <n v="1.1764400000000002"/>
    <n v="1.899932860454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5040     laboratorní materiál (sk.Z_505)"/>
    <x v="11"/>
    <x v="1"/>
    <n v="1.5830600000000001"/>
    <n v="1.176514372445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5040     laboratorní materiál (sk.Z_505)"/>
    <x v="11"/>
    <x v="2"/>
    <n v="1.4654699999999998"/>
    <n v="4.0659254952439996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5050     obvazový materiál (sk.Z_502)"/>
    <x v="12"/>
    <x v="0"/>
    <n v="72.958789999999013"/>
    <n v="74.249323823338997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5050     obvazový materiál (sk.Z_502)"/>
    <x v="12"/>
    <x v="1"/>
    <n v="74.067729999999997"/>
    <n v="77.124712811958005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5050     obvazový materiál (sk.Z_502)"/>
    <x v="12"/>
    <x v="2"/>
    <n v="62.220740000000006"/>
    <n v="80.130565688847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5060     ostatní ZPr - mimo níže uvedené (sk.Z_503)"/>
    <x v="1"/>
    <x v="0"/>
    <n v="316.10264000000006"/>
    <n v="289.99962069110001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5060     ostatní ZPr - mimo níže uvedené (sk.Z_503)"/>
    <x v="1"/>
    <x v="1"/>
    <n v="352.31646999999998"/>
    <n v="360.81389294065502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5060     ostatní ZPr - mimo níže uvedené (sk.Z_503)"/>
    <x v="1"/>
    <x v="2"/>
    <n v="230.34484"/>
    <n v="339.74074910516299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5063     ostatní ZPr - vaky, sety (sk.Z_528)"/>
    <x v="13"/>
    <x v="0"/>
    <n v="43.868299999998996"/>
    <n v="55.500655489449002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5063     ostatní ZPr - vaky, sety (sk.Z_528)"/>
    <x v="13"/>
    <x v="1"/>
    <n v="48.781999999999996"/>
    <n v="44.974458070703001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5063     ostatní ZPr - vaky, sety (sk.Z_528)"/>
    <x v="13"/>
    <x v="2"/>
    <n v="39.098999999999997"/>
    <n v="46.277198336628999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5065     ostatní ZPr - vpichovací materiál (sk.Z_530)"/>
    <x v="14"/>
    <x v="0"/>
    <n v="26.348100000000002"/>
    <n v="30.17115844321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5065     ostatní ZPr - vpichovací materiál (sk.Z_530)"/>
    <x v="14"/>
    <x v="1"/>
    <n v="24.278700000000001"/>
    <n v="25.028297445067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5065     ostatní ZPr - vpichovací materiál (sk.Z_530)"/>
    <x v="14"/>
    <x v="2"/>
    <n v="19.923000000000002"/>
    <n v="38.450070621473003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5067     ostatní ZPr - rukavice (sk.Z_532)"/>
    <x v="15"/>
    <x v="0"/>
    <n v="41.541000000000004"/>
    <n v="43.705858223690001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5067     ostatní ZPr - rukavice (sk.Z_532)"/>
    <x v="15"/>
    <x v="1"/>
    <n v="52.816449999999996"/>
    <n v="44.128827301184003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5067     ostatní ZPr - rukavice (sk.Z_532)"/>
    <x v="15"/>
    <x v="2"/>
    <n v="45.439999999999991"/>
    <n v="52.932850322024997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5070     ostatní ZPr - katetry (sk.Z_513)"/>
    <x v="16"/>
    <x v="0"/>
    <n v="4.2845399999999998"/>
    <n v="3.7221829060679998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5070     ostatní ZPr - katetry (sk.Z_513)"/>
    <x v="16"/>
    <x v="1"/>
    <n v="5.3558000000000003"/>
    <n v="4.2845198672239997"/>
  </r>
  <r>
    <s v="03"/>
    <s v="03"/>
    <s v="III. interní klinika - nefrologická, revmatologická a endokrinologická"/>
    <x v="2"/>
    <s v="0311"/>
    <s v="lůžkové oddělení 39A + 39R"/>
    <s v="0311 - lůžkové oddělení 39A + 39R"/>
    <s v="50115070     ostatní ZPr - katetry (sk.Z_513)"/>
    <x v="16"/>
    <x v="2"/>
    <n v="4.0167000000000002"/>
    <n v="7.2267768962770003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3     Léky a léčiva"/>
    <x v="2"/>
    <x v="0"/>
    <n v="4550.5297100000098"/>
    <n v="5143.3983219047605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3     Léky a léčiva"/>
    <x v="2"/>
    <x v="1"/>
    <n v="4637.3279700000021"/>
    <n v="3999.2991176191399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3     Léky a léčiva"/>
    <x v="2"/>
    <x v="2"/>
    <n v="2457.8267500000011"/>
    <n v="4710.4970465983597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3001     léky - paušál+TISS (LEK)"/>
    <x v="3"/>
    <x v="0"/>
    <n v="3671.5515299999997"/>
    <n v="4221.4015777776603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3001     léky - paušál+TISS (LEK)"/>
    <x v="3"/>
    <x v="1"/>
    <n v="3647.7432100000005"/>
    <n v="3387.05439381311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3001     léky - paušál+TISS (LEK)"/>
    <x v="3"/>
    <x v="2"/>
    <n v="1783.2707300000002"/>
    <n v="3585.55980257288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3002     léky - parenterální výživa (LEK)"/>
    <x v="17"/>
    <x v="2"/>
    <n v="22.02535"/>
    <n v="29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3006     léky - enterální výživa (LEK)"/>
    <x v="4"/>
    <x v="0"/>
    <n v="48.367129999999996"/>
    <n v="47.897240067596002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3006     léky - enterální výživa (LEK)"/>
    <x v="4"/>
    <x v="1"/>
    <n v="52.394640000000003"/>
    <n v="48.294868788751003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3006     léky - enterální výživa (LEK)"/>
    <x v="4"/>
    <x v="2"/>
    <n v="10.786390000000003"/>
    <n v="18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3008     léky - krev.deriváty ZUL (TO)"/>
    <x v="5"/>
    <x v="0"/>
    <n v="439.38048000000003"/>
    <n v="502.91990273829799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3008     léky - krev.deriváty ZUL (TO)"/>
    <x v="5"/>
    <x v="1"/>
    <n v="488.4565399999999"/>
    <n v="289.00253761316702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3008     léky - krev.deriváty ZUL (TO)"/>
    <x v="5"/>
    <x v="2"/>
    <n v="367.50099999999998"/>
    <n v="655.90394996454995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3013     léky (paušál) - antibiotika (LEK)"/>
    <x v="7"/>
    <x v="0"/>
    <n v="355.75054"/>
    <n v="335.05730423340202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3013     léky (paušál) - antibiotika (LEK)"/>
    <x v="7"/>
    <x v="1"/>
    <n v="408.20434999999998"/>
    <n v="239.97779421520599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3013     léky (paušál) - antibiotika (LEK)"/>
    <x v="7"/>
    <x v="2"/>
    <n v="263.50910000000005"/>
    <n v="395.35148336577402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3014     léky (paušál) - antimykotika (LEK)"/>
    <x v="8"/>
    <x v="0"/>
    <n v="35.480029999999999"/>
    <n v="36.122297087806999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3014     léky (paušál) - antimykotika (LEK)"/>
    <x v="8"/>
    <x v="1"/>
    <n v="40.529229999999998"/>
    <n v="34.969523188898002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3014     léky (paušál) - antimykotika (LEK)"/>
    <x v="8"/>
    <x v="2"/>
    <n v="10.73418"/>
    <n v="26.681810695159001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5     Zdravotnické prostředky"/>
    <x v="0"/>
    <x v="0"/>
    <n v="422.51796999999999"/>
    <n v="438.71487440530501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5     Zdravotnické prostředky"/>
    <x v="0"/>
    <x v="1"/>
    <n v="467.84357"/>
    <n v="473.55689269516699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5     Zdravotnické prostředky"/>
    <x v="0"/>
    <x v="2"/>
    <n v="338.34801000000004"/>
    <n v="467.98203036436399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5020     diagnostika laboratorní-LEK (sk.Z_501)"/>
    <x v="10"/>
    <x v="0"/>
    <n v="44.75039999999899"/>
    <n v="48.681643215100003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5020     diagnostika laboratorní-LEK (sk.Z_501)"/>
    <x v="10"/>
    <x v="1"/>
    <n v="45.828780000000002"/>
    <n v="44.750352602531997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5020     diagnostika laboratorní-LEK (sk.Z_501)"/>
    <x v="10"/>
    <x v="2"/>
    <n v="31.605920000000005"/>
    <n v="53.892428302519001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5050     obvazový materiál (sk.Z_502)"/>
    <x v="12"/>
    <x v="0"/>
    <n v="54.755899999999002"/>
    <n v="54.572347651645998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5050     obvazový materiál (sk.Z_502)"/>
    <x v="12"/>
    <x v="1"/>
    <n v="63.723829999999992"/>
    <n v="54.880417734523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5050     obvazový materiál (sk.Z_502)"/>
    <x v="12"/>
    <x v="2"/>
    <n v="46.00198000000001"/>
    <n v="62.425140675887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5060     ostatní ZPr - mimo níže uvedené (sk.Z_503)"/>
    <x v="1"/>
    <x v="0"/>
    <n v="204.92604999999998"/>
    <n v="200.64980557837501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5060     ostatní ZPr - mimo níže uvedené (sk.Z_503)"/>
    <x v="1"/>
    <x v="1"/>
    <n v="275.24045999999998"/>
    <n v="259.28872657885802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5060     ostatní ZPr - mimo níže uvedené (sk.Z_503)"/>
    <x v="1"/>
    <x v="2"/>
    <n v="202.13561999999999"/>
    <n v="272.455913807684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5063     ostatní ZPr - vaky, sety (sk.Z_528)"/>
    <x v="13"/>
    <x v="0"/>
    <n v="33.795999999999999"/>
    <n v="35.150336748443003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5063     ostatní ZPr - vaky, sety (sk.Z_528)"/>
    <x v="13"/>
    <x v="1"/>
    <n v="36.4985"/>
    <n v="33.107385336771003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5063     ostatní ZPr - vaky, sety (sk.Z_528)"/>
    <x v="13"/>
    <x v="2"/>
    <n v="26.376500000000004"/>
    <n v="33.508383300848003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5064     ostatní ZPr - šicí materiál (sk.Z_529)"/>
    <x v="21"/>
    <x v="0"/>
    <n v="3.7669800000000002"/>
    <n v="4.612561984689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5064     ostatní ZPr - šicí materiál (sk.Z_529)"/>
    <x v="21"/>
    <x v="1"/>
    <n v="0"/>
    <n v="1.6932216844929999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5065     ostatní ZPr - vpichovací materiál (sk.Z_530)"/>
    <x v="14"/>
    <x v="0"/>
    <n v="33.564219999999999"/>
    <n v="34.096468721836999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5065     ostatní ZPr - vpichovací materiál (sk.Z_530)"/>
    <x v="14"/>
    <x v="1"/>
    <n v="20.775600000000004"/>
    <n v="33.430707644484997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5065     ostatní ZPr - vpichovací materiál (sk.Z_530)"/>
    <x v="14"/>
    <x v="2"/>
    <n v="10.42484"/>
    <n v="20.414059964073001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5067     ostatní ZPr - rukavice (sk.Z_532)"/>
    <x v="15"/>
    <x v="0"/>
    <n v="31.640799999999"/>
    <n v="38.855308954515998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5067     ostatní ZPr - rukavice (sk.Z_532)"/>
    <x v="15"/>
    <x v="1"/>
    <n v="25.776400000000002"/>
    <n v="32.088532551566999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5067     ostatní ZPr - rukavice (sk.Z_532)"/>
    <x v="15"/>
    <x v="2"/>
    <n v="21.0349"/>
    <n v="25.286104313351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5070     ostatní ZPr - katetry (sk.Z_513)"/>
    <x v="16"/>
    <x v="0"/>
    <n v="15.317620000000002"/>
    <n v="22.096401550696001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5070     ostatní ZPr - katetry (sk.Z_513)"/>
    <x v="16"/>
    <x v="1"/>
    <n v="0"/>
    <n v="14.317548561936"/>
  </r>
  <r>
    <s v="03"/>
    <s v="03"/>
    <s v="III. interní klinika - nefrologická, revmatologická a endokrinologická"/>
    <x v="2"/>
    <s v="0312"/>
    <s v="lůžkové oddělení 39B + 39C"/>
    <s v="0312 - lůžkové oddělení 39B + 39C"/>
    <s v="50115079     ostatní ZPr - intenzivní péče (sk.Z_542)"/>
    <x v="18"/>
    <x v="2"/>
    <n v="0.76824999999999999"/>
    <n v="0"/>
  </r>
  <r>
    <s v="03"/>
    <s v="03"/>
    <s v="III. interní klinika - nefrologická, revmatologická a endokrinologická"/>
    <x v="2"/>
    <s v="0321"/>
    <s v="ambulance"/>
    <s v="0321 - ambulance"/>
    <s v="50113     Léky a léčiva"/>
    <x v="2"/>
    <x v="0"/>
    <n v="5355.5363400000024"/>
    <n v="4853.0611780074596"/>
  </r>
  <r>
    <s v="03"/>
    <s v="03"/>
    <s v="III. interní klinika - nefrologická, revmatologická a endokrinologická"/>
    <x v="2"/>
    <s v="0321"/>
    <s v="ambulance"/>
    <s v="0321 - ambulance"/>
    <s v="50113     Léky a léčiva"/>
    <x v="2"/>
    <x v="1"/>
    <n v="5963.8335300000017"/>
    <n v="5223.4619732240299"/>
  </r>
  <r>
    <s v="03"/>
    <s v="03"/>
    <s v="III. interní klinika - nefrologická, revmatologická a endokrinologická"/>
    <x v="2"/>
    <s v="0321"/>
    <s v="ambulance"/>
    <s v="0321 - ambulance"/>
    <s v="50113     Léky a léčiva"/>
    <x v="2"/>
    <x v="2"/>
    <n v="3406.25018"/>
    <n v="8362.8845064640609"/>
  </r>
  <r>
    <s v="03"/>
    <s v="03"/>
    <s v="III. interní klinika - nefrologická, revmatologická a endokrinologická"/>
    <x v="2"/>
    <s v="0321"/>
    <s v="ambulance"/>
    <s v="0321 - ambulance"/>
    <s v="50113001     léky - paušál+TISS (LEK)"/>
    <x v="3"/>
    <x v="0"/>
    <n v="5345.1955000000034"/>
    <n v="4853.0167839803298"/>
  </r>
  <r>
    <s v="03"/>
    <s v="03"/>
    <s v="III. interní klinika - nefrologická, revmatologická a endokrinologická"/>
    <x v="2"/>
    <s v="0321"/>
    <s v="ambulance"/>
    <s v="0321 - ambulance"/>
    <s v="50113001     léky - paušál+TISS (LEK)"/>
    <x v="3"/>
    <x v="1"/>
    <n v="5438.8897400000014"/>
    <n v="5217.4625499976601"/>
  </r>
  <r>
    <s v="03"/>
    <s v="03"/>
    <s v="III. interní klinika - nefrologická, revmatologická a endokrinologická"/>
    <x v="2"/>
    <s v="0321"/>
    <s v="ambulance"/>
    <s v="0321 - ambulance"/>
    <s v="50113001     léky - paušál+TISS (LEK)"/>
    <x v="3"/>
    <x v="2"/>
    <n v="3405.4775499999996"/>
    <n v="4908.2300376995599"/>
  </r>
  <r>
    <s v="03"/>
    <s v="03"/>
    <s v="III. interní klinika - nefrologická, revmatologická a endokrinologická"/>
    <x v="2"/>
    <s v="0321"/>
    <s v="ambulance"/>
    <s v="0321 - ambulance"/>
    <s v="50113008     léky - krev.deriváty ZUL (TO)"/>
    <x v="5"/>
    <x v="1"/>
    <n v="9.8527799999999992"/>
    <n v="0"/>
  </r>
  <r>
    <s v="03"/>
    <s v="03"/>
    <s v="III. interní klinika - nefrologická, revmatologická a endokrinologická"/>
    <x v="2"/>
    <s v="0321"/>
    <s v="ambulance"/>
    <s v="0321 - ambulance"/>
    <s v="50113008     léky - krev.deriváty ZUL (TO)"/>
    <x v="5"/>
    <x v="2"/>
    <n v="0"/>
    <n v="10.445255227383999"/>
  </r>
  <r>
    <s v="03"/>
    <s v="03"/>
    <s v="III. interní klinika - nefrologická, revmatologická a endokrinologická"/>
    <x v="2"/>
    <s v="0321"/>
    <s v="ambulance"/>
    <s v="0321 - ambulance"/>
    <s v="50113013     léky (paušál) - antibiotika (LEK)"/>
    <x v="7"/>
    <x v="0"/>
    <n v="10.34084"/>
    <n v="4.4394027129999999E-2"/>
  </r>
  <r>
    <s v="03"/>
    <s v="03"/>
    <s v="III. interní klinika - nefrologická, revmatologická a endokrinologická"/>
    <x v="2"/>
    <s v="0321"/>
    <s v="ambulance"/>
    <s v="0321 - ambulance"/>
    <s v="50113013     léky (paušál) - antibiotika (LEK)"/>
    <x v="7"/>
    <x v="1"/>
    <n v="1.2609400000000002"/>
    <n v="5.9994232263680001"/>
  </r>
  <r>
    <s v="03"/>
    <s v="03"/>
    <s v="III. interní klinika - nefrologická, revmatologická a endokrinologická"/>
    <x v="2"/>
    <s v="0321"/>
    <s v="ambulance"/>
    <s v="0321 - ambulance"/>
    <s v="50113013     léky (paušál) - antibiotika (LEK)"/>
    <x v="7"/>
    <x v="2"/>
    <n v="0.77263000000000004"/>
    <n v="1.0900838917919999"/>
  </r>
  <r>
    <s v="03"/>
    <s v="03"/>
    <s v="III. interní klinika - nefrologická, revmatologická a endokrinologická"/>
    <x v="2"/>
    <s v="0321"/>
    <s v="ambulance"/>
    <s v="0321 - ambulance"/>
    <s v="50113017     léky - dle §16 (LEK)"/>
    <x v="40"/>
    <x v="1"/>
    <n v="513.83006999999998"/>
    <n v="0"/>
  </r>
  <r>
    <s v="03"/>
    <s v="03"/>
    <s v="III. interní klinika - nefrologická, revmatologická a endokrinologická"/>
    <x v="2"/>
    <s v="0321"/>
    <s v="ambulance"/>
    <s v="0321 - ambulance"/>
    <s v="50113017     léky - dle §16 (LEK)"/>
    <x v="40"/>
    <x v="2"/>
    <n v="0"/>
    <n v="3443.1191296453298"/>
  </r>
  <r>
    <s v="03"/>
    <s v="03"/>
    <s v="III. interní klinika - nefrologická, revmatologická a endokrinologická"/>
    <x v="2"/>
    <s v="0321"/>
    <s v="ambulance"/>
    <s v="0321 - ambulance"/>
    <s v="50115     Zdravotnické prostředky"/>
    <x v="0"/>
    <x v="0"/>
    <n v="422.73521999999991"/>
    <n v="389.723605926728"/>
  </r>
  <r>
    <s v="03"/>
    <s v="03"/>
    <s v="III. interní klinika - nefrologická, revmatologická a endokrinologická"/>
    <x v="2"/>
    <s v="0321"/>
    <s v="ambulance"/>
    <s v="0321 - ambulance"/>
    <s v="50115     Zdravotnické prostředky"/>
    <x v="0"/>
    <x v="1"/>
    <n v="425.86680999999999"/>
    <n v="426.95285547061297"/>
  </r>
  <r>
    <s v="03"/>
    <s v="03"/>
    <s v="III. interní klinika - nefrologická, revmatologická a endokrinologická"/>
    <x v="2"/>
    <s v="0321"/>
    <s v="ambulance"/>
    <s v="0321 - ambulance"/>
    <s v="50115     Zdravotnické prostředky"/>
    <x v="0"/>
    <x v="2"/>
    <n v="265.42113999999998"/>
    <n v="407.21679432202302"/>
  </r>
  <r>
    <s v="03"/>
    <s v="03"/>
    <s v="III. interní klinika - nefrologická, revmatologická a endokrinologická"/>
    <x v="2"/>
    <s v="0321"/>
    <s v="ambulance"/>
    <s v="0321 - ambulance"/>
    <s v="50115020     diagnostika laboratorní-LEK (sk.Z_501)"/>
    <x v="10"/>
    <x v="0"/>
    <n v="4.4285700000000006"/>
    <n v="0"/>
  </r>
  <r>
    <s v="03"/>
    <s v="03"/>
    <s v="III. interní klinika - nefrologická, revmatologická a endokrinologická"/>
    <x v="2"/>
    <s v="0321"/>
    <s v="ambulance"/>
    <s v="0321 - ambulance"/>
    <s v="50115020     diagnostika laboratorní-LEK (sk.Z_501)"/>
    <x v="10"/>
    <x v="1"/>
    <n v="4.6718999999999999"/>
    <n v="4.4285653094719999"/>
  </r>
  <r>
    <s v="03"/>
    <s v="03"/>
    <s v="III. interní klinika - nefrologická, revmatologická a endokrinologická"/>
    <x v="2"/>
    <s v="0321"/>
    <s v="ambulance"/>
    <s v="0321 - ambulance"/>
    <s v="50115040     laboratorní materiál (sk.Z_505)"/>
    <x v="11"/>
    <x v="0"/>
    <n v="3.1465000000000001"/>
    <n v="2.8498422938360002"/>
  </r>
  <r>
    <s v="03"/>
    <s v="03"/>
    <s v="III. interní klinika - nefrologická, revmatologická a endokrinologická"/>
    <x v="2"/>
    <s v="0321"/>
    <s v="ambulance"/>
    <s v="0321 - ambulance"/>
    <s v="50115040     laboratorní materiál (sk.Z_505)"/>
    <x v="11"/>
    <x v="1"/>
    <n v="1.9410000000000001"/>
    <n v="3.1466989161360002"/>
  </r>
  <r>
    <s v="03"/>
    <s v="03"/>
    <s v="III. interní klinika - nefrologická, revmatologická a endokrinologická"/>
    <x v="2"/>
    <s v="0321"/>
    <s v="ambulance"/>
    <s v="0321 - ambulance"/>
    <s v="50115040     laboratorní materiál (sk.Z_505)"/>
    <x v="11"/>
    <x v="2"/>
    <n v="0.64951999999999999"/>
    <n v="3.363353003456"/>
  </r>
  <r>
    <s v="03"/>
    <s v="03"/>
    <s v="III. interní klinika - nefrologická, revmatologická a endokrinologická"/>
    <x v="2"/>
    <s v="0321"/>
    <s v="ambulance"/>
    <s v="0321 - ambulance"/>
    <s v="50115050     obvazový materiál (sk.Z_502)"/>
    <x v="12"/>
    <x v="0"/>
    <n v="26.205809999999001"/>
    <n v="26.236725332926"/>
  </r>
  <r>
    <s v="03"/>
    <s v="03"/>
    <s v="III. interní klinika - nefrologická, revmatologická a endokrinologická"/>
    <x v="2"/>
    <s v="0321"/>
    <s v="ambulance"/>
    <s v="0321 - ambulance"/>
    <s v="50115050     obvazový materiál (sk.Z_502)"/>
    <x v="12"/>
    <x v="1"/>
    <n v="22.99428"/>
    <n v="26.265403360579"/>
  </r>
  <r>
    <s v="03"/>
    <s v="03"/>
    <s v="III. interní klinika - nefrologická, revmatologická a endokrinologická"/>
    <x v="2"/>
    <s v="0321"/>
    <s v="ambulance"/>
    <s v="0321 - ambulance"/>
    <s v="50115050     obvazový materiál (sk.Z_502)"/>
    <x v="12"/>
    <x v="2"/>
    <n v="24.49663"/>
    <n v="17.886889168180002"/>
  </r>
  <r>
    <s v="03"/>
    <s v="03"/>
    <s v="III. interní klinika - nefrologická, revmatologická a endokrinologická"/>
    <x v="2"/>
    <s v="0321"/>
    <s v="ambulance"/>
    <s v="0321 - ambulance"/>
    <s v="50115060     ostatní ZPr - mimo níže uvedené (sk.Z_503)"/>
    <x v="1"/>
    <x v="0"/>
    <n v="212.80851000000001"/>
    <n v="183.19982179555299"/>
  </r>
  <r>
    <s v="03"/>
    <s v="03"/>
    <s v="III. interní klinika - nefrologická, revmatologická a endokrinologická"/>
    <x v="2"/>
    <s v="0321"/>
    <s v="ambulance"/>
    <s v="0321 - ambulance"/>
    <s v="50115060     ostatní ZPr - mimo níže uvedené (sk.Z_503)"/>
    <x v="1"/>
    <x v="1"/>
    <n v="270.02562"/>
    <n v="212.806906841097"/>
  </r>
  <r>
    <s v="03"/>
    <s v="03"/>
    <s v="III. interní klinika - nefrologická, revmatologická a endokrinologická"/>
    <x v="2"/>
    <s v="0321"/>
    <s v="ambulance"/>
    <s v="0321 - ambulance"/>
    <s v="50115060     ostatní ZPr - mimo níže uvedené (sk.Z_503)"/>
    <x v="1"/>
    <x v="2"/>
    <n v="180.43739000000002"/>
    <n v="221.940845844535"/>
  </r>
  <r>
    <s v="03"/>
    <s v="03"/>
    <s v="III. interní klinika - nefrologická, revmatologická a endokrinologická"/>
    <x v="2"/>
    <s v="0321"/>
    <s v="ambulance"/>
    <s v="0321 - ambulance"/>
    <s v="50115063     ostatní ZPr - vaky, sety (sk.Z_528)"/>
    <x v="13"/>
    <x v="0"/>
    <n v="5.3163999999999998"/>
    <n v="5.7000607700829997"/>
  </r>
  <r>
    <s v="03"/>
    <s v="03"/>
    <s v="III. interní klinika - nefrologická, revmatologická a endokrinologická"/>
    <x v="2"/>
    <s v="0321"/>
    <s v="ambulance"/>
    <s v="0321 - ambulance"/>
    <s v="50115063     ostatní ZPr - vaky, sety (sk.Z_528)"/>
    <x v="13"/>
    <x v="1"/>
    <n v="5.8824000000000005"/>
    <n v="5.2080750208420001"/>
  </r>
  <r>
    <s v="03"/>
    <s v="03"/>
    <s v="III. interní klinika - nefrologická, revmatologická a endokrinologická"/>
    <x v="2"/>
    <s v="0321"/>
    <s v="ambulance"/>
    <s v="0321 - ambulance"/>
    <s v="50115063     ostatní ZPr - vaky, sety (sk.Z_528)"/>
    <x v="13"/>
    <x v="2"/>
    <n v="7.3510000000000009"/>
    <n v="4.0885923015700003"/>
  </r>
  <r>
    <s v="03"/>
    <s v="03"/>
    <s v="III. interní klinika - nefrologická, revmatologická a endokrinologická"/>
    <x v="2"/>
    <s v="0321"/>
    <s v="ambulance"/>
    <s v="0321 - ambulance"/>
    <s v="50115065     ostatní ZPr - vpichovací materiál (sk.Z_530)"/>
    <x v="14"/>
    <x v="0"/>
    <n v="158.62943000000001"/>
    <n v="158.672893274628"/>
  </r>
  <r>
    <s v="03"/>
    <s v="03"/>
    <s v="III. interní klinika - nefrologická, revmatologická a endokrinologická"/>
    <x v="2"/>
    <s v="0321"/>
    <s v="ambulance"/>
    <s v="0321 - ambulance"/>
    <s v="50115065     ostatní ZPr - vpichovací materiál (sk.Z_530)"/>
    <x v="14"/>
    <x v="1"/>
    <n v="108.38351000000002"/>
    <n v="162.72457014952701"/>
  </r>
  <r>
    <s v="03"/>
    <s v="03"/>
    <s v="III. interní klinika - nefrologická, revmatologická a endokrinologická"/>
    <x v="2"/>
    <s v="0321"/>
    <s v="ambulance"/>
    <s v="0321 - ambulance"/>
    <s v="50115065     ostatní ZPr - vpichovací materiál (sk.Z_530)"/>
    <x v="14"/>
    <x v="2"/>
    <n v="41.595599999999997"/>
    <n v="148.10057751874501"/>
  </r>
  <r>
    <s v="03"/>
    <s v="03"/>
    <s v="III. interní klinika - nefrologická, revmatologická a endokrinologická"/>
    <x v="2"/>
    <s v="0321"/>
    <s v="ambulance"/>
    <s v="0321 - ambulance"/>
    <s v="50115067     ostatní ZPr - rukavice (sk.Z_532)"/>
    <x v="15"/>
    <x v="0"/>
    <n v="12.199999999999001"/>
    <n v="13.064262459701"/>
  </r>
  <r>
    <s v="03"/>
    <s v="03"/>
    <s v="III. interní klinika - nefrologická, revmatologická a endokrinologická"/>
    <x v="2"/>
    <s v="0321"/>
    <s v="ambulance"/>
    <s v="0321 - ambulance"/>
    <s v="50115067     ostatní ZPr - rukavice (sk.Z_532)"/>
    <x v="15"/>
    <x v="1"/>
    <n v="11.9681"/>
    <n v="12.372635872959"/>
  </r>
  <r>
    <s v="03"/>
    <s v="03"/>
    <s v="III. interní klinika - nefrologická, revmatologická a endokrinologická"/>
    <x v="2"/>
    <s v="0321"/>
    <s v="ambulance"/>
    <s v="0321 - ambulance"/>
    <s v="50115067     ostatní ZPr - rukavice (sk.Z_532)"/>
    <x v="15"/>
    <x v="2"/>
    <n v="10.891"/>
    <n v="11.836536485533999"/>
  </r>
  <r>
    <s v="03"/>
    <s v="03"/>
    <s v="III. interní klinika - nefrologická, revmatologická a endokrinologická"/>
    <x v="2"/>
    <s v="0331"/>
    <s v="JIP 39D"/>
    <s v="0331 - JIP 39D"/>
    <s v="50113     Léky a léčiva"/>
    <x v="2"/>
    <x v="0"/>
    <n v="1444.6500400000009"/>
    <n v="2220.5763626277098"/>
  </r>
  <r>
    <s v="03"/>
    <s v="03"/>
    <s v="III. interní klinika - nefrologická, revmatologická a endokrinologická"/>
    <x v="2"/>
    <s v="0331"/>
    <s v="JIP 39D"/>
    <s v="0331 - JIP 39D"/>
    <s v="50113     Léky a léčiva"/>
    <x v="2"/>
    <x v="1"/>
    <n v="1412.9175"/>
    <n v="1344.81728719477"/>
  </r>
  <r>
    <s v="03"/>
    <s v="03"/>
    <s v="III. interní klinika - nefrologická, revmatologická a endokrinologická"/>
    <x v="2"/>
    <s v="0331"/>
    <s v="JIP 39D"/>
    <s v="0331 - JIP 39D"/>
    <s v="50113     Léky a léčiva"/>
    <x v="2"/>
    <x v="2"/>
    <n v="972.40904999999998"/>
    <n v="1297.29794720722"/>
  </r>
  <r>
    <s v="03"/>
    <s v="03"/>
    <s v="III. interní klinika - nefrologická, revmatologická a endokrinologická"/>
    <x v="2"/>
    <s v="0331"/>
    <s v="JIP 39D"/>
    <s v="0331 - JIP 39D"/>
    <s v="50113001     léky - paušál+TISS (LEK)"/>
    <x v="3"/>
    <x v="0"/>
    <n v="784.64688000000001"/>
    <n v="1019.1558968627101"/>
  </r>
  <r>
    <s v="03"/>
    <s v="03"/>
    <s v="III. interní klinika - nefrologická, revmatologická a endokrinologická"/>
    <x v="2"/>
    <s v="0331"/>
    <s v="JIP 39D"/>
    <s v="0331 - JIP 39D"/>
    <s v="50113001     léky - paušál+TISS (LEK)"/>
    <x v="3"/>
    <x v="1"/>
    <n v="785.65485999999987"/>
    <n v="780.32138099352301"/>
  </r>
  <r>
    <s v="03"/>
    <s v="03"/>
    <s v="III. interní klinika - nefrologická, revmatologická a endokrinologická"/>
    <x v="2"/>
    <s v="0331"/>
    <s v="JIP 39D"/>
    <s v="0331 - JIP 39D"/>
    <s v="50113001     léky - paušál+TISS (LEK)"/>
    <x v="3"/>
    <x v="2"/>
    <n v="600.86384999999996"/>
    <n v="698.00590936933997"/>
  </r>
  <r>
    <s v="03"/>
    <s v="03"/>
    <s v="III. interní klinika - nefrologická, revmatologická a endokrinologická"/>
    <x v="2"/>
    <s v="0331"/>
    <s v="JIP 39D"/>
    <s v="0331 - JIP 39D"/>
    <s v="50113002     léky - parenterální výživa (LEK)"/>
    <x v="17"/>
    <x v="2"/>
    <n v="98.003680000000003"/>
    <n v="131"/>
  </r>
  <r>
    <s v="03"/>
    <s v="03"/>
    <s v="III. interní klinika - nefrologická, revmatologická a endokrinologická"/>
    <x v="2"/>
    <s v="0331"/>
    <s v="JIP 39D"/>
    <s v="0331 - JIP 39D"/>
    <s v="50113006     léky - enterální výživa (LEK)"/>
    <x v="4"/>
    <x v="0"/>
    <n v="177.32330000000101"/>
    <n v="375.42926481110999"/>
  </r>
  <r>
    <s v="03"/>
    <s v="03"/>
    <s v="III. interní klinika - nefrologická, revmatologická a endokrinologická"/>
    <x v="2"/>
    <s v="0331"/>
    <s v="JIP 39D"/>
    <s v="0331 - JIP 39D"/>
    <s v="50113006     léky - enterální výživa (LEK)"/>
    <x v="4"/>
    <x v="1"/>
    <n v="176.28917999999999"/>
    <n v="177.05837635370099"/>
  </r>
  <r>
    <s v="03"/>
    <s v="03"/>
    <s v="III. interní klinika - nefrologická, revmatologická a endokrinologická"/>
    <x v="2"/>
    <s v="0331"/>
    <s v="JIP 39D"/>
    <s v="0331 - JIP 39D"/>
    <s v="50113006     léky - enterální výživa (LEK)"/>
    <x v="4"/>
    <x v="2"/>
    <n v="25.45496"/>
    <n v="35"/>
  </r>
  <r>
    <s v="03"/>
    <s v="03"/>
    <s v="III. interní klinika - nefrologická, revmatologická a endokrinologická"/>
    <x v="2"/>
    <s v="0331"/>
    <s v="JIP 39D"/>
    <s v="0331 - JIP 39D"/>
    <s v="50113008     léky - krev.deriváty ZUL (TO)"/>
    <x v="5"/>
    <x v="0"/>
    <n v="88.503179999999986"/>
    <n v="90.490076331409995"/>
  </r>
  <r>
    <s v="03"/>
    <s v="03"/>
    <s v="III. interní klinika - nefrologická, revmatologická a endokrinologická"/>
    <x v="2"/>
    <s v="0331"/>
    <s v="JIP 39D"/>
    <s v="0331 - JIP 39D"/>
    <s v="50113008     léky - krev.deriváty ZUL (TO)"/>
    <x v="5"/>
    <x v="1"/>
    <n v="38.011139999999997"/>
    <n v="89.000781479487003"/>
  </r>
  <r>
    <s v="03"/>
    <s v="03"/>
    <s v="III. interní klinika - nefrologická, revmatologická a endokrinologická"/>
    <x v="2"/>
    <s v="0331"/>
    <s v="JIP 39D"/>
    <s v="0331 - JIP 39D"/>
    <s v="50113008     léky - krev.deriváty ZUL (TO)"/>
    <x v="5"/>
    <x v="2"/>
    <n v="36.741900000000001"/>
    <n v="35.581300700108002"/>
  </r>
  <r>
    <s v="03"/>
    <s v="03"/>
    <s v="III. interní klinika - nefrologická, revmatologická a endokrinologická"/>
    <x v="2"/>
    <s v="0331"/>
    <s v="JIP 39D"/>
    <s v="0331 - JIP 39D"/>
    <s v="50113012     léky - trombolýza (LEK)"/>
    <x v="19"/>
    <x v="0"/>
    <n v="20.84703"/>
    <n v="28.283698701349"/>
  </r>
  <r>
    <s v="03"/>
    <s v="03"/>
    <s v="III. interní klinika - nefrologická, revmatologická a endokrinologická"/>
    <x v="2"/>
    <s v="0331"/>
    <s v="JIP 39D"/>
    <s v="0331 - JIP 39D"/>
    <s v="50113012     léky - trombolýza (LEK)"/>
    <x v="19"/>
    <x v="1"/>
    <n v="5.2334199999999997"/>
    <n v="23.000803663591999"/>
  </r>
  <r>
    <s v="03"/>
    <s v="03"/>
    <s v="III. interní klinika - nefrologická, revmatologická a endokrinologická"/>
    <x v="2"/>
    <s v="0331"/>
    <s v="JIP 39D"/>
    <s v="0331 - JIP 39D"/>
    <s v="50113013     léky (paušál) - antibiotika (LEK)"/>
    <x v="7"/>
    <x v="0"/>
    <n v="254.64409000000001"/>
    <n v="466.37409129735101"/>
  </r>
  <r>
    <s v="03"/>
    <s v="03"/>
    <s v="III. interní klinika - nefrologická, revmatologická a endokrinologická"/>
    <x v="2"/>
    <s v="0331"/>
    <s v="JIP 39D"/>
    <s v="0331 - JIP 39D"/>
    <s v="50113013     léky (paušál) - antibiotika (LEK)"/>
    <x v="7"/>
    <x v="1"/>
    <n v="237.74665999999999"/>
    <n v="160.98452324090101"/>
  </r>
  <r>
    <s v="03"/>
    <s v="03"/>
    <s v="III. interní klinika - nefrologická, revmatologická a endokrinologická"/>
    <x v="2"/>
    <s v="0331"/>
    <s v="JIP 39D"/>
    <s v="0331 - JIP 39D"/>
    <s v="50113013     léky (paušál) - antibiotika (LEK)"/>
    <x v="7"/>
    <x v="2"/>
    <n v="114.52338"/>
    <n v="220.67609160385999"/>
  </r>
  <r>
    <s v="03"/>
    <s v="03"/>
    <s v="III. interní klinika - nefrologická, revmatologická a endokrinologická"/>
    <x v="2"/>
    <s v="0331"/>
    <s v="JIP 39D"/>
    <s v="0331 - JIP 39D"/>
    <s v="50113014     léky (paušál) - antimykotika (LEK)"/>
    <x v="8"/>
    <x v="0"/>
    <n v="20.544409999999999"/>
    <n v="141.79117338244001"/>
  </r>
  <r>
    <s v="03"/>
    <s v="03"/>
    <s v="III. interní klinika - nefrologická, revmatologická a endokrinologická"/>
    <x v="2"/>
    <s v="0331"/>
    <s v="JIP 39D"/>
    <s v="0331 - JIP 39D"/>
    <s v="50113014     léky (paušál) - antimykotika (LEK)"/>
    <x v="8"/>
    <x v="1"/>
    <n v="74.945039999999992"/>
    <n v="20.557704109787998"/>
  </r>
  <r>
    <s v="03"/>
    <s v="03"/>
    <s v="III. interní klinika - nefrologická, revmatologická a endokrinologická"/>
    <x v="2"/>
    <s v="0331"/>
    <s v="JIP 39D"/>
    <s v="0331 - JIP 39D"/>
    <s v="50113014     léky (paušál) - antimykotika (LEK)"/>
    <x v="8"/>
    <x v="2"/>
    <n v="27.840980000000005"/>
    <n v="80.607138389040998"/>
  </r>
  <r>
    <s v="03"/>
    <s v="03"/>
    <s v="III. interní klinika - nefrologická, revmatologická a endokrinologická"/>
    <x v="2"/>
    <s v="0331"/>
    <s v="JIP 39D"/>
    <s v="0331 - JIP 39D"/>
    <s v="50113190     medicinální plyny"/>
    <x v="9"/>
    <x v="0"/>
    <n v="98.141149999999016"/>
    <n v="99.052161241345004"/>
  </r>
  <r>
    <s v="03"/>
    <s v="03"/>
    <s v="III. interní klinika - nefrologická, revmatologická a endokrinologická"/>
    <x v="2"/>
    <s v="0331"/>
    <s v="JIP 39D"/>
    <s v="0331 - JIP 39D"/>
    <s v="50113190     medicinální plyny"/>
    <x v="9"/>
    <x v="1"/>
    <n v="95.037199999999984"/>
    <n v="93.893717353773994"/>
  </r>
  <r>
    <s v="03"/>
    <s v="03"/>
    <s v="III. interní klinika - nefrologická, revmatologická a endokrinologická"/>
    <x v="2"/>
    <s v="0331"/>
    <s v="JIP 39D"/>
    <s v="0331 - JIP 39D"/>
    <s v="50113190     medicinální plyny"/>
    <x v="9"/>
    <x v="2"/>
    <n v="68.9803"/>
    <n v="96.427507144863995"/>
  </r>
  <r>
    <s v="03"/>
    <s v="03"/>
    <s v="III. interní klinika - nefrologická, revmatologická a endokrinologická"/>
    <x v="2"/>
    <s v="0331"/>
    <s v="JIP 39D"/>
    <s v="0331 - JIP 39D"/>
    <s v="50115     Zdravotnické prostředky"/>
    <x v="0"/>
    <x v="0"/>
    <n v="647.31949999999892"/>
    <n v="757.24137713415405"/>
  </r>
  <r>
    <s v="03"/>
    <s v="03"/>
    <s v="III. interní klinika - nefrologická, revmatologická a endokrinologická"/>
    <x v="2"/>
    <s v="0331"/>
    <s v="JIP 39D"/>
    <s v="0331 - JIP 39D"/>
    <s v="50115     Zdravotnické prostředky"/>
    <x v="0"/>
    <x v="1"/>
    <n v="638.94256999999993"/>
    <n v="647.82943656926398"/>
  </r>
  <r>
    <s v="03"/>
    <s v="03"/>
    <s v="III. interní klinika - nefrologická, revmatologická a endokrinologická"/>
    <x v="2"/>
    <s v="0331"/>
    <s v="JIP 39D"/>
    <s v="0331 - JIP 39D"/>
    <s v="50115     Zdravotnické prostředky"/>
    <x v="0"/>
    <x v="2"/>
    <n v="407.38013000000001"/>
    <n v="567.40093762252104"/>
  </r>
  <r>
    <s v="03"/>
    <s v="03"/>
    <s v="III. interní klinika - nefrologická, revmatologická a endokrinologická"/>
    <x v="2"/>
    <s v="0331"/>
    <s v="JIP 39D"/>
    <s v="0331 - JIP 39D"/>
    <s v="50115020     diagnostika laboratorní-LEK (sk.Z_501)"/>
    <x v="10"/>
    <x v="0"/>
    <n v="18.126989999999999"/>
    <n v="22.044519833252"/>
  </r>
  <r>
    <s v="03"/>
    <s v="03"/>
    <s v="III. interní klinika - nefrologická, revmatologická a endokrinologická"/>
    <x v="2"/>
    <s v="0331"/>
    <s v="JIP 39D"/>
    <s v="0331 - JIP 39D"/>
    <s v="50115020     diagnostika laboratorní-LEK (sk.Z_501)"/>
    <x v="10"/>
    <x v="1"/>
    <n v="17.840609999999998"/>
    <n v="18.126970800765001"/>
  </r>
  <r>
    <s v="03"/>
    <s v="03"/>
    <s v="III. interní klinika - nefrologická, revmatologická a endokrinologická"/>
    <x v="2"/>
    <s v="0331"/>
    <s v="JIP 39D"/>
    <s v="0331 - JIP 39D"/>
    <s v="50115020     diagnostika laboratorní-LEK (sk.Z_501)"/>
    <x v="10"/>
    <x v="2"/>
    <n v="7.9580000000000002"/>
    <n v="11.958089623349"/>
  </r>
  <r>
    <s v="03"/>
    <s v="03"/>
    <s v="III. interní klinika - nefrologická, revmatologická a endokrinologická"/>
    <x v="2"/>
    <s v="0331"/>
    <s v="JIP 39D"/>
    <s v="0331 - JIP 39D"/>
    <s v="50115040     laboratorní materiál (sk.Z_505)"/>
    <x v="11"/>
    <x v="0"/>
    <n v="4.0083199999999994"/>
    <n v="3.7997517272180001"/>
  </r>
  <r>
    <s v="03"/>
    <s v="03"/>
    <s v="III. interní klinika - nefrologická, revmatologická a endokrinologická"/>
    <x v="2"/>
    <s v="0331"/>
    <s v="JIP 39D"/>
    <s v="0331 - JIP 39D"/>
    <s v="50115040     laboratorní materiál (sk.Z_505)"/>
    <x v="11"/>
    <x v="1"/>
    <n v="0.27700000000000002"/>
    <n v="4.0085733988639998"/>
  </r>
  <r>
    <s v="03"/>
    <s v="03"/>
    <s v="III. interní klinika - nefrologická, revmatologická a endokrinologická"/>
    <x v="2"/>
    <s v="0331"/>
    <s v="JIP 39D"/>
    <s v="0331 - JIP 39D"/>
    <s v="50115040     laboratorní materiál (sk.Z_505)"/>
    <x v="11"/>
    <x v="2"/>
    <n v="0.64071999999999996"/>
    <n v="0.57072124931699997"/>
  </r>
  <r>
    <s v="03"/>
    <s v="03"/>
    <s v="III. interní klinika - nefrologická, revmatologická a endokrinologická"/>
    <x v="2"/>
    <s v="0331"/>
    <s v="JIP 39D"/>
    <s v="0331 - JIP 39D"/>
    <s v="50115050     obvazový materiál (sk.Z_502)"/>
    <x v="12"/>
    <x v="0"/>
    <n v="66.842379999999991"/>
    <n v="65.236990565479999"/>
  </r>
  <r>
    <s v="03"/>
    <s v="03"/>
    <s v="III. interní klinika - nefrologická, revmatologická a endokrinologická"/>
    <x v="2"/>
    <s v="0331"/>
    <s v="JIP 39D"/>
    <s v="0331 - JIP 39D"/>
    <s v="50115050     obvazový materiál (sk.Z_502)"/>
    <x v="12"/>
    <x v="1"/>
    <n v="57.101179999999999"/>
    <n v="66.994383012054001"/>
  </r>
  <r>
    <s v="03"/>
    <s v="03"/>
    <s v="III. interní klinika - nefrologická, revmatologická a endokrinologická"/>
    <x v="2"/>
    <s v="0331"/>
    <s v="JIP 39D"/>
    <s v="0331 - JIP 39D"/>
    <s v="50115050     obvazový materiál (sk.Z_502)"/>
    <x v="12"/>
    <x v="2"/>
    <n v="47.290019999999998"/>
    <n v="50.416231976185998"/>
  </r>
  <r>
    <s v="03"/>
    <s v="03"/>
    <s v="III. interní klinika - nefrologická, revmatologická a endokrinologická"/>
    <x v="2"/>
    <s v="0331"/>
    <s v="JIP 39D"/>
    <s v="0331 - JIP 39D"/>
    <s v="50115060     ostatní ZPr - mimo níže uvedené (sk.Z_503)"/>
    <x v="1"/>
    <x v="0"/>
    <n v="372.69978000000003"/>
    <n v="436.99960244403599"/>
  </r>
  <r>
    <s v="03"/>
    <s v="03"/>
    <s v="III. interní klinika - nefrologická, revmatologická a endokrinologická"/>
    <x v="2"/>
    <s v="0331"/>
    <s v="JIP 39D"/>
    <s v="0331 - JIP 39D"/>
    <s v="50115060     ostatní ZPr - mimo níže uvedené (sk.Z_503)"/>
    <x v="1"/>
    <x v="1"/>
    <n v="421.32497999999998"/>
    <n v="372.69697232576499"/>
  </r>
  <r>
    <s v="03"/>
    <s v="03"/>
    <s v="III. interní klinika - nefrologická, revmatologická a endokrinologická"/>
    <x v="2"/>
    <s v="0331"/>
    <s v="JIP 39D"/>
    <s v="0331 - JIP 39D"/>
    <s v="50115060     ostatní ZPr - mimo níže uvedené (sk.Z_503)"/>
    <x v="1"/>
    <x v="2"/>
    <n v="239.46980000000002"/>
    <n v="367.69296863518599"/>
  </r>
  <r>
    <s v="03"/>
    <s v="03"/>
    <s v="III. interní klinika - nefrologická, revmatologická a endokrinologická"/>
    <x v="2"/>
    <s v="0331"/>
    <s v="JIP 39D"/>
    <s v="0331 - JIP 39D"/>
    <s v="50115063     ostatní ZPr - vaky, sety (sk.Z_528)"/>
    <x v="13"/>
    <x v="0"/>
    <n v="12.998399999999002"/>
    <n v="16.150210182308001"/>
  </r>
  <r>
    <s v="03"/>
    <s v="03"/>
    <s v="III. interní klinika - nefrologická, revmatologická a endokrinologická"/>
    <x v="2"/>
    <s v="0331"/>
    <s v="JIP 39D"/>
    <s v="0331 - JIP 39D"/>
    <s v="50115063     ostatní ZPr - vaky, sety (sk.Z_528)"/>
    <x v="13"/>
    <x v="1"/>
    <n v="14.530800000000003"/>
    <n v="12.733549460335"/>
  </r>
  <r>
    <s v="03"/>
    <s v="03"/>
    <s v="III. interní klinika - nefrologická, revmatologická a endokrinologická"/>
    <x v="2"/>
    <s v="0331"/>
    <s v="JIP 39D"/>
    <s v="0331 - JIP 39D"/>
    <s v="50115063     ostatní ZPr - vaky, sety (sk.Z_528)"/>
    <x v="13"/>
    <x v="2"/>
    <n v="7.3758500000000007"/>
    <n v="13.063208309730999"/>
  </r>
  <r>
    <s v="03"/>
    <s v="03"/>
    <s v="III. interní klinika - nefrologická, revmatologická a endokrinologická"/>
    <x v="2"/>
    <s v="0331"/>
    <s v="JIP 39D"/>
    <s v="0331 - JIP 39D"/>
    <s v="50115064     ostatní ZPr - šicí materiál (sk.Z_529)"/>
    <x v="21"/>
    <x v="0"/>
    <n v="11.915430000000001"/>
    <n v="12.350255017631"/>
  </r>
  <r>
    <s v="03"/>
    <s v="03"/>
    <s v="III. interní klinika - nefrologická, revmatologická a endokrinologická"/>
    <x v="2"/>
    <s v="0331"/>
    <s v="JIP 39D"/>
    <s v="0331 - JIP 39D"/>
    <s v="50115064     ostatní ZPr - šicí materiál (sk.Z_529)"/>
    <x v="21"/>
    <x v="1"/>
    <n v="1.2556799999999999"/>
    <n v="11.682123201096999"/>
  </r>
  <r>
    <s v="03"/>
    <s v="03"/>
    <s v="III. interní klinika - nefrologická, revmatologická a endokrinologická"/>
    <x v="2"/>
    <s v="0331"/>
    <s v="JIP 39D"/>
    <s v="0331 - JIP 39D"/>
    <s v="50115065     ostatní ZPr - vpichovací materiál (sk.Z_530)"/>
    <x v="14"/>
    <x v="0"/>
    <n v="12.016249999999001"/>
    <n v="13.301954016062"/>
  </r>
  <r>
    <s v="03"/>
    <s v="03"/>
    <s v="III. interní klinika - nefrologická, revmatologická a endokrinologická"/>
    <x v="2"/>
    <s v="0331"/>
    <s v="JIP 39D"/>
    <s v="0331 - JIP 39D"/>
    <s v="50115065     ostatní ZPr - vpichovací materiál (sk.Z_530)"/>
    <x v="14"/>
    <x v="1"/>
    <n v="8.706059999999999"/>
    <n v="12.326458690919999"/>
  </r>
  <r>
    <s v="03"/>
    <s v="03"/>
    <s v="III. interní klinika - nefrologická, revmatologická a endokrinologická"/>
    <x v="2"/>
    <s v="0331"/>
    <s v="JIP 39D"/>
    <s v="0331 - JIP 39D"/>
    <s v="50115065     ostatní ZPr - vpichovací materiál (sk.Z_530)"/>
    <x v="14"/>
    <x v="2"/>
    <n v="4.2589999999999995"/>
    <n v="13.276060221070001"/>
  </r>
  <r>
    <s v="03"/>
    <s v="03"/>
    <s v="III. interní klinika - nefrologická, revmatologická a endokrinologická"/>
    <x v="2"/>
    <s v="0331"/>
    <s v="JIP 39D"/>
    <s v="0331 - JIP 39D"/>
    <s v="50115067     ostatní ZPr - rukavice (sk.Z_532)"/>
    <x v="15"/>
    <x v="0"/>
    <n v="38.795300000000012"/>
    <n v="52.257011833676998"/>
  </r>
  <r>
    <s v="03"/>
    <s v="03"/>
    <s v="III. interní klinika - nefrologická, revmatologická a endokrinologická"/>
    <x v="2"/>
    <s v="0331"/>
    <s v="JIP 39D"/>
    <s v="0331 - JIP 39D"/>
    <s v="50115067     ostatní ZPr - rukavice (sk.Z_532)"/>
    <x v="15"/>
    <x v="1"/>
    <n v="40.158200000000001"/>
    <n v="39.344272170673001"/>
  </r>
  <r>
    <s v="03"/>
    <s v="03"/>
    <s v="III. interní klinika - nefrologická, revmatologická a endokrinologická"/>
    <x v="2"/>
    <s v="0331"/>
    <s v="JIP 39D"/>
    <s v="0331 - JIP 39D"/>
    <s v="50115067     ostatní ZPr - rukavice (sk.Z_532)"/>
    <x v="15"/>
    <x v="2"/>
    <n v="35.254800000000003"/>
    <n v="44.464325050763001"/>
  </r>
  <r>
    <s v="03"/>
    <s v="03"/>
    <s v="III. interní klinika - nefrologická, revmatologická a endokrinologická"/>
    <x v="2"/>
    <s v="0331"/>
    <s v="JIP 39D"/>
    <s v="0331 - JIP 39D"/>
    <s v="50115070     ostatní ZPr - katetry (sk.Z_513)"/>
    <x v="16"/>
    <x v="0"/>
    <n v="109.91665000000002"/>
    <n v="135.10108151448799"/>
  </r>
  <r>
    <s v="03"/>
    <s v="03"/>
    <s v="III. interní klinika - nefrologická, revmatologická a endokrinologická"/>
    <x v="2"/>
    <s v="0331"/>
    <s v="JIP 39D"/>
    <s v="0331 - JIP 39D"/>
    <s v="50115070     ostatní ZPr - katetry (sk.Z_513)"/>
    <x v="16"/>
    <x v="1"/>
    <n v="77.748060000000009"/>
    <n v="109.916133508789"/>
  </r>
  <r>
    <s v="03"/>
    <s v="03"/>
    <s v="III. interní klinika - nefrologická, revmatologická a endokrinologická"/>
    <x v="2"/>
    <s v="0331"/>
    <s v="JIP 39D"/>
    <s v="0331 - JIP 39D"/>
    <s v="50115070     ostatní ZPr - katetry (sk.Z_513)"/>
    <x v="16"/>
    <x v="2"/>
    <n v="40.548960000000001"/>
    <n v="65.959332556915001"/>
  </r>
  <r>
    <s v="03"/>
    <s v="03"/>
    <s v="III. interní klinika - nefrologická, revmatologická a endokrinologická"/>
    <x v="2"/>
    <s v="0331"/>
    <s v="JIP 39D"/>
    <s v="0331 - JIP 39D"/>
    <s v="50115079     ostatní ZPr - intenzivní péče (sk.Z_542)"/>
    <x v="18"/>
    <x v="2"/>
    <n v="24.582980000000003"/>
    <n v="0"/>
  </r>
  <r>
    <s v="03"/>
    <s v="03"/>
    <s v="III. interní klinika - nefrologická, revmatologická a endokrinologická"/>
    <x v="2"/>
    <s v="0352"/>
    <s v="hemodialyzační středisko"/>
    <s v="0352 - hemodialyzační středisko"/>
    <s v="50113     Léky a léčiva"/>
    <x v="2"/>
    <x v="0"/>
    <n v="5829.3196700000044"/>
    <n v="6179.9951720481004"/>
  </r>
  <r>
    <s v="03"/>
    <s v="03"/>
    <s v="III. interní klinika - nefrologická, revmatologická a endokrinologická"/>
    <x v="2"/>
    <s v="0352"/>
    <s v="hemodialyzační středisko"/>
    <s v="0352 - hemodialyzační středisko"/>
    <s v="50113     Léky a léčiva"/>
    <x v="2"/>
    <x v="1"/>
    <n v="4026.374670000002"/>
    <n v="5828.1721004891497"/>
  </r>
  <r>
    <s v="03"/>
    <s v="03"/>
    <s v="III. interní klinika - nefrologická, revmatologická a endokrinologická"/>
    <x v="2"/>
    <s v="0352"/>
    <s v="hemodialyzační středisko"/>
    <s v="0352 - hemodialyzační středisko"/>
    <s v="50113     Léky a léčiva"/>
    <x v="2"/>
    <x v="2"/>
    <n v="2204.5579000000007"/>
    <n v="3347.0205469407301"/>
  </r>
  <r>
    <s v="03"/>
    <s v="03"/>
    <s v="III. interní klinika - nefrologická, revmatologická a endokrinologická"/>
    <x v="2"/>
    <s v="0352"/>
    <s v="hemodialyzační středisko"/>
    <s v="0352 - hemodialyzační středisko"/>
    <s v="50113001     léky - paušál+TISS (LEK)"/>
    <x v="3"/>
    <x v="0"/>
    <n v="5818.437590000005"/>
    <n v="6172.9799633764196"/>
  </r>
  <r>
    <s v="03"/>
    <s v="03"/>
    <s v="III. interní klinika - nefrologická, revmatologická a endokrinologická"/>
    <x v="2"/>
    <s v="0352"/>
    <s v="hemodialyzační středisko"/>
    <s v="0352 - hemodialyzační středisko"/>
    <s v="50113001     léky - paušál+TISS (LEK)"/>
    <x v="3"/>
    <x v="1"/>
    <n v="4024.6076200000025"/>
    <n v="5818.1207089477402"/>
  </r>
  <r>
    <s v="03"/>
    <s v="03"/>
    <s v="III. interní klinika - nefrologická, revmatologická a endokrinologická"/>
    <x v="2"/>
    <s v="0352"/>
    <s v="hemodialyzační středisko"/>
    <s v="0352 - hemodialyzační středisko"/>
    <s v="50113001     léky - paušál+TISS (LEK)"/>
    <x v="3"/>
    <x v="2"/>
    <n v="2097.0946400000012"/>
    <n v="3344.7699141009002"/>
  </r>
  <r>
    <s v="03"/>
    <s v="03"/>
    <s v="III. interní klinika - nefrologická, revmatologická a endokrinologická"/>
    <x v="2"/>
    <s v="0352"/>
    <s v="hemodialyzační středisko"/>
    <s v="0352 - hemodialyzační středisko"/>
    <s v="50113006     léky - enterální výživa (LEK)"/>
    <x v="4"/>
    <x v="2"/>
    <n v="106.13584"/>
    <n v="0"/>
  </r>
  <r>
    <s v="03"/>
    <s v="03"/>
    <s v="III. interní klinika - nefrologická, revmatologická a endokrinologická"/>
    <x v="2"/>
    <s v="0352"/>
    <s v="hemodialyzační středisko"/>
    <s v="0352 - hemodialyzační středisko"/>
    <s v="50113008     léky - krev.deriváty ZUL (TO)"/>
    <x v="5"/>
    <x v="0"/>
    <n v="8.8553999999999995"/>
    <n v="0"/>
  </r>
  <r>
    <s v="03"/>
    <s v="03"/>
    <s v="III. interní klinika - nefrologická, revmatologická a endokrinologická"/>
    <x v="2"/>
    <s v="0352"/>
    <s v="hemodialyzační středisko"/>
    <s v="0352 - hemodialyzační středisko"/>
    <s v="50113008     léky - krev.deriváty ZUL (TO)"/>
    <x v="5"/>
    <x v="1"/>
    <n v="0"/>
    <n v="8.0000702453470005"/>
  </r>
  <r>
    <s v="03"/>
    <s v="03"/>
    <s v="III. interní klinika - nefrologická, revmatologická a endokrinologická"/>
    <x v="2"/>
    <s v="0352"/>
    <s v="hemodialyzační středisko"/>
    <s v="0352 - hemodialyzační středisko"/>
    <s v="50113013     léky (paušál) - antibiotika (LEK)"/>
    <x v="7"/>
    <x v="0"/>
    <n v="2.0266799999999998"/>
    <n v="7.015208671681"/>
  </r>
  <r>
    <s v="03"/>
    <s v="03"/>
    <s v="III. interní klinika - nefrologická, revmatologická a endokrinologická"/>
    <x v="2"/>
    <s v="0352"/>
    <s v="hemodialyzační středisko"/>
    <s v="0352 - hemodialyzační středisko"/>
    <s v="50113013     léky (paušál) - antibiotika (LEK)"/>
    <x v="7"/>
    <x v="1"/>
    <n v="1.7670499999999998"/>
    <n v="2.0513212960609999"/>
  </r>
  <r>
    <s v="03"/>
    <s v="03"/>
    <s v="III. interní klinika - nefrologická, revmatologická a endokrinologická"/>
    <x v="2"/>
    <s v="0352"/>
    <s v="hemodialyzační středisko"/>
    <s v="0352 - hemodialyzační středisko"/>
    <s v="50113013     léky (paušál) - antibiotika (LEK)"/>
    <x v="7"/>
    <x v="2"/>
    <n v="1.32742"/>
    <n v="2.2506328398340001"/>
  </r>
  <r>
    <s v="03"/>
    <s v="03"/>
    <s v="III. interní klinika - nefrologická, revmatologická a endokrinologická"/>
    <x v="2"/>
    <s v="0352"/>
    <s v="hemodialyzační středisko"/>
    <s v="0352 - hemodialyzační středisko"/>
    <s v="50115     Zdravotnické prostředky"/>
    <x v="0"/>
    <x v="0"/>
    <n v="10555.254480000011"/>
    <n v="11582.554835564701"/>
  </r>
  <r>
    <s v="03"/>
    <s v="03"/>
    <s v="III. interní klinika - nefrologická, revmatologická a endokrinologická"/>
    <x v="2"/>
    <s v="0352"/>
    <s v="hemodialyzační středisko"/>
    <s v="0352 - hemodialyzační středisko"/>
    <s v="50115     Zdravotnické prostředky"/>
    <x v="0"/>
    <x v="1"/>
    <n v="8154.5553700000019"/>
    <n v="10053.9692755714"/>
  </r>
  <r>
    <s v="03"/>
    <s v="03"/>
    <s v="III. interní klinika - nefrologická, revmatologická a endokrinologická"/>
    <x v="2"/>
    <s v="0352"/>
    <s v="hemodialyzační středisko"/>
    <s v="0352 - hemodialyzační středisko"/>
    <s v="50115     Zdravotnické prostředky"/>
    <x v="0"/>
    <x v="2"/>
    <n v="7367.8448499999995"/>
    <n v="10807.2026100365"/>
  </r>
  <r>
    <s v="03"/>
    <s v="03"/>
    <s v="III. interní klinika - nefrologická, revmatologická a endokrinologická"/>
    <x v="2"/>
    <s v="0352"/>
    <s v="hemodialyzační středisko"/>
    <s v="0352 - hemodialyzační středisko"/>
    <s v="50115020     diagnostika laboratorní-LEK (sk.Z_501)"/>
    <x v="10"/>
    <x v="0"/>
    <n v="10.657029999999999"/>
    <n v="56.029854492847001"/>
  </r>
  <r>
    <s v="03"/>
    <s v="03"/>
    <s v="III. interní klinika - nefrologická, revmatologická a endokrinologická"/>
    <x v="2"/>
    <s v="0352"/>
    <s v="hemodialyzační středisko"/>
    <s v="0352 - hemodialyzační středisko"/>
    <s v="50115020     diagnostika laboratorní-LEK (sk.Z_501)"/>
    <x v="10"/>
    <x v="1"/>
    <n v="9.0484600000000004"/>
    <n v="10.657018712587"/>
  </r>
  <r>
    <s v="03"/>
    <s v="03"/>
    <s v="III. interní klinika - nefrologická, revmatologická a endokrinologická"/>
    <x v="2"/>
    <s v="0352"/>
    <s v="hemodialyzační středisko"/>
    <s v="0352 - hemodialyzační středisko"/>
    <s v="50115020     diagnostika laboratorní-LEK (sk.Z_501)"/>
    <x v="10"/>
    <x v="2"/>
    <n v="8.1395600000000012"/>
    <n v="10.701479662929"/>
  </r>
  <r>
    <s v="03"/>
    <s v="03"/>
    <s v="III. interní klinika - nefrologická, revmatologická a endokrinologická"/>
    <x v="2"/>
    <s v="0352"/>
    <s v="hemodialyzační středisko"/>
    <s v="0352 - hemodialyzační středisko"/>
    <s v="50115021     diagnostika laboratorní-skl.ZPr(sk.Z_501)"/>
    <x v="41"/>
    <x v="0"/>
    <n v="840.39428999999905"/>
    <n v="1235.08120349512"/>
  </r>
  <r>
    <s v="03"/>
    <s v="03"/>
    <s v="III. interní klinika - nefrologická, revmatologická a endokrinologická"/>
    <x v="2"/>
    <s v="0352"/>
    <s v="hemodialyzační středisko"/>
    <s v="0352 - hemodialyzační středisko"/>
    <s v="50115021     diagnostika laboratorní-skl.ZPr(sk.Z_501)"/>
    <x v="41"/>
    <x v="1"/>
    <n v="828.52740000000006"/>
    <n v="911.585975732272"/>
  </r>
  <r>
    <s v="03"/>
    <s v="03"/>
    <s v="III. interní klinika - nefrologická, revmatologická a endokrinologická"/>
    <x v="2"/>
    <s v="0352"/>
    <s v="hemodialyzační středisko"/>
    <s v="0352 - hemodialyzační středisko"/>
    <s v="50115021     diagnostika laboratorní-skl.ZPr(sk.Z_501)"/>
    <x v="41"/>
    <x v="2"/>
    <n v="676.27729999999997"/>
    <n v="960"/>
  </r>
  <r>
    <s v="03"/>
    <s v="03"/>
    <s v="III. interní klinika - nefrologická, revmatologická a endokrinologická"/>
    <x v="2"/>
    <s v="0352"/>
    <s v="hemodialyzační středisko"/>
    <s v="0352 - hemodialyzační středisko"/>
    <s v="50115050     obvazový materiál (sk.Z_502)"/>
    <x v="12"/>
    <x v="0"/>
    <n v="381.59224999999998"/>
    <n v="259.27893047619398"/>
  </r>
  <r>
    <s v="03"/>
    <s v="03"/>
    <s v="III. interní klinika - nefrologická, revmatologická a endokrinologická"/>
    <x v="2"/>
    <s v="0352"/>
    <s v="hemodialyzační středisko"/>
    <s v="0352 - hemodialyzační středisko"/>
    <s v="50115050     obvazový materiál (sk.Z_502)"/>
    <x v="12"/>
    <x v="1"/>
    <n v="379.76103000000001"/>
    <n v="382.46001041452303"/>
  </r>
  <r>
    <s v="03"/>
    <s v="03"/>
    <s v="III. interní klinika - nefrologická, revmatologická a endokrinologická"/>
    <x v="2"/>
    <s v="0352"/>
    <s v="hemodialyzační středisko"/>
    <s v="0352 - hemodialyzační středisko"/>
    <s v="50115050     obvazový materiál (sk.Z_502)"/>
    <x v="12"/>
    <x v="2"/>
    <n v="297.44540000000001"/>
    <n v="405.87842259637102"/>
  </r>
  <r>
    <s v="03"/>
    <s v="03"/>
    <s v="III. interní klinika - nefrologická, revmatologická a endokrinologická"/>
    <x v="2"/>
    <s v="0352"/>
    <s v="hemodialyzační středisko"/>
    <s v="0352 - hemodialyzační středisko"/>
    <s v="50115060     ostatní ZPr - mimo níže uvedené (sk.Z_503)"/>
    <x v="1"/>
    <x v="0"/>
    <n v="338.54491000000002"/>
    <n v="322.99969624125299"/>
  </r>
  <r>
    <s v="03"/>
    <s v="03"/>
    <s v="III. interní klinika - nefrologická, revmatologická a endokrinologická"/>
    <x v="2"/>
    <s v="0352"/>
    <s v="hemodialyzační středisko"/>
    <s v="0352 - hemodialyzační středisko"/>
    <s v="50115060     ostatní ZPr - mimo níže uvedené (sk.Z_503)"/>
    <x v="1"/>
    <x v="1"/>
    <n v="338.54217"/>
    <n v="338.54235962602002"/>
  </r>
  <r>
    <s v="03"/>
    <s v="03"/>
    <s v="III. interní klinika - nefrologická, revmatologická a endokrinologická"/>
    <x v="2"/>
    <s v="0352"/>
    <s v="hemodialyzační středisko"/>
    <s v="0352 - hemodialyzační středisko"/>
    <s v="50115060     ostatní ZPr - mimo níže uvedené (sk.Z_503)"/>
    <x v="1"/>
    <x v="2"/>
    <n v="281.21449999999999"/>
    <n v="395"/>
  </r>
  <r>
    <s v="03"/>
    <s v="03"/>
    <s v="III. interní klinika - nefrologická, revmatologická a endokrinologická"/>
    <x v="2"/>
    <s v="0352"/>
    <s v="hemodialyzační středisko"/>
    <s v="0352 - hemodialyzační středisko"/>
    <s v="50115062     ostatní ZPr - materiál pro hemodialýzu (sk.Z_525)"/>
    <x v="20"/>
    <x v="0"/>
    <n v="8475.0427700000091"/>
    <n v="9180.5000304364603"/>
  </r>
  <r>
    <s v="03"/>
    <s v="03"/>
    <s v="III. interní klinika - nefrologická, revmatologická a endokrinologická"/>
    <x v="2"/>
    <s v="0352"/>
    <s v="hemodialyzační středisko"/>
    <s v="0352 - hemodialyzační středisko"/>
    <s v="50115062     ostatní ZPr - materiál pro hemodialýzu (sk.Z_525)"/>
    <x v="20"/>
    <x v="1"/>
    <n v="6167.641770000002"/>
    <n v="7879.7836785419604"/>
  </r>
  <r>
    <s v="03"/>
    <s v="03"/>
    <s v="III. interní klinika - nefrologická, revmatologická a endokrinologická"/>
    <x v="2"/>
    <s v="0352"/>
    <s v="hemodialyzační středisko"/>
    <s v="0352 - hemodialyzační středisko"/>
    <s v="50115062     ostatní ZPr - materiál pro hemodialýzu (sk.Z_525)"/>
    <x v="20"/>
    <x v="2"/>
    <n v="5278.9574800000009"/>
    <n v="7574.9997614058602"/>
  </r>
  <r>
    <s v="03"/>
    <s v="03"/>
    <s v="III. interní klinika - nefrologická, revmatologická a endokrinologická"/>
    <x v="2"/>
    <s v="0352"/>
    <s v="hemodialyzační středisko"/>
    <s v="0352 - hemodialyzační středisko"/>
    <s v="50115063     ostatní ZPr - vaky, sety (sk.Z_528)"/>
    <x v="13"/>
    <x v="0"/>
    <n v="15.150199999999"/>
    <n v="16.150210182308001"/>
  </r>
  <r>
    <s v="03"/>
    <s v="03"/>
    <s v="III. interní klinika - nefrologická, revmatologická a endokrinologická"/>
    <x v="2"/>
    <s v="0352"/>
    <s v="hemodialyzační středisko"/>
    <s v="0352 - hemodialyzační středisko"/>
    <s v="50115063     ostatní ZPr - vaky, sety (sk.Z_528)"/>
    <x v="13"/>
    <x v="1"/>
    <n v="14.5184"/>
    <n v="14.841505187866"/>
  </r>
  <r>
    <s v="03"/>
    <s v="03"/>
    <s v="III. interní klinika - nefrologická, revmatologická a endokrinologická"/>
    <x v="2"/>
    <s v="0352"/>
    <s v="hemodialyzační středisko"/>
    <s v="0352 - hemodialyzační středisko"/>
    <s v="50115063     ostatní ZPr - vaky, sety (sk.Z_528)"/>
    <x v="13"/>
    <x v="2"/>
    <n v="12.429500000000001"/>
    <n v="17.569667755954001"/>
  </r>
  <r>
    <s v="03"/>
    <s v="03"/>
    <s v="III. interní klinika - nefrologická, revmatologická a endokrinologická"/>
    <x v="2"/>
    <s v="0352"/>
    <s v="hemodialyzační středisko"/>
    <s v="0352 - hemodialyzační středisko"/>
    <s v="50115064     ostatní ZPr - šicí materiál (sk.Z_529)"/>
    <x v="21"/>
    <x v="0"/>
    <n v="2.9210400000000001"/>
    <n v="7.6002183199979996"/>
  </r>
  <r>
    <s v="03"/>
    <s v="03"/>
    <s v="III. interní klinika - nefrologická, revmatologická a endokrinologická"/>
    <x v="2"/>
    <s v="0352"/>
    <s v="hemodialyzační středisko"/>
    <s v="0352 - hemodialyzační středisko"/>
    <s v="50115064     ostatní ZPr - šicí materiál (sk.Z_529)"/>
    <x v="21"/>
    <x v="1"/>
    <n v="2.8727"/>
    <n v="2.863845379926"/>
  </r>
  <r>
    <s v="03"/>
    <s v="03"/>
    <s v="III. interní klinika - nefrologická, revmatologická a endokrinologická"/>
    <x v="2"/>
    <s v="0352"/>
    <s v="hemodialyzační středisko"/>
    <s v="0352 - hemodialyzační středisko"/>
    <s v="50115064     ostatní ZPr - šicí materiál (sk.Z_529)"/>
    <x v="21"/>
    <x v="2"/>
    <n v="1.4121999999999999"/>
    <n v="8.9999997165209997"/>
  </r>
  <r>
    <s v="03"/>
    <s v="03"/>
    <s v="III. interní klinika - nefrologická, revmatologická a endokrinologická"/>
    <x v="2"/>
    <s v="0352"/>
    <s v="hemodialyzační středisko"/>
    <s v="0352 - hemodialyzační středisko"/>
    <s v="50115065     ostatní ZPr - vpichovací materiál (sk.Z_530)"/>
    <x v="14"/>
    <x v="0"/>
    <n v="59.604799999999003"/>
    <n v="49.407078605279999"/>
  </r>
  <r>
    <s v="03"/>
    <s v="03"/>
    <s v="III. interní klinika - nefrologická, revmatologická a endokrinologická"/>
    <x v="2"/>
    <s v="0352"/>
    <s v="hemodialyzační středisko"/>
    <s v="0352 - hemodialyzační středisko"/>
    <s v="50115065     ostatní ZPr - vpichovací materiál (sk.Z_530)"/>
    <x v="14"/>
    <x v="1"/>
    <n v="47.348399999999991"/>
    <n v="81.143532764385995"/>
  </r>
  <r>
    <s v="03"/>
    <s v="03"/>
    <s v="III. interní klinika - nefrologická, revmatologická a endokrinologická"/>
    <x v="2"/>
    <s v="0352"/>
    <s v="hemodialyzační středisko"/>
    <s v="0352 - hemodialyzační středisko"/>
    <s v="50115065     ostatní ZPr - vpichovací materiál (sk.Z_530)"/>
    <x v="14"/>
    <x v="2"/>
    <n v="6.1140000000000008"/>
    <n v="69.759222540340005"/>
  </r>
  <r>
    <s v="03"/>
    <s v="03"/>
    <s v="III. interní klinika - nefrologická, revmatologická a endokrinologická"/>
    <x v="2"/>
    <s v="0352"/>
    <s v="hemodialyzační středisko"/>
    <s v="0352 - hemodialyzační středisko"/>
    <s v="50115067     ostatní ZPr - rukavice (sk.Z_532)"/>
    <x v="15"/>
    <x v="0"/>
    <n v="52.714699999998999"/>
    <n v="57.957780907001002"/>
  </r>
  <r>
    <s v="03"/>
    <s v="03"/>
    <s v="III. interní klinika - nefrologická, revmatologická a endokrinologická"/>
    <x v="2"/>
    <s v="0352"/>
    <s v="hemodialyzační středisko"/>
    <s v="0352 - hemodialyzační středisko"/>
    <s v="50115067     ostatní ZPr - rukavice (sk.Z_532)"/>
    <x v="15"/>
    <x v="1"/>
    <n v="52.320860000000003"/>
    <n v="53.460638381334"/>
  </r>
  <r>
    <s v="03"/>
    <s v="03"/>
    <s v="III. interní klinika - nefrologická, revmatologická a endokrinologická"/>
    <x v="2"/>
    <s v="0352"/>
    <s v="hemodialyzační středisko"/>
    <s v="0352 - hemodialyzační středisko"/>
    <s v="50115067     ostatní ZPr - rukavice (sk.Z_532)"/>
    <x v="15"/>
    <x v="2"/>
    <n v="37.606349999999999"/>
    <n v="54.480177875282003"/>
  </r>
  <r>
    <s v="03"/>
    <s v="03"/>
    <s v="III. interní klinika - nefrologická, revmatologická a endokrinologická"/>
    <x v="2"/>
    <s v="0352"/>
    <s v="hemodialyzační středisko"/>
    <s v="0352 - hemodialyzační středisko"/>
    <s v="50115070     ostatní ZPr - katetry (sk.Z_513)"/>
    <x v="16"/>
    <x v="0"/>
    <n v="378.63248999999905"/>
    <n v="397.54983240828"/>
  </r>
  <r>
    <s v="03"/>
    <s v="03"/>
    <s v="III. interní klinika - nefrologická, revmatologická a endokrinologická"/>
    <x v="2"/>
    <s v="0352"/>
    <s v="hemodialyzační středisko"/>
    <s v="0352 - hemodialyzační středisko"/>
    <s v="50115070     ostatní ZPr - katetry (sk.Z_513)"/>
    <x v="16"/>
    <x v="1"/>
    <n v="313.97417999999999"/>
    <n v="378.63071083048101"/>
  </r>
  <r>
    <s v="03"/>
    <s v="03"/>
    <s v="III. interní klinika - nefrologická, revmatologická a endokrinologická"/>
    <x v="2"/>
    <s v="0352"/>
    <s v="hemodialyzační středisko"/>
    <s v="0352 - hemodialyzační středisko"/>
    <s v="50115070     ostatní ZPr - katetry (sk.Z_513)"/>
    <x v="16"/>
    <x v="2"/>
    <n v="125.90916000000001"/>
    <n v="309.81387848323601"/>
  </r>
  <r>
    <s v="03"/>
    <s v="03"/>
    <s v="III. interní klinika - nefrologická, revmatologická a endokrinologická"/>
    <x v="2"/>
    <s v="0352"/>
    <s v="hemodialyzační středisko"/>
    <s v="0352 - hemodialyzační středisko"/>
    <s v="50115084     ostatní ZPr - HCO membrány (sk.Z_546)"/>
    <x v="42"/>
    <x v="2"/>
    <n v="642.33940000000007"/>
    <n v="1000"/>
  </r>
  <r>
    <s v="03"/>
    <s v="03"/>
    <s v="III. interní klinika - nefrologická, revmatologická a endokrinologická"/>
    <x v="2"/>
    <s v="0353"/>
    <s v="CAPD"/>
    <s v="0353 - CAPD"/>
    <s v="50113     Léky a léčiva"/>
    <x v="2"/>
    <x v="0"/>
    <n v="4483.0186300000032"/>
    <n v="5430.7302753807699"/>
  </r>
  <r>
    <s v="03"/>
    <s v="03"/>
    <s v="III. interní klinika - nefrologická, revmatologická a endokrinologická"/>
    <x v="2"/>
    <s v="0353"/>
    <s v="CAPD"/>
    <s v="0353 - CAPD"/>
    <s v="50113     Léky a léčiva"/>
    <x v="2"/>
    <x v="1"/>
    <n v="7080.2156700000041"/>
    <n v="7054.72676284095"/>
  </r>
  <r>
    <s v="03"/>
    <s v="03"/>
    <s v="III. interní klinika - nefrologická, revmatologická a endokrinologická"/>
    <x v="2"/>
    <s v="0353"/>
    <s v="CAPD"/>
    <s v="0353 - CAPD"/>
    <s v="50113     Léky a léčiva"/>
    <x v="2"/>
    <x v="2"/>
    <n v="5177.7695600000006"/>
    <n v="6601.4570699474398"/>
  </r>
  <r>
    <s v="03"/>
    <s v="03"/>
    <s v="III. interní klinika - nefrologická, revmatologická a endokrinologická"/>
    <x v="2"/>
    <s v="0353"/>
    <s v="CAPD"/>
    <s v="0353 - CAPD"/>
    <s v="50113001     léky - paušál+TISS (LEK)"/>
    <x v="3"/>
    <x v="0"/>
    <n v="4483.0186300000032"/>
    <n v="5430.7302753807699"/>
  </r>
  <r>
    <s v="03"/>
    <s v="03"/>
    <s v="III. interní klinika - nefrologická, revmatologická a endokrinologická"/>
    <x v="2"/>
    <s v="0353"/>
    <s v="CAPD"/>
    <s v="0353 - CAPD"/>
    <s v="50113001     léky - paušál+TISS (LEK)"/>
    <x v="3"/>
    <x v="1"/>
    <n v="7080.2156700000041"/>
    <n v="7054.72676284095"/>
  </r>
  <r>
    <s v="03"/>
    <s v="03"/>
    <s v="III. interní klinika - nefrologická, revmatologická a endokrinologická"/>
    <x v="2"/>
    <s v="0353"/>
    <s v="CAPD"/>
    <s v="0353 - CAPD"/>
    <s v="50113001     léky - paušál+TISS (LEK)"/>
    <x v="3"/>
    <x v="2"/>
    <n v="5177.3607100000008"/>
    <n v="6601.4570699474398"/>
  </r>
  <r>
    <s v="03"/>
    <s v="03"/>
    <s v="III. interní klinika - nefrologická, revmatologická a endokrinologická"/>
    <x v="2"/>
    <s v="0353"/>
    <s v="CAPD"/>
    <s v="0353 - CAPD"/>
    <s v="50113013     léky (paušál) - antibiotika (LEK)"/>
    <x v="7"/>
    <x v="2"/>
    <n v="0.40884999999999999"/>
    <n v="0"/>
  </r>
  <r>
    <s v="03"/>
    <s v="03"/>
    <s v="III. interní klinika - nefrologická, revmatologická a endokrinologická"/>
    <x v="2"/>
    <s v="0353"/>
    <s v="CAPD"/>
    <s v="0353 - CAPD"/>
    <s v="50115     Zdravotnické prostředky"/>
    <x v="0"/>
    <x v="0"/>
    <n v="1797.6153300000024"/>
    <n v="1823.0508061226899"/>
  </r>
  <r>
    <s v="03"/>
    <s v="03"/>
    <s v="III. interní klinika - nefrologická, revmatologická a endokrinologická"/>
    <x v="2"/>
    <s v="0353"/>
    <s v="CAPD"/>
    <s v="0353 - CAPD"/>
    <s v="50115     Zdravotnické prostředky"/>
    <x v="0"/>
    <x v="1"/>
    <n v="2897.0842000000007"/>
    <n v="1997.6059959545701"/>
  </r>
  <r>
    <s v="03"/>
    <s v="03"/>
    <s v="III. interní klinika - nefrologická, revmatologická a endokrinologická"/>
    <x v="2"/>
    <s v="0353"/>
    <s v="CAPD"/>
    <s v="0353 - CAPD"/>
    <s v="50115     Zdravotnické prostředky"/>
    <x v="0"/>
    <x v="2"/>
    <n v="2127.8024600000012"/>
    <n v="2732.65436182759"/>
  </r>
  <r>
    <s v="03"/>
    <s v="03"/>
    <s v="III. interní klinika - nefrologická, revmatologická a endokrinologická"/>
    <x v="2"/>
    <s v="0353"/>
    <s v="CAPD"/>
    <s v="0353 - CAPD"/>
    <s v="50115050     obvazový materiál (sk.Z_502)"/>
    <x v="12"/>
    <x v="0"/>
    <n v="27.533920000000002"/>
    <n v="8.3957019455089998"/>
  </r>
  <r>
    <s v="03"/>
    <s v="03"/>
    <s v="III. interní klinika - nefrologická, revmatologická a endokrinologická"/>
    <x v="2"/>
    <s v="0353"/>
    <s v="CAPD"/>
    <s v="0353 - CAPD"/>
    <s v="50115050     obvazový materiál (sk.Z_502)"/>
    <x v="12"/>
    <x v="1"/>
    <n v="23.531569999999999"/>
    <n v="27.596533551067999"/>
  </r>
  <r>
    <s v="03"/>
    <s v="03"/>
    <s v="III. interní klinika - nefrologická, revmatologická a endokrinologická"/>
    <x v="2"/>
    <s v="0353"/>
    <s v="CAPD"/>
    <s v="0353 - CAPD"/>
    <s v="50115050     obvazový materiál (sk.Z_502)"/>
    <x v="12"/>
    <x v="2"/>
    <n v="9.6422599999999985"/>
    <n v="13.262730051053"/>
  </r>
  <r>
    <s v="03"/>
    <s v="03"/>
    <s v="III. interní klinika - nefrologická, revmatologická a endokrinologická"/>
    <x v="2"/>
    <s v="0353"/>
    <s v="CAPD"/>
    <s v="0353 - CAPD"/>
    <s v="50115060     ostatní ZPr - mimo níže uvedené (sk.Z_503)"/>
    <x v="1"/>
    <x v="0"/>
    <n v="1689.8205000000019"/>
    <n v="1588.1292325264101"/>
  </r>
  <r>
    <s v="03"/>
    <s v="03"/>
    <s v="III. interní klinika - nefrologická, revmatologická a endokrinologická"/>
    <x v="2"/>
    <s v="0353"/>
    <s v="CAPD"/>
    <s v="0353 - CAPD"/>
    <s v="50115060     ostatní ZPr - mimo níže uvedené (sk.Z_503)"/>
    <x v="1"/>
    <x v="1"/>
    <n v="2844.848930000001"/>
    <n v="1919.8084131775399"/>
  </r>
  <r>
    <s v="03"/>
    <s v="03"/>
    <s v="III. interní klinika - nefrologická, revmatologická a endokrinologická"/>
    <x v="2"/>
    <s v="0353"/>
    <s v="CAPD"/>
    <s v="0353 - CAPD"/>
    <s v="50115060     ostatní ZPr - mimo níže uvedené (sk.Z_503)"/>
    <x v="1"/>
    <x v="2"/>
    <n v="2118.1602000000012"/>
    <n v="2717.8986854349901"/>
  </r>
  <r>
    <s v="03"/>
    <s v="03"/>
    <s v="III. interní klinika - nefrologická, revmatologická a endokrinologická"/>
    <x v="2"/>
    <s v="0353"/>
    <s v="CAPD"/>
    <s v="0353 - CAPD"/>
    <s v="50115062     ostatní ZPr - materiál pro hemodialýzu (sk.Z_525)"/>
    <x v="20"/>
    <x v="0"/>
    <n v="0"/>
    <n v="195.33330898380501"/>
  </r>
  <r>
    <s v="03"/>
    <s v="03"/>
    <s v="III. interní klinika - nefrologická, revmatologická a endokrinologická"/>
    <x v="2"/>
    <s v="0353"/>
    <s v="CAPD"/>
    <s v="0353 - CAPD"/>
    <s v="50115063     ostatní ZPr - vaky, sety (sk.Z_528)"/>
    <x v="13"/>
    <x v="0"/>
    <n v="4.4969999999999999"/>
    <n v="26.758583781409001"/>
  </r>
  <r>
    <s v="03"/>
    <s v="03"/>
    <s v="III. interní klinika - nefrologická, revmatologická a endokrinologická"/>
    <x v="2"/>
    <s v="0353"/>
    <s v="CAPD"/>
    <s v="0353 - CAPD"/>
    <s v="50115063     ostatní ZPr - vaky, sety (sk.Z_528)"/>
    <x v="13"/>
    <x v="1"/>
    <n v="1.5512999999999999"/>
    <n v="4.4053708089550003"/>
  </r>
  <r>
    <s v="03"/>
    <s v="03"/>
    <s v="III. interní klinika - nefrologická, revmatologická a endokrinologická"/>
    <x v="2"/>
    <s v="0353"/>
    <s v="CAPD"/>
    <s v="0353 - CAPD"/>
    <s v="50115063     ostatní ZPr - vaky, sety (sk.Z_528)"/>
    <x v="13"/>
    <x v="2"/>
    <n v="0"/>
    <n v="1.492946341546"/>
  </r>
  <r>
    <s v="03"/>
    <s v="03"/>
    <s v="III. interní klinika - nefrologická, revmatologická a endokrinologická"/>
    <x v="2"/>
    <s v="0353"/>
    <s v="CAPD"/>
    <s v="0353 - CAPD"/>
    <s v="50115065     ostatní ZPr - vpichovací materiál (sk.Z_530)"/>
    <x v="14"/>
    <x v="0"/>
    <n v="1.244"/>
    <n v="3.8005094261219998"/>
  </r>
  <r>
    <s v="03"/>
    <s v="03"/>
    <s v="III. interní klinika - nefrologická, revmatologická a endokrinologická"/>
    <x v="2"/>
    <s v="0353"/>
    <s v="CAPD"/>
    <s v="0353 - CAPD"/>
    <s v="50115065     ostatní ZPr - vpichovací materiál (sk.Z_530)"/>
    <x v="14"/>
    <x v="1"/>
    <n v="0"/>
    <n v="1.2761148121500001"/>
  </r>
  <r>
    <s v="03"/>
    <s v="03"/>
    <s v="III. interní klinika - nefrologická, revmatologická a endokrinologická"/>
    <x v="2"/>
    <s v="0353"/>
    <s v="CAPD"/>
    <s v="0353 - CAPD"/>
    <s v="50115067     ostatní ZPr - rukavice (sk.Z_532)"/>
    <x v="15"/>
    <x v="0"/>
    <n v="0"/>
    <n v="0.63346945942699995"/>
  </r>
  <r>
    <s v="03"/>
    <s v="03"/>
    <s v="III. interní klinika - nefrologická, revmatologická a endokrinologická"/>
    <x v="2"/>
    <s v="0353"/>
    <s v="CAPD"/>
    <s v="0353 - CAPD"/>
    <s v="50115070     ostatní ZPr - katetry (sk.Z_513)"/>
    <x v="16"/>
    <x v="0"/>
    <n v="74.519909999999996"/>
    <n v="0"/>
  </r>
  <r>
    <s v="03"/>
    <s v="03"/>
    <s v="III. interní klinika - nefrologická, revmatologická a endokrinologická"/>
    <x v="2"/>
    <s v="0353"/>
    <s v="CAPD"/>
    <s v="0353 - CAPD"/>
    <s v="50115070     ostatní ZPr - katetry (sk.Z_513)"/>
    <x v="16"/>
    <x v="1"/>
    <n v="27.1524"/>
    <n v="44.519563604852003"/>
  </r>
  <r>
    <s v="03"/>
    <s v="03"/>
    <s v="III. interní klinika - nefrologická, revmatologická a endokrinologická"/>
    <x v="2"/>
    <s v="0394"/>
    <s v="centrum - III. interna"/>
    <s v="0394 - centrum - III. interna"/>
    <s v="50113     Léky a léčiva"/>
    <x v="2"/>
    <x v="0"/>
    <n v="88318.368660000095"/>
    <n v="91517.999999994994"/>
  </r>
  <r>
    <s v="03"/>
    <s v="03"/>
    <s v="III. interní klinika - nefrologická, revmatologická a endokrinologická"/>
    <x v="2"/>
    <s v="0394"/>
    <s v="centrum - III. interna"/>
    <s v="0394 - centrum - III. interna"/>
    <s v="50113     Léky a léčiva"/>
    <x v="2"/>
    <x v="1"/>
    <n v="80523.381870000027"/>
    <n v="80011.999999998705"/>
  </r>
  <r>
    <s v="03"/>
    <s v="03"/>
    <s v="III. interní klinika - nefrologická, revmatologická a endokrinologická"/>
    <x v="2"/>
    <s v="0394"/>
    <s v="centrum - III. interna"/>
    <s v="0394 - centrum - III. interna"/>
    <s v="50113     Léky a léčiva"/>
    <x v="2"/>
    <x v="2"/>
    <n v="37957.082250000014"/>
    <n v="52237.4"/>
  </r>
  <r>
    <s v="03"/>
    <s v="03"/>
    <s v="III. interní klinika - nefrologická, revmatologická a endokrinologická"/>
    <x v="2"/>
    <s v="0394"/>
    <s v="centrum - III. interna"/>
    <s v="0394 - centrum - III. interna"/>
    <s v="50113016     léky - spotřeba v centrech (LEK)"/>
    <x v="39"/>
    <x v="0"/>
    <n v="88318.368660000095"/>
    <n v="91517.999999994994"/>
  </r>
  <r>
    <s v="03"/>
    <s v="03"/>
    <s v="III. interní klinika - nefrologická, revmatologická a endokrinologická"/>
    <x v="2"/>
    <s v="0394"/>
    <s v="centrum - III. interna"/>
    <s v="0394 - centrum - III. interna"/>
    <s v="50113016     léky - spotřeba v centrech (LEK)"/>
    <x v="39"/>
    <x v="1"/>
    <n v="80523.381870000027"/>
    <n v="80011.999999998705"/>
  </r>
  <r>
    <s v="03"/>
    <s v="03"/>
    <s v="III. interní klinika - nefrologická, revmatologická a endokrinologická"/>
    <x v="2"/>
    <s v="0394"/>
    <s v="centrum - III. interna"/>
    <s v="0394 - centrum - III. interna"/>
    <s v="50113016     léky - spotřeba v centrech (LEK)"/>
    <x v="39"/>
    <x v="2"/>
    <n v="37957.082250000014"/>
    <n v="52237.4"/>
  </r>
  <r>
    <s v="04"/>
    <s v="04"/>
    <s v="I. chirurgická klinika"/>
    <x v="3"/>
    <s v="0411"/>
    <s v="lůžkové oddělení 8"/>
    <s v="0411 - lůžkové oddělení 8"/>
    <s v="50113     Léky a léčiva"/>
    <x v="2"/>
    <x v="0"/>
    <n v="1540.640090000001"/>
    <n v="1736.5878453385401"/>
  </r>
  <r>
    <s v="04"/>
    <s v="04"/>
    <s v="I. chirurgická klinika"/>
    <x v="3"/>
    <s v="0411"/>
    <s v="lůžkové oddělení 8"/>
    <s v="0411 - lůžkové oddělení 8"/>
    <s v="50113     Léky a léčiva"/>
    <x v="2"/>
    <x v="1"/>
    <n v="1616.7981500000003"/>
    <n v="1508.90562286517"/>
  </r>
  <r>
    <s v="04"/>
    <s v="04"/>
    <s v="I. chirurgická klinika"/>
    <x v="3"/>
    <s v="0411"/>
    <s v="lůžkové oddělení 8"/>
    <s v="0411 - lůžkové oddělení 8"/>
    <s v="50113     Léky a léčiva"/>
    <x v="2"/>
    <x v="2"/>
    <n v="1074.8484900000001"/>
    <n v="1660.75575810187"/>
  </r>
  <r>
    <s v="04"/>
    <s v="04"/>
    <s v="I. chirurgická klinika"/>
    <x v="3"/>
    <s v="0411"/>
    <s v="lůžkové oddělení 8"/>
    <s v="0411 - lůžkové oddělení 8"/>
    <s v="50113001     léky - paušál+TISS (LEK)"/>
    <x v="3"/>
    <x v="0"/>
    <n v="677.18377999999905"/>
    <n v="843.81546569171303"/>
  </r>
  <r>
    <s v="04"/>
    <s v="04"/>
    <s v="I. chirurgická klinika"/>
    <x v="3"/>
    <s v="0411"/>
    <s v="lůžkové oddělení 8"/>
    <s v="0411 - lůžkové oddělení 8"/>
    <s v="50113001     léky - paušál+TISS (LEK)"/>
    <x v="3"/>
    <x v="1"/>
    <n v="710.05060000000003"/>
    <n v="776.09044488585403"/>
  </r>
  <r>
    <s v="04"/>
    <s v="04"/>
    <s v="I. chirurgická klinika"/>
    <x v="3"/>
    <s v="0411"/>
    <s v="lůžkové oddělení 8"/>
    <s v="0411 - lůžkové oddělení 8"/>
    <s v="50113001     léky - paušál+TISS (LEK)"/>
    <x v="3"/>
    <x v="2"/>
    <n v="456.20666999999992"/>
    <n v="766.99997584135895"/>
  </r>
  <r>
    <s v="04"/>
    <s v="04"/>
    <s v="I. chirurgická klinika"/>
    <x v="3"/>
    <s v="0411"/>
    <s v="lůžkové oddělení 8"/>
    <s v="0411 - lůžkové oddělení 8"/>
    <s v="50113002     léky - parenterální výživa (LEK)"/>
    <x v="17"/>
    <x v="2"/>
    <n v="223.96397999999999"/>
    <n v="299"/>
  </r>
  <r>
    <s v="04"/>
    <s v="04"/>
    <s v="I. chirurgická klinika"/>
    <x v="3"/>
    <s v="0411"/>
    <s v="lůžkové oddělení 8"/>
    <s v="0411 - lůžkové oddělení 8"/>
    <s v="50113006     léky - enterální výživa (LEK)"/>
    <x v="4"/>
    <x v="0"/>
    <n v="331.43075999999996"/>
    <n v="358.397987626028"/>
  </r>
  <r>
    <s v="04"/>
    <s v="04"/>
    <s v="I. chirurgická klinika"/>
    <x v="3"/>
    <s v="0411"/>
    <s v="lůžkové oddělení 8"/>
    <s v="0411 - lůžkové oddělení 8"/>
    <s v="50113006     léky - enterální výživa (LEK)"/>
    <x v="4"/>
    <x v="1"/>
    <n v="379.83683000000002"/>
    <n v="364.65165478026699"/>
  </r>
  <r>
    <s v="04"/>
    <s v="04"/>
    <s v="I. chirurgická klinika"/>
    <x v="3"/>
    <s v="0411"/>
    <s v="lůžkové oddělení 8"/>
    <s v="0411 - lůžkové oddělení 8"/>
    <s v="50113006     léky - enterální výživa (LEK)"/>
    <x v="4"/>
    <x v="2"/>
    <n v="71.898330000000044"/>
    <n v="92"/>
  </r>
  <r>
    <s v="04"/>
    <s v="04"/>
    <s v="I. chirurgická klinika"/>
    <x v="3"/>
    <s v="0411"/>
    <s v="lůžkové oddělení 8"/>
    <s v="0411 - lůžkové oddělení 8"/>
    <s v="50113008     léky - krev.deriváty ZUL (TO)"/>
    <x v="5"/>
    <x v="0"/>
    <n v="37.622999999999998"/>
    <n v="6.9173201176130004"/>
  </r>
  <r>
    <s v="04"/>
    <s v="04"/>
    <s v="I. chirurgická klinika"/>
    <x v="3"/>
    <s v="0411"/>
    <s v="lůžkové oddělení 8"/>
    <s v="0411 - lůžkové oddělení 8"/>
    <s v="50113008     léky - krev.deriváty ZUL (TO)"/>
    <x v="5"/>
    <x v="1"/>
    <n v="24.574560000000005"/>
    <n v="38.000333665398998"/>
  </r>
  <r>
    <s v="04"/>
    <s v="04"/>
    <s v="I. chirurgická klinika"/>
    <x v="3"/>
    <s v="0411"/>
    <s v="lůžkové oddělení 8"/>
    <s v="0411 - lůžkové oddělení 8"/>
    <s v="50113008     léky - krev.deriváty ZUL (TO)"/>
    <x v="5"/>
    <x v="2"/>
    <n v="37.68732"/>
    <n v="11.828995664393"/>
  </r>
  <r>
    <s v="04"/>
    <s v="04"/>
    <s v="I. chirurgická klinika"/>
    <x v="3"/>
    <s v="0411"/>
    <s v="lůžkové oddělení 8"/>
    <s v="0411 - lůžkové oddělení 8"/>
    <s v="50113013     léky (paušál) - antibiotika (LEK)"/>
    <x v="7"/>
    <x v="0"/>
    <n v="378.33119000000005"/>
    <n v="412.35891748189903"/>
  </r>
  <r>
    <s v="04"/>
    <s v="04"/>
    <s v="I. chirurgická klinika"/>
    <x v="3"/>
    <s v="0411"/>
    <s v="lůžkové oddělení 8"/>
    <s v="0411 - lůžkové oddělení 8"/>
    <s v="50113013     léky (paušál) - antibiotika (LEK)"/>
    <x v="7"/>
    <x v="1"/>
    <n v="350.89855"/>
    <n v="233.97750582839001"/>
  </r>
  <r>
    <s v="04"/>
    <s v="04"/>
    <s v="I. chirurgická klinika"/>
    <x v="3"/>
    <s v="0411"/>
    <s v="lůžkové oddělení 8"/>
    <s v="0411 - lůžkové oddělení 8"/>
    <s v="50113013     léky (paušál) - antibiotika (LEK)"/>
    <x v="7"/>
    <x v="2"/>
    <n v="198.91320999999999"/>
    <n v="326.39637579391501"/>
  </r>
  <r>
    <s v="04"/>
    <s v="04"/>
    <s v="I. chirurgická klinika"/>
    <x v="3"/>
    <s v="0411"/>
    <s v="lůžkové oddělení 8"/>
    <s v="0411 - lůžkové oddělení 8"/>
    <s v="50113014     léky (paušál) - antimykotika (LEK)"/>
    <x v="8"/>
    <x v="0"/>
    <n v="22.744110000000003"/>
    <n v="19.492446499526"/>
  </r>
  <r>
    <s v="04"/>
    <s v="04"/>
    <s v="I. chirurgická klinika"/>
    <x v="3"/>
    <s v="0411"/>
    <s v="lůžkové oddělení 8"/>
    <s v="0411 - lůžkové oddělení 8"/>
    <s v="50113014     léky (paušál) - antimykotika (LEK)"/>
    <x v="8"/>
    <x v="1"/>
    <n v="56.858110000000003"/>
    <n v="6.8975264653570001"/>
  </r>
  <r>
    <s v="04"/>
    <s v="04"/>
    <s v="I. chirurgická klinika"/>
    <x v="3"/>
    <s v="0411"/>
    <s v="lůžkové oddělení 8"/>
    <s v="0411 - lůžkové oddělení 8"/>
    <s v="50113014     léky (paušál) - antimykotika (LEK)"/>
    <x v="8"/>
    <x v="2"/>
    <n v="18.026679999999999"/>
    <n v="63.910154327800001"/>
  </r>
  <r>
    <s v="04"/>
    <s v="04"/>
    <s v="I. chirurgická klinika"/>
    <x v="3"/>
    <s v="0411"/>
    <s v="lůžkové oddělení 8"/>
    <s v="0411 - lůžkové oddělení 8"/>
    <s v="50113190     medicinální plyny"/>
    <x v="9"/>
    <x v="0"/>
    <n v="93.327249999998998"/>
    <n v="95.605707921762999"/>
  </r>
  <r>
    <s v="04"/>
    <s v="04"/>
    <s v="I. chirurgická klinika"/>
    <x v="3"/>
    <s v="0411"/>
    <s v="lůžkové oddělení 8"/>
    <s v="0411 - lůžkové oddělení 8"/>
    <s v="50113190     medicinální plyny"/>
    <x v="9"/>
    <x v="1"/>
    <n v="94.579499999999982"/>
    <n v="89.288157239903995"/>
  </r>
  <r>
    <s v="04"/>
    <s v="04"/>
    <s v="I. chirurgická klinika"/>
    <x v="3"/>
    <s v="0411"/>
    <s v="lůžkové oddělení 8"/>
    <s v="0411 - lůžkové oddělení 8"/>
    <s v="50113190     medicinální plyny"/>
    <x v="9"/>
    <x v="2"/>
    <n v="68.152300000000011"/>
    <n v="100.620256474402"/>
  </r>
  <r>
    <s v="04"/>
    <s v="04"/>
    <s v="I. chirurgická klinika"/>
    <x v="3"/>
    <s v="0411"/>
    <s v="lůžkové oddělení 8"/>
    <s v="0411 - lůžkové oddělení 8"/>
    <s v="50115     Zdravotnické prostředky"/>
    <x v="0"/>
    <x v="0"/>
    <n v="416.67378000000002"/>
    <n v="448.285388629745"/>
  </r>
  <r>
    <s v="04"/>
    <s v="04"/>
    <s v="I. chirurgická klinika"/>
    <x v="3"/>
    <s v="0411"/>
    <s v="lůžkové oddělení 8"/>
    <s v="0411 - lůžkové oddělení 8"/>
    <s v="50115     Zdravotnické prostředky"/>
    <x v="0"/>
    <x v="1"/>
    <n v="415.21973000000008"/>
    <n v="416.88342572177601"/>
  </r>
  <r>
    <s v="04"/>
    <s v="04"/>
    <s v="I. chirurgická klinika"/>
    <x v="3"/>
    <s v="0411"/>
    <s v="lůžkové oddělení 8"/>
    <s v="0411 - lůžkové oddělení 8"/>
    <s v="50115     Zdravotnické prostředky"/>
    <x v="0"/>
    <x v="2"/>
    <n v="408.29989999999998"/>
    <n v="509.58812635483702"/>
  </r>
  <r>
    <s v="04"/>
    <s v="04"/>
    <s v="I. chirurgická klinika"/>
    <x v="3"/>
    <s v="0411"/>
    <s v="lůžkové oddělení 8"/>
    <s v="0411 - lůžkové oddělení 8"/>
    <s v="50115020     diagnostika laboratorní-LEK (sk.Z_501)"/>
    <x v="10"/>
    <x v="0"/>
    <n v="14.162239999999999"/>
    <n v="18.653789666525999"/>
  </r>
  <r>
    <s v="04"/>
    <s v="04"/>
    <s v="I. chirurgická klinika"/>
    <x v="3"/>
    <s v="0411"/>
    <s v="lůžkové oddělení 8"/>
    <s v="0411 - lůžkové oddělení 8"/>
    <s v="50115020     diagnostika laboratorní-LEK (sk.Z_501)"/>
    <x v="10"/>
    <x v="1"/>
    <n v="12.601430000000001"/>
    <n v="14.162225000036999"/>
  </r>
  <r>
    <s v="04"/>
    <s v="04"/>
    <s v="I. chirurgická klinika"/>
    <x v="3"/>
    <s v="0411"/>
    <s v="lůžkové oddělení 8"/>
    <s v="0411 - lůžkové oddělení 8"/>
    <s v="50115020     diagnostika laboratorní-LEK (sk.Z_501)"/>
    <x v="10"/>
    <x v="2"/>
    <n v="5.0198400000000003"/>
    <n v="7.2372175570059998"/>
  </r>
  <r>
    <s v="04"/>
    <s v="04"/>
    <s v="I. chirurgická klinika"/>
    <x v="3"/>
    <s v="0411"/>
    <s v="lůžkové oddělení 8"/>
    <s v="0411 - lůžkové oddělení 8"/>
    <s v="50115050     obvazový materiál (sk.Z_502)"/>
    <x v="12"/>
    <x v="0"/>
    <n v="82.365939999999"/>
    <n v="106.60475887003101"/>
  </r>
  <r>
    <s v="04"/>
    <s v="04"/>
    <s v="I. chirurgická klinika"/>
    <x v="3"/>
    <s v="0411"/>
    <s v="lůžkové oddělení 8"/>
    <s v="0411 - lůžkové oddělení 8"/>
    <s v="50115050     obvazový materiál (sk.Z_502)"/>
    <x v="12"/>
    <x v="1"/>
    <n v="66.544619999999995"/>
    <n v="85.553248155465994"/>
  </r>
  <r>
    <s v="04"/>
    <s v="04"/>
    <s v="I. chirurgická klinika"/>
    <x v="3"/>
    <s v="0411"/>
    <s v="lůžkové oddělení 8"/>
    <s v="0411 - lůžkové oddělení 8"/>
    <s v="50115050     obvazový materiál (sk.Z_502)"/>
    <x v="12"/>
    <x v="2"/>
    <n v="78.913399999999996"/>
    <n v="78.350922152801999"/>
  </r>
  <r>
    <s v="04"/>
    <s v="04"/>
    <s v="I. chirurgická klinika"/>
    <x v="3"/>
    <s v="0411"/>
    <s v="lůžkové oddělení 8"/>
    <s v="0411 - lůžkové oddělení 8"/>
    <s v="50115060     ostatní ZPr - mimo níže uvedené (sk.Z_503)"/>
    <x v="1"/>
    <x v="0"/>
    <n v="209.17839999999899"/>
    <n v="221.19145300737199"/>
  </r>
  <r>
    <s v="04"/>
    <s v="04"/>
    <s v="I. chirurgická klinika"/>
    <x v="3"/>
    <s v="0411"/>
    <s v="lůžkové oddělení 8"/>
    <s v="0411 - lůžkové oddělení 8"/>
    <s v="50115060     ostatní ZPr - mimo níže uvedené (sk.Z_503)"/>
    <x v="1"/>
    <x v="1"/>
    <n v="232.55097000000001"/>
    <n v="209.17682418794999"/>
  </r>
  <r>
    <s v="04"/>
    <s v="04"/>
    <s v="I. chirurgická klinika"/>
    <x v="3"/>
    <s v="0411"/>
    <s v="lůžkové oddělení 8"/>
    <s v="0411 - lůžkové oddělení 8"/>
    <s v="50115060     ostatní ZPr - mimo níže uvedené (sk.Z_503)"/>
    <x v="1"/>
    <x v="2"/>
    <n v="211.31726"/>
    <n v="274.99999133816698"/>
  </r>
  <r>
    <s v="04"/>
    <s v="04"/>
    <s v="I. chirurgická klinika"/>
    <x v="3"/>
    <s v="0411"/>
    <s v="lůžkové oddělení 8"/>
    <s v="0411 - lůžkové oddělení 8"/>
    <s v="50115063     ostatní ZPr - vaky, sety (sk.Z_528)"/>
    <x v="13"/>
    <x v="0"/>
    <n v="26.608700000000002"/>
    <n v="25.016968213515"/>
  </r>
  <r>
    <s v="04"/>
    <s v="04"/>
    <s v="I. chirurgická klinika"/>
    <x v="3"/>
    <s v="0411"/>
    <s v="lůžkové oddělení 8"/>
    <s v="0411 - lůžkové oddělení 8"/>
    <s v="50115063     ostatní ZPr - vaky, sety (sk.Z_528)"/>
    <x v="13"/>
    <x v="1"/>
    <n v="28.058150000000001"/>
    <n v="27.066532151874"/>
  </r>
  <r>
    <s v="04"/>
    <s v="04"/>
    <s v="I. chirurgická klinika"/>
    <x v="3"/>
    <s v="0411"/>
    <s v="lůžkové oddělení 8"/>
    <s v="0411 - lůžkové oddělení 8"/>
    <s v="50115063     ostatní ZPr - vaky, sety (sk.Z_528)"/>
    <x v="13"/>
    <x v="2"/>
    <n v="28.2927"/>
    <n v="38.999998771594001"/>
  </r>
  <r>
    <s v="04"/>
    <s v="04"/>
    <s v="I. chirurgická klinika"/>
    <x v="3"/>
    <s v="0411"/>
    <s v="lůžkové oddělení 8"/>
    <s v="0411 - lůžkové oddělení 8"/>
    <s v="50115065     ostatní ZPr - vpichovací materiál (sk.Z_530)"/>
    <x v="14"/>
    <x v="0"/>
    <n v="4.726"/>
    <n v="4.750722294969"/>
  </r>
  <r>
    <s v="04"/>
    <s v="04"/>
    <s v="I. chirurgická klinika"/>
    <x v="3"/>
    <s v="0411"/>
    <s v="lůžkové oddělení 8"/>
    <s v="0411 - lůžkové oddělení 8"/>
    <s v="50115065     ostatní ZPr - vpichovací materiál (sk.Z_530)"/>
    <x v="14"/>
    <x v="1"/>
    <n v="5.8150000000000004"/>
    <n v="4.8480053072529996"/>
  </r>
  <r>
    <s v="04"/>
    <s v="04"/>
    <s v="I. chirurgická klinika"/>
    <x v="3"/>
    <s v="0411"/>
    <s v="lůžkové oddělení 8"/>
    <s v="0411 - lůžkové oddělení 8"/>
    <s v="50115065     ostatní ZPr - vpichovací materiál (sk.Z_530)"/>
    <x v="14"/>
    <x v="2"/>
    <n v="7.7020000000000008"/>
    <n v="16.999999464540998"/>
  </r>
  <r>
    <s v="04"/>
    <s v="04"/>
    <s v="I. chirurgická klinika"/>
    <x v="3"/>
    <s v="0411"/>
    <s v="lůžkové oddělení 8"/>
    <s v="0411 - lůžkové oddělení 8"/>
    <s v="50115067     ostatní ZPr - rukavice (sk.Z_532)"/>
    <x v="15"/>
    <x v="0"/>
    <n v="31.3992"/>
    <n v="35.879606148964001"/>
  </r>
  <r>
    <s v="04"/>
    <s v="04"/>
    <s v="I. chirurgická klinika"/>
    <x v="3"/>
    <s v="0411"/>
    <s v="lůžkové oddělení 8"/>
    <s v="0411 - lůžkové oddělení 8"/>
    <s v="50115067     ostatní ZPr - rukavice (sk.Z_532)"/>
    <x v="15"/>
    <x v="1"/>
    <n v="22.347499999999997"/>
    <n v="28.843515410582"/>
  </r>
  <r>
    <s v="04"/>
    <s v="04"/>
    <s v="I. chirurgická klinika"/>
    <x v="3"/>
    <s v="0411"/>
    <s v="lůžkové oddělení 8"/>
    <s v="0411 - lůžkové oddělení 8"/>
    <s v="50115067     ostatní ZPr - rukavice (sk.Z_532)"/>
    <x v="15"/>
    <x v="2"/>
    <n v="25.353199999999998"/>
    <n v="28.99999908657"/>
  </r>
  <r>
    <s v="04"/>
    <s v="04"/>
    <s v="I. chirurgická klinika"/>
    <x v="3"/>
    <s v="0411"/>
    <s v="lůžkové oddělení 8"/>
    <s v="0411 - lůžkové oddělení 8"/>
    <s v="50115070     ostatní ZPr - katetry (sk.Z_513)"/>
    <x v="16"/>
    <x v="0"/>
    <n v="48.2333"/>
    <n v="36.188090428365001"/>
  </r>
  <r>
    <s v="04"/>
    <s v="04"/>
    <s v="I. chirurgická klinika"/>
    <x v="3"/>
    <s v="0411"/>
    <s v="lůžkové oddělení 8"/>
    <s v="0411 - lůžkové oddělení 8"/>
    <s v="50115070     ostatní ZPr - katetry (sk.Z_513)"/>
    <x v="16"/>
    <x v="1"/>
    <n v="47.302059999999997"/>
    <n v="47.233075508608998"/>
  </r>
  <r>
    <s v="04"/>
    <s v="04"/>
    <s v="I. chirurgická klinika"/>
    <x v="3"/>
    <s v="0411"/>
    <s v="lůžkové oddělení 8"/>
    <s v="0411 - lůžkové oddělení 8"/>
    <s v="50115070     ostatní ZPr - katetry (sk.Z_513)"/>
    <x v="16"/>
    <x v="2"/>
    <n v="37.254679999999993"/>
    <n v="63.999997984155002"/>
  </r>
  <r>
    <s v="04"/>
    <s v="04"/>
    <s v="I. chirurgická klinika"/>
    <x v="3"/>
    <s v="0411"/>
    <s v="lůžkové oddělení 8"/>
    <s v="0411 - lůžkové oddělení 8"/>
    <s v="50115079     ostatní ZPr - intenzivní péče (sk.Z_542)"/>
    <x v="18"/>
    <x v="2"/>
    <n v="14.446819999999999"/>
    <n v="0"/>
  </r>
  <r>
    <s v="04"/>
    <s v="04"/>
    <s v="I. chirurgická klinika"/>
    <x v="3"/>
    <s v="0412"/>
    <s v="lůžkové oddělení 9 + 9P"/>
    <s v="0412 - lůžkové oddělení 9 + 9P"/>
    <s v="50113     Léky a léčiva"/>
    <x v="2"/>
    <x v="0"/>
    <n v="1664.6971700000001"/>
    <n v="1938.74300671424"/>
  </r>
  <r>
    <s v="04"/>
    <s v="04"/>
    <s v="I. chirurgická klinika"/>
    <x v="3"/>
    <s v="0412"/>
    <s v="lůžkové oddělení 9 + 9P"/>
    <s v="0412 - lůžkové oddělení 9 + 9P"/>
    <s v="50113     Léky a léčiva"/>
    <x v="2"/>
    <x v="1"/>
    <n v="1521.491210000001"/>
    <n v="1619.14798801599"/>
  </r>
  <r>
    <s v="04"/>
    <s v="04"/>
    <s v="I. chirurgická klinika"/>
    <x v="3"/>
    <s v="0412"/>
    <s v="lůžkové oddělení 9 + 9P"/>
    <s v="0412 - lůžkové oddělení 9 + 9P"/>
    <s v="50113     Léky a léčiva"/>
    <x v="2"/>
    <x v="2"/>
    <n v="1280.8838499999997"/>
    <n v="1483.4970733187999"/>
  </r>
  <r>
    <s v="04"/>
    <s v="04"/>
    <s v="I. chirurgická klinika"/>
    <x v="3"/>
    <s v="0412"/>
    <s v="lůžkové oddělení 9 + 9P"/>
    <s v="0412 - lůžkové oddělení 9 + 9P"/>
    <s v="50113001     léky - paušál+TISS (LEK)"/>
    <x v="3"/>
    <x v="0"/>
    <n v="869.44683999999904"/>
    <n v="938.30312566389398"/>
  </r>
  <r>
    <s v="04"/>
    <s v="04"/>
    <s v="I. chirurgická klinika"/>
    <x v="3"/>
    <s v="0412"/>
    <s v="lůžkové oddělení 9 + 9P"/>
    <s v="0412 - lůžkové oddělení 9 + 9P"/>
    <s v="50113001     léky - paušál+TISS (LEK)"/>
    <x v="3"/>
    <x v="1"/>
    <n v="803.67336999999998"/>
    <n v="1026.27208610915"/>
  </r>
  <r>
    <s v="04"/>
    <s v="04"/>
    <s v="I. chirurgická klinika"/>
    <x v="3"/>
    <s v="0412"/>
    <s v="lůžkové oddělení 9 + 9P"/>
    <s v="0412 - lůžkové oddělení 9 + 9P"/>
    <s v="50113001     léky - paušál+TISS (LEK)"/>
    <x v="3"/>
    <x v="2"/>
    <n v="548.48360000000002"/>
    <n v="796.99997489643101"/>
  </r>
  <r>
    <s v="04"/>
    <s v="04"/>
    <s v="I. chirurgická klinika"/>
    <x v="3"/>
    <s v="0412"/>
    <s v="lůžkové oddělení 9 + 9P"/>
    <s v="0412 - lůžkové oddělení 9 + 9P"/>
    <s v="50113002     léky - parenterální výživa (LEK)"/>
    <x v="17"/>
    <x v="2"/>
    <n v="125.68773"/>
    <n v="130"/>
  </r>
  <r>
    <s v="04"/>
    <s v="04"/>
    <s v="I. chirurgická klinika"/>
    <x v="3"/>
    <s v="0412"/>
    <s v="lůžkové oddělení 9 + 9P"/>
    <s v="0412 - lůžkové oddělení 9 + 9P"/>
    <s v="50113006     léky - enterální výživa (LEK)"/>
    <x v="4"/>
    <x v="0"/>
    <n v="140.88939999999999"/>
    <n v="165.71517279053899"/>
  </r>
  <r>
    <s v="04"/>
    <s v="04"/>
    <s v="I. chirurgická klinika"/>
    <x v="3"/>
    <s v="0412"/>
    <s v="lůžkové oddělení 9 + 9P"/>
    <s v="0412 - lůžkové oddělení 9 + 9P"/>
    <s v="50113006     léky - enterální výživa (LEK)"/>
    <x v="4"/>
    <x v="1"/>
    <n v="154.43473999999998"/>
    <n v="151.61066417311099"/>
  </r>
  <r>
    <s v="04"/>
    <s v="04"/>
    <s v="I. chirurgická klinika"/>
    <x v="3"/>
    <s v="0412"/>
    <s v="lůžkové oddělení 9 + 9P"/>
    <s v="0412 - lůžkové oddělení 9 + 9P"/>
    <s v="50113006     léky - enterální výživa (LEK)"/>
    <x v="4"/>
    <x v="2"/>
    <n v="30.282900000000012"/>
    <n v="26"/>
  </r>
  <r>
    <s v="04"/>
    <s v="04"/>
    <s v="I. chirurgická klinika"/>
    <x v="3"/>
    <s v="0412"/>
    <s v="lůžkové oddělení 9 + 9P"/>
    <s v="0412 - lůžkové oddělení 9 + 9P"/>
    <s v="50113008     léky - krev.deriváty ZUL (TO)"/>
    <x v="5"/>
    <x v="0"/>
    <n v="28.887480000000004"/>
    <n v="16.026829638839999"/>
  </r>
  <r>
    <s v="04"/>
    <s v="04"/>
    <s v="I. chirurgická klinika"/>
    <x v="3"/>
    <s v="0412"/>
    <s v="lůžkové oddělení 9 + 9P"/>
    <s v="0412 - lůžkové oddělení 9 + 9P"/>
    <s v="50113008     léky - krev.deriváty ZUL (TO)"/>
    <x v="5"/>
    <x v="1"/>
    <n v="32.25864"/>
    <n v="28.000245858715001"/>
  </r>
  <r>
    <s v="04"/>
    <s v="04"/>
    <s v="I. chirurgická klinika"/>
    <x v="3"/>
    <s v="0412"/>
    <s v="lůžkové oddělení 9 + 9P"/>
    <s v="0412 - lůžkové oddělení 9 + 9P"/>
    <s v="50113008     léky - krev.deriváty ZUL (TO)"/>
    <x v="5"/>
    <x v="2"/>
    <n v="21.6172"/>
    <n v="14.850216164268"/>
  </r>
  <r>
    <s v="04"/>
    <s v="04"/>
    <s v="I. chirurgická klinika"/>
    <x v="3"/>
    <s v="0412"/>
    <s v="lůžkové oddělení 9 + 9P"/>
    <s v="0412 - lůžkové oddělení 9 + 9P"/>
    <s v="50113011     léky - hemofilici ZUL (TO)"/>
    <x v="6"/>
    <x v="0"/>
    <n v="40.013910000000003"/>
    <n v="51.999459064779003"/>
  </r>
  <r>
    <s v="04"/>
    <s v="04"/>
    <s v="I. chirurgická klinika"/>
    <x v="3"/>
    <s v="0412"/>
    <s v="lůžkové oddělení 9 + 9P"/>
    <s v="0412 - lůžkové oddělení 9 + 9P"/>
    <s v="50113011     léky - hemofilici ZUL (TO)"/>
    <x v="6"/>
    <x v="1"/>
    <n v="0"/>
    <n v="39.999999999998998"/>
  </r>
  <r>
    <s v="04"/>
    <s v="04"/>
    <s v="I. chirurgická klinika"/>
    <x v="3"/>
    <s v="0412"/>
    <s v="lůžkové oddělení 9 + 9P"/>
    <s v="0412 - lůžkové oddělení 9 + 9P"/>
    <s v="50113011     léky - hemofilici ZUL (TO)"/>
    <x v="6"/>
    <x v="2"/>
    <n v="213.91001"/>
    <n v="0"/>
  </r>
  <r>
    <s v="04"/>
    <s v="04"/>
    <s v="I. chirurgická klinika"/>
    <x v="3"/>
    <s v="0412"/>
    <s v="lůžkové oddělení 9 + 9P"/>
    <s v="0412 - lůžkové oddělení 9 + 9P"/>
    <s v="50113013     léky (paušál) - antibiotika (LEK)"/>
    <x v="7"/>
    <x v="0"/>
    <n v="558.52744999999993"/>
    <n v="756.25495050328198"/>
  </r>
  <r>
    <s v="04"/>
    <s v="04"/>
    <s v="I. chirurgická klinika"/>
    <x v="3"/>
    <s v="0412"/>
    <s v="lůžkové oddělení 9 + 9P"/>
    <s v="0412 - lůžkové oddělení 9 + 9P"/>
    <s v="50113013     léky (paušál) - antibiotika (LEK)"/>
    <x v="7"/>
    <x v="1"/>
    <n v="521.41846999999996"/>
    <n v="363.96500906638499"/>
  </r>
  <r>
    <s v="04"/>
    <s v="04"/>
    <s v="I. chirurgická klinika"/>
    <x v="3"/>
    <s v="0412"/>
    <s v="lůžkové oddělení 9 + 9P"/>
    <s v="0412 - lůžkové oddělení 9 + 9P"/>
    <s v="50113013     léky (paušál) - antibiotika (LEK)"/>
    <x v="7"/>
    <x v="2"/>
    <n v="336.79516999999998"/>
    <n v="503.13914806719299"/>
  </r>
  <r>
    <s v="04"/>
    <s v="04"/>
    <s v="I. chirurgická klinika"/>
    <x v="3"/>
    <s v="0412"/>
    <s v="lůžkové oddělení 9 + 9P"/>
    <s v="0412 - lůžkové oddělení 9 + 9P"/>
    <s v="50113014     léky (paušál) - antimykotika (LEK)"/>
    <x v="8"/>
    <x v="0"/>
    <n v="25.450889999998999"/>
    <n v="8.9143502422169991"/>
  </r>
  <r>
    <s v="04"/>
    <s v="04"/>
    <s v="I. chirurgická klinika"/>
    <x v="3"/>
    <s v="0412"/>
    <s v="lůžkové oddělení 9 + 9P"/>
    <s v="0412 - lůžkové oddělení 9 + 9P"/>
    <s v="50113014     léky (paušál) - antimykotika (LEK)"/>
    <x v="8"/>
    <x v="1"/>
    <n v="8.595089999999999"/>
    <n v="7.8828873889790003"/>
  </r>
  <r>
    <s v="04"/>
    <s v="04"/>
    <s v="I. chirurgická klinika"/>
    <x v="3"/>
    <s v="0412"/>
    <s v="lůžkové oddělení 9 + 9P"/>
    <s v="0412 - lůžkové oddělení 9 + 9P"/>
    <s v="50113014     léky (paušál) - antimykotika (LEK)"/>
    <x v="8"/>
    <x v="2"/>
    <n v="3.6932400000000003"/>
    <n v="10.754539407304"/>
  </r>
  <r>
    <s v="04"/>
    <s v="04"/>
    <s v="I. chirurgická klinika"/>
    <x v="3"/>
    <s v="0412"/>
    <s v="lůžkové oddělení 9 + 9P"/>
    <s v="0412 - lůžkové oddělení 9 + 9P"/>
    <s v="50113190     medicinální plyny"/>
    <x v="9"/>
    <x v="0"/>
    <n v="1.4812000000000001"/>
    <n v="1.529118810687"/>
  </r>
  <r>
    <s v="04"/>
    <s v="04"/>
    <s v="I. chirurgická klinika"/>
    <x v="3"/>
    <s v="0412"/>
    <s v="lůžkové oddělení 9 + 9P"/>
    <s v="0412 - lůžkové oddělení 9 + 9P"/>
    <s v="50113190     medicinální plyny"/>
    <x v="9"/>
    <x v="1"/>
    <n v="1.1109"/>
    <n v="1.417095419652"/>
  </r>
  <r>
    <s v="04"/>
    <s v="04"/>
    <s v="I. chirurgická klinika"/>
    <x v="3"/>
    <s v="0412"/>
    <s v="lůžkové oddělení 9 + 9P"/>
    <s v="0412 - lůžkové oddělení 9 + 9P"/>
    <s v="50113190     medicinální plyny"/>
    <x v="9"/>
    <x v="2"/>
    <n v="0.41399999999999998"/>
    <n v="1.753194783606"/>
  </r>
  <r>
    <s v="04"/>
    <s v="04"/>
    <s v="I. chirurgická klinika"/>
    <x v="3"/>
    <s v="0412"/>
    <s v="lůžkové oddělení 9 + 9P"/>
    <s v="0412 - lůžkové oddělení 9 + 9P"/>
    <s v="50115     Zdravotnické prostředky"/>
    <x v="0"/>
    <x v="0"/>
    <n v="594.85888"/>
    <n v="491.19329799769503"/>
  </r>
  <r>
    <s v="04"/>
    <s v="04"/>
    <s v="I. chirurgická klinika"/>
    <x v="3"/>
    <s v="0412"/>
    <s v="lůžkové oddělení 9 + 9P"/>
    <s v="0412 - lůžkové oddělení 9 + 9P"/>
    <s v="50115     Zdravotnické prostředky"/>
    <x v="0"/>
    <x v="1"/>
    <n v="596.03956999999991"/>
    <n v="595.236794598286"/>
  </r>
  <r>
    <s v="04"/>
    <s v="04"/>
    <s v="I. chirurgická klinika"/>
    <x v="3"/>
    <s v="0412"/>
    <s v="lůžkové oddělení 9 + 9P"/>
    <s v="0412 - lůžkové oddělení 9 + 9P"/>
    <s v="50115     Zdravotnické prostředky"/>
    <x v="0"/>
    <x v="2"/>
    <n v="378.1105"/>
    <n v="634.52921693653298"/>
  </r>
  <r>
    <s v="04"/>
    <s v="04"/>
    <s v="I. chirurgická klinika"/>
    <x v="3"/>
    <s v="0412"/>
    <s v="lůžkové oddělení 9 + 9P"/>
    <s v="0412 - lůžkové oddělení 9 + 9P"/>
    <s v="50115020     diagnostika laboratorní-LEK (sk.Z_501)"/>
    <x v="10"/>
    <x v="0"/>
    <n v="8.6712400000000009"/>
    <n v="11.940814826342001"/>
  </r>
  <r>
    <s v="04"/>
    <s v="04"/>
    <s v="I. chirurgická klinika"/>
    <x v="3"/>
    <s v="0412"/>
    <s v="lůžkové oddělení 9 + 9P"/>
    <s v="0412 - lůžkové oddělení 9 + 9P"/>
    <s v="50115020     diagnostika laboratorní-LEK (sk.Z_501)"/>
    <x v="10"/>
    <x v="1"/>
    <n v="13.41194"/>
    <n v="8.6712308158399996"/>
  </r>
  <r>
    <s v="04"/>
    <s v="04"/>
    <s v="I. chirurgická klinika"/>
    <x v="3"/>
    <s v="0412"/>
    <s v="lůžkové oddělení 9 + 9P"/>
    <s v="0412 - lůžkové oddělení 9 + 9P"/>
    <s v="50115020     diagnostika laboratorní-LEK (sk.Z_501)"/>
    <x v="10"/>
    <x v="2"/>
    <n v="7.2671900000000003"/>
    <n v="14.999999527536"/>
  </r>
  <r>
    <s v="04"/>
    <s v="04"/>
    <s v="I. chirurgická klinika"/>
    <x v="3"/>
    <s v="0412"/>
    <s v="lůžkové oddělení 9 + 9P"/>
    <s v="0412 - lůžkové oddělení 9 + 9P"/>
    <s v="50115050     obvazový materiál (sk.Z_502)"/>
    <x v="12"/>
    <x v="0"/>
    <n v="200.05312999999995"/>
    <n v="161.11564026283699"/>
  </r>
  <r>
    <s v="04"/>
    <s v="04"/>
    <s v="I. chirurgická klinika"/>
    <x v="3"/>
    <s v="0412"/>
    <s v="lůžkové oddělení 9 + 9P"/>
    <s v="0412 - lůžkové oddělení 9 + 9P"/>
    <s v="50115050     obvazový materiál (sk.Z_502)"/>
    <x v="12"/>
    <x v="1"/>
    <n v="193.42228000000003"/>
    <n v="194.508079958417"/>
  </r>
  <r>
    <s v="04"/>
    <s v="04"/>
    <s v="I. chirurgická klinika"/>
    <x v="3"/>
    <s v="0412"/>
    <s v="lůžkové oddělení 9 + 9P"/>
    <s v="0412 - lůžkové oddělení 9 + 9P"/>
    <s v="50115050     obvazový materiál (sk.Z_502)"/>
    <x v="12"/>
    <x v="2"/>
    <n v="113.48049999999999"/>
    <n v="207.31756127700601"/>
  </r>
  <r>
    <s v="04"/>
    <s v="04"/>
    <s v="I. chirurgická klinika"/>
    <x v="3"/>
    <s v="0412"/>
    <s v="lůžkové oddělení 9 + 9P"/>
    <s v="0412 - lůžkové oddělení 9 + 9P"/>
    <s v="50115060     ostatní ZPr - mimo níže uvedené (sk.Z_503)"/>
    <x v="1"/>
    <x v="0"/>
    <n v="250.33279000000002"/>
    <n v="199.99985627427699"/>
  </r>
  <r>
    <s v="04"/>
    <s v="04"/>
    <s v="I. chirurgická klinika"/>
    <x v="3"/>
    <s v="0412"/>
    <s v="lůžkové oddělení 9 + 9P"/>
    <s v="0412 - lůžkové oddělení 9 + 9P"/>
    <s v="50115060     ostatní ZPr - mimo níže uvedené (sk.Z_503)"/>
    <x v="1"/>
    <x v="1"/>
    <n v="239.37277999999998"/>
    <n v="250.33090415793001"/>
  </r>
  <r>
    <s v="04"/>
    <s v="04"/>
    <s v="I. chirurgická klinika"/>
    <x v="3"/>
    <s v="0412"/>
    <s v="lůžkové oddělení 9 + 9P"/>
    <s v="0412 - lůžkové oddělení 9 + 9P"/>
    <s v="50115060     ostatní ZPr - mimo níže uvedené (sk.Z_503)"/>
    <x v="1"/>
    <x v="2"/>
    <n v="144.23703999999998"/>
    <n v="241.99999237758601"/>
  </r>
  <r>
    <s v="04"/>
    <s v="04"/>
    <s v="I. chirurgická klinika"/>
    <x v="3"/>
    <s v="0412"/>
    <s v="lůžkové oddělení 9 + 9P"/>
    <s v="0412 - lůžkové oddělení 9 + 9P"/>
    <s v="50115063     ostatní ZPr - vaky, sety (sk.Z_528)"/>
    <x v="13"/>
    <x v="0"/>
    <n v="31.125000000000004"/>
    <n v="38.000367133483998"/>
  </r>
  <r>
    <s v="04"/>
    <s v="04"/>
    <s v="I. chirurgická klinika"/>
    <x v="3"/>
    <s v="0412"/>
    <s v="lůžkové oddělení 9 + 9P"/>
    <s v="0412 - lůžkové oddělení 9 + 9P"/>
    <s v="50115063     ostatní ZPr - vaky, sety (sk.Z_528)"/>
    <x v="13"/>
    <x v="1"/>
    <n v="34.497100000000003"/>
    <n v="30.490808634364001"/>
  </r>
  <r>
    <s v="04"/>
    <s v="04"/>
    <s v="I. chirurgická klinika"/>
    <x v="3"/>
    <s v="0412"/>
    <s v="lůžkové oddělení 9 + 9P"/>
    <s v="0412 - lůžkové oddělení 9 + 9P"/>
    <s v="50115063     ostatní ZPr - vaky, sety (sk.Z_528)"/>
    <x v="13"/>
    <x v="2"/>
    <n v="28.128500000000003"/>
    <n v="34.917428412549"/>
  </r>
  <r>
    <s v="04"/>
    <s v="04"/>
    <s v="I. chirurgická klinika"/>
    <x v="3"/>
    <s v="0412"/>
    <s v="lůžkové oddělení 9 + 9P"/>
    <s v="0412 - lůžkové oddělení 9 + 9P"/>
    <s v="50115065     ostatní ZPr - vpichovací materiál (sk.Z_530)"/>
    <x v="14"/>
    <x v="0"/>
    <n v="6.399"/>
    <n v="8.1553762019849998"/>
  </r>
  <r>
    <s v="04"/>
    <s v="04"/>
    <s v="I. chirurgická klinika"/>
    <x v="3"/>
    <s v="0412"/>
    <s v="lůžkové oddělení 9 + 9P"/>
    <s v="0412 - lůžkové oddělení 9 + 9P"/>
    <s v="50115065     ostatní ZPr - vpichovací materiál (sk.Z_530)"/>
    <x v="14"/>
    <x v="1"/>
    <n v="14.2516"/>
    <n v="10.564195082757999"/>
  </r>
  <r>
    <s v="04"/>
    <s v="04"/>
    <s v="I. chirurgická klinika"/>
    <x v="3"/>
    <s v="0412"/>
    <s v="lůžkové oddělení 9 + 9P"/>
    <s v="0412 - lůžkové oddělení 9 + 9P"/>
    <s v="50115065     ostatní ZPr - vpichovací materiál (sk.Z_530)"/>
    <x v="14"/>
    <x v="2"/>
    <n v="11.976000000000001"/>
    <n v="22.334447402618999"/>
  </r>
  <r>
    <s v="04"/>
    <s v="04"/>
    <s v="I. chirurgická klinika"/>
    <x v="3"/>
    <s v="0412"/>
    <s v="lůžkové oddělení 9 + 9P"/>
    <s v="0412 - lůžkové oddělení 9 + 9P"/>
    <s v="50115067     ostatní ZPr - rukavice (sk.Z_532)"/>
    <x v="15"/>
    <x v="0"/>
    <n v="27.856400000000001"/>
    <n v="31.116697858559998"/>
  </r>
  <r>
    <s v="04"/>
    <s v="04"/>
    <s v="I. chirurgická klinika"/>
    <x v="3"/>
    <s v="0412"/>
    <s v="lůžkové oddělení 9 + 9P"/>
    <s v="0412 - lůžkové oddělení 9 + 9P"/>
    <s v="50115067     ostatní ZPr - rukavice (sk.Z_532)"/>
    <x v="15"/>
    <x v="1"/>
    <n v="35.660899999999998"/>
    <n v="31.250583623552998"/>
  </r>
  <r>
    <s v="04"/>
    <s v="04"/>
    <s v="I. chirurgická klinika"/>
    <x v="3"/>
    <s v="0412"/>
    <s v="lůžkové oddělení 9 + 9P"/>
    <s v="0412 - lůžkové oddělení 9 + 9P"/>
    <s v="50115067     ostatní ZPr - rukavice (sk.Z_532)"/>
    <x v="15"/>
    <x v="2"/>
    <n v="27.683399999999995"/>
    <n v="35.038934304662"/>
  </r>
  <r>
    <s v="04"/>
    <s v="04"/>
    <s v="I. chirurgická klinika"/>
    <x v="3"/>
    <s v="0412"/>
    <s v="lůžkové oddělení 9 + 9P"/>
    <s v="0412 - lůžkové oddělení 9 + 9P"/>
    <s v="50115070     ostatní ZPr - katetry (sk.Z_513)"/>
    <x v="16"/>
    <x v="0"/>
    <n v="70.421320000000009"/>
    <n v="40.864545440207003"/>
  </r>
  <r>
    <s v="04"/>
    <s v="04"/>
    <s v="I. chirurgická klinika"/>
    <x v="3"/>
    <s v="0412"/>
    <s v="lůžkové oddělení 9 + 9P"/>
    <s v="0412 - lůžkové oddělení 9 + 9P"/>
    <s v="50115070     ostatní ZPr - katetry (sk.Z_513)"/>
    <x v="16"/>
    <x v="1"/>
    <n v="65.422969999999992"/>
    <n v="69.420992325420997"/>
  </r>
  <r>
    <s v="04"/>
    <s v="04"/>
    <s v="I. chirurgická klinika"/>
    <x v="3"/>
    <s v="0412"/>
    <s v="lůžkové oddělení 9 + 9P"/>
    <s v="0412 - lůžkové oddělení 9 + 9P"/>
    <s v="50115070     ostatní ZPr - katetry (sk.Z_513)"/>
    <x v="16"/>
    <x v="2"/>
    <n v="45.155619999999999"/>
    <n v="77.920853634573007"/>
  </r>
  <r>
    <s v="04"/>
    <s v="04"/>
    <s v="I. chirurgická klinika"/>
    <x v="3"/>
    <s v="0412"/>
    <s v="lůžkové oddělení 9 + 9P"/>
    <s v="0412 - lůžkové oddělení 9 + 9P"/>
    <s v="50115079     ostatní ZPr - intenzivní péče (sk.Z_542)"/>
    <x v="18"/>
    <x v="2"/>
    <n v="0.18225"/>
    <n v="0"/>
  </r>
  <r>
    <s v="04"/>
    <s v="04"/>
    <s v="I. chirurgická klinika"/>
    <x v="3"/>
    <s v="0413"/>
    <s v="lůžkové oddělení 3"/>
    <s v="0413 - lůžkové oddělení 3"/>
    <s v="50113     Léky a léčiva"/>
    <x v="2"/>
    <x v="0"/>
    <n v="1626.1522"/>
    <n v="2085.6510146402502"/>
  </r>
  <r>
    <s v="04"/>
    <s v="04"/>
    <s v="I. chirurgická klinika"/>
    <x v="3"/>
    <s v="0413"/>
    <s v="lůžkové oddělení 3"/>
    <s v="0413 - lůžkové oddělení 3"/>
    <s v="50113     Léky a léčiva"/>
    <x v="2"/>
    <x v="1"/>
    <n v="1882.645040000001"/>
    <n v="1629.9345091484699"/>
  </r>
  <r>
    <s v="04"/>
    <s v="04"/>
    <s v="I. chirurgická klinika"/>
    <x v="3"/>
    <s v="0413"/>
    <s v="lůžkové oddělení 3"/>
    <s v="0413 - lůžkové oddělení 3"/>
    <s v="50113     Léky a léčiva"/>
    <x v="2"/>
    <x v="2"/>
    <n v="1204.01623"/>
    <n v="1659.2133430363399"/>
  </r>
  <r>
    <s v="04"/>
    <s v="04"/>
    <s v="I. chirurgická klinika"/>
    <x v="3"/>
    <s v="0413"/>
    <s v="lůžkové oddělení 3"/>
    <s v="0413 - lůžkové oddělení 3"/>
    <s v="50113001     léky - paušál+TISS (LEK)"/>
    <x v="3"/>
    <x v="0"/>
    <n v="887.2333900000001"/>
    <n v="1003.28625054185"/>
  </r>
  <r>
    <s v="04"/>
    <s v="04"/>
    <s v="I. chirurgická klinika"/>
    <x v="3"/>
    <s v="0413"/>
    <s v="lůžkové oddělení 3"/>
    <s v="0413 - lůžkové oddělení 3"/>
    <s v="50113001     léky - paušál+TISS (LEK)"/>
    <x v="3"/>
    <x v="1"/>
    <n v="894.26102000000014"/>
    <n v="1029.15242571626"/>
  </r>
  <r>
    <s v="04"/>
    <s v="04"/>
    <s v="I. chirurgická klinika"/>
    <x v="3"/>
    <s v="0413"/>
    <s v="lůžkové oddělení 3"/>
    <s v="0413 - lůžkové oddělení 3"/>
    <s v="50113001     léky - paušál+TISS (LEK)"/>
    <x v="3"/>
    <x v="2"/>
    <n v="597.14978999999994"/>
    <n v="869.99997259710801"/>
  </r>
  <r>
    <s v="04"/>
    <s v="04"/>
    <s v="I. chirurgická klinika"/>
    <x v="3"/>
    <s v="0413"/>
    <s v="lůžkové oddělení 3"/>
    <s v="0413 - lůžkové oddělení 3"/>
    <s v="50113002     léky - parenterální výživa (LEK)"/>
    <x v="17"/>
    <x v="2"/>
    <n v="162.94945000000001"/>
    <n v="180"/>
  </r>
  <r>
    <s v="04"/>
    <s v="04"/>
    <s v="I. chirurgická klinika"/>
    <x v="3"/>
    <s v="0413"/>
    <s v="lůžkové oddělení 3"/>
    <s v="0413 - lůžkové oddělení 3"/>
    <s v="50113006     léky - enterální výživa (LEK)"/>
    <x v="4"/>
    <x v="0"/>
    <n v="125.50169999999999"/>
    <n v="154.433988871477"/>
  </r>
  <r>
    <s v="04"/>
    <s v="04"/>
    <s v="I. chirurgická klinika"/>
    <x v="3"/>
    <s v="0413"/>
    <s v="lůžkové oddělení 3"/>
    <s v="0413 - lůžkové oddělení 3"/>
    <s v="50113006     léky - enterální výživa (LEK)"/>
    <x v="4"/>
    <x v="1"/>
    <n v="180.46186999999998"/>
    <n v="135.05200598380301"/>
  </r>
  <r>
    <s v="04"/>
    <s v="04"/>
    <s v="I. chirurgická klinika"/>
    <x v="3"/>
    <s v="0413"/>
    <s v="lůžkové oddělení 3"/>
    <s v="0413 - lůžkové oddělení 3"/>
    <s v="50113006     léky - enterální výživa (LEK)"/>
    <x v="4"/>
    <x v="2"/>
    <n v="4.3601999999999919"/>
    <n v="26"/>
  </r>
  <r>
    <s v="04"/>
    <s v="04"/>
    <s v="I. chirurgická klinika"/>
    <x v="3"/>
    <s v="0413"/>
    <s v="lůžkové oddělení 3"/>
    <s v="0413 - lůžkové oddělení 3"/>
    <s v="50113008     léky - krev.deriváty ZUL (TO)"/>
    <x v="5"/>
    <x v="0"/>
    <n v="19.590779999999999"/>
    <n v="11.002660206483"/>
  </r>
  <r>
    <s v="04"/>
    <s v="04"/>
    <s v="I. chirurgická klinika"/>
    <x v="3"/>
    <s v="0413"/>
    <s v="lůžkové oddělení 3"/>
    <s v="0413 - lůžkové oddělení 3"/>
    <s v="50113008     léky - krev.deriváty ZUL (TO)"/>
    <x v="5"/>
    <x v="1"/>
    <n v="32.524439999999998"/>
    <n v="20.000175613368"/>
  </r>
  <r>
    <s v="04"/>
    <s v="04"/>
    <s v="I. chirurgická klinika"/>
    <x v="3"/>
    <s v="0413"/>
    <s v="lůžkové oddělení 3"/>
    <s v="0413 - lůžkové oddělení 3"/>
    <s v="50113008     léky - krev.deriváty ZUL (TO)"/>
    <x v="5"/>
    <x v="2"/>
    <n v="36.572800000000001"/>
    <n v="15.655680498321001"/>
  </r>
  <r>
    <s v="04"/>
    <s v="04"/>
    <s v="I. chirurgická klinika"/>
    <x v="3"/>
    <s v="0413"/>
    <s v="lůžkové oddělení 3"/>
    <s v="0413 - lůžkové oddělení 3"/>
    <s v="50113011     léky - hemofilici ZUL (TO)"/>
    <x v="6"/>
    <x v="1"/>
    <n v="239.41782000000001"/>
    <n v="0"/>
  </r>
  <r>
    <s v="04"/>
    <s v="04"/>
    <s v="I. chirurgická klinika"/>
    <x v="3"/>
    <s v="0413"/>
    <s v="lůžkové oddělení 3"/>
    <s v="0413 - lůžkové oddělení 3"/>
    <s v="50113011     léky - hemofilici ZUL (TO)"/>
    <x v="6"/>
    <x v="2"/>
    <n v="150.4888"/>
    <n v="37.999998803091998"/>
  </r>
  <r>
    <s v="04"/>
    <s v="04"/>
    <s v="I. chirurgická klinika"/>
    <x v="3"/>
    <s v="0413"/>
    <s v="lůžkové oddělení 3"/>
    <s v="0413 - lůžkové oddělení 3"/>
    <s v="50113013     léky (paušál) - antibiotika (LEK)"/>
    <x v="7"/>
    <x v="0"/>
    <n v="552.87816000000009"/>
    <n v="889.626132571109"/>
  </r>
  <r>
    <s v="04"/>
    <s v="04"/>
    <s v="I. chirurgická klinika"/>
    <x v="3"/>
    <s v="0413"/>
    <s v="lůžkové oddělení 3"/>
    <s v="0413 - lůžkové oddělení 3"/>
    <s v="50113013     léky (paušál) - antibiotika (LEK)"/>
    <x v="7"/>
    <x v="1"/>
    <n v="495.44816000000003"/>
    <n v="413.96597035577003"/>
  </r>
  <r>
    <s v="04"/>
    <s v="04"/>
    <s v="I. chirurgická klinika"/>
    <x v="3"/>
    <s v="0413"/>
    <s v="lůžkové oddělení 3"/>
    <s v="0413 - lůžkové oddělení 3"/>
    <s v="50113013     léky (paušál) - antibiotika (LEK)"/>
    <x v="7"/>
    <x v="2"/>
    <n v="232.94963999999999"/>
    <n v="490.15796634145102"/>
  </r>
  <r>
    <s v="04"/>
    <s v="04"/>
    <s v="I. chirurgická klinika"/>
    <x v="3"/>
    <s v="0413"/>
    <s v="lůžkové oddělení 3"/>
    <s v="0413 - lůžkové oddělení 3"/>
    <s v="50113014     léky (paušál) - antimykotika (LEK)"/>
    <x v="8"/>
    <x v="0"/>
    <n v="37.615470000000002"/>
    <n v="13.672255078222999"/>
  </r>
  <r>
    <s v="04"/>
    <s v="04"/>
    <s v="I. chirurgická klinika"/>
    <x v="3"/>
    <s v="0413"/>
    <s v="lůžkové oddělení 3"/>
    <s v="0413 - lůžkové oddělení 3"/>
    <s v="50113014     léky (paušál) - antimykotika (LEK)"/>
    <x v="8"/>
    <x v="1"/>
    <n v="36.044429999999998"/>
    <n v="28.575466785050999"/>
  </r>
  <r>
    <s v="04"/>
    <s v="04"/>
    <s v="I. chirurgická klinika"/>
    <x v="3"/>
    <s v="0413"/>
    <s v="lůžkové oddělení 3"/>
    <s v="0413 - lůžkové oddělení 3"/>
    <s v="50113014     léky (paušál) - antimykotika (LEK)"/>
    <x v="8"/>
    <x v="2"/>
    <n v="17.475550000000002"/>
    <n v="35.192057315710997"/>
  </r>
  <r>
    <s v="04"/>
    <s v="04"/>
    <s v="I. chirurgická klinika"/>
    <x v="3"/>
    <s v="0413"/>
    <s v="lůžkové oddělení 3"/>
    <s v="0413 - lůžkové oddělení 3"/>
    <s v="50113190     medicinální plyny"/>
    <x v="9"/>
    <x v="0"/>
    <n v="3.3326999999989995"/>
    <n v="13.629727371108"/>
  </r>
  <r>
    <s v="04"/>
    <s v="04"/>
    <s v="I. chirurgická klinika"/>
    <x v="3"/>
    <s v="0413"/>
    <s v="lůžkové oddělení 3"/>
    <s v="0413 - lůžkové oddělení 3"/>
    <s v="50113190     medicinální plyny"/>
    <x v="9"/>
    <x v="1"/>
    <n v="4.4872999999999994"/>
    <n v="3.1884646942170001"/>
  </r>
  <r>
    <s v="04"/>
    <s v="04"/>
    <s v="I. chirurgická klinika"/>
    <x v="3"/>
    <s v="0413"/>
    <s v="lůžkové oddělení 3"/>
    <s v="0413 - lůžkové oddělení 3"/>
    <s v="50113190     medicinální plyny"/>
    <x v="9"/>
    <x v="2"/>
    <n v="2.0699999999999998"/>
    <n v="4.2076674806550001"/>
  </r>
  <r>
    <s v="04"/>
    <s v="04"/>
    <s v="I. chirurgická klinika"/>
    <x v="3"/>
    <s v="0413"/>
    <s v="lůžkové oddělení 3"/>
    <s v="0413 - lůžkové oddělení 3"/>
    <s v="50115     Zdravotnické prostředky"/>
    <x v="0"/>
    <x v="0"/>
    <n v="718.09377000000097"/>
    <n v="615.85253550155505"/>
  </r>
  <r>
    <s v="04"/>
    <s v="04"/>
    <s v="I. chirurgická klinika"/>
    <x v="3"/>
    <s v="0413"/>
    <s v="lůžkové oddělení 3"/>
    <s v="0413 - lůžkové oddělení 3"/>
    <s v="50115     Zdravotnické prostředky"/>
    <x v="0"/>
    <x v="1"/>
    <n v="717.04282000000001"/>
    <n v="719.30682488213802"/>
  </r>
  <r>
    <s v="04"/>
    <s v="04"/>
    <s v="I. chirurgická klinika"/>
    <x v="3"/>
    <s v="0413"/>
    <s v="lůžkové oddělení 3"/>
    <s v="0413 - lůžkové oddělení 3"/>
    <s v="50115     Zdravotnické prostředky"/>
    <x v="0"/>
    <x v="2"/>
    <n v="415.05615"/>
    <n v="722.69656568538699"/>
  </r>
  <r>
    <s v="04"/>
    <s v="04"/>
    <s v="I. chirurgická klinika"/>
    <x v="3"/>
    <s v="0413"/>
    <s v="lůžkové oddělení 3"/>
    <s v="0413 - lůžkové oddělení 3"/>
    <s v="50115020     diagnostika laboratorní-LEK (sk.Z_501)"/>
    <x v="10"/>
    <x v="0"/>
    <n v="14.536020000000001"/>
    <n v="11.940814826342001"/>
  </r>
  <r>
    <s v="04"/>
    <s v="04"/>
    <s v="I. chirurgická klinika"/>
    <x v="3"/>
    <s v="0413"/>
    <s v="lůžkové oddělení 3"/>
    <s v="0413 - lůžkové oddělení 3"/>
    <s v="50115020     diagnostika laboratorní-LEK (sk.Z_501)"/>
    <x v="10"/>
    <x v="1"/>
    <n v="15.974069999999999"/>
    <n v="19.536006263034999"/>
  </r>
  <r>
    <s v="04"/>
    <s v="04"/>
    <s v="I. chirurgická klinika"/>
    <x v="3"/>
    <s v="0413"/>
    <s v="lůžkové oddělení 3"/>
    <s v="0413 - lůžkové oddělení 3"/>
    <s v="50115020     diagnostika laboratorní-LEK (sk.Z_501)"/>
    <x v="10"/>
    <x v="2"/>
    <n v="9.2096699999999991"/>
    <n v="18.999999401545999"/>
  </r>
  <r>
    <s v="04"/>
    <s v="04"/>
    <s v="I. chirurgická klinika"/>
    <x v="3"/>
    <s v="0413"/>
    <s v="lůžkové oddělení 3"/>
    <s v="0413 - lůžkové oddělení 3"/>
    <s v="50115040     laboratorní materiál (sk.Z_505)"/>
    <x v="11"/>
    <x v="0"/>
    <n v="0.36542000000000002"/>
    <n v="0"/>
  </r>
  <r>
    <s v="04"/>
    <s v="04"/>
    <s v="I. chirurgická klinika"/>
    <x v="3"/>
    <s v="0413"/>
    <s v="lůžkové oddělení 3"/>
    <s v="0413 - lůžkové oddělení 3"/>
    <s v="50115040     laboratorní materiál (sk.Z_505)"/>
    <x v="11"/>
    <x v="1"/>
    <n v="0"/>
    <n v="0.36544310120200002"/>
  </r>
  <r>
    <s v="04"/>
    <s v="04"/>
    <s v="I. chirurgická klinika"/>
    <x v="3"/>
    <s v="0413"/>
    <s v="lůžkové oddělení 3"/>
    <s v="0413 - lůžkové oddělení 3"/>
    <s v="50115050     obvazový materiál (sk.Z_502)"/>
    <x v="12"/>
    <x v="0"/>
    <n v="317.96850000000001"/>
    <n v="230.78584614265199"/>
  </r>
  <r>
    <s v="04"/>
    <s v="04"/>
    <s v="I. chirurgická klinika"/>
    <x v="3"/>
    <s v="0413"/>
    <s v="lůžkové oddělení 3"/>
    <s v="0413 - lůžkové oddělení 3"/>
    <s v="50115050     obvazový materiál (sk.Z_502)"/>
    <x v="12"/>
    <x v="1"/>
    <n v="311.59379999999999"/>
    <n v="318.69157673273003"/>
  </r>
  <r>
    <s v="04"/>
    <s v="04"/>
    <s v="I. chirurgická klinika"/>
    <x v="3"/>
    <s v="0413"/>
    <s v="lůžkové oddělení 3"/>
    <s v="0413 - lůžkové oddělení 3"/>
    <s v="50115050     obvazový materiál (sk.Z_502)"/>
    <x v="12"/>
    <x v="2"/>
    <n v="165.89751000000001"/>
    <n v="311.99999017275599"/>
  </r>
  <r>
    <s v="04"/>
    <s v="04"/>
    <s v="I. chirurgická klinika"/>
    <x v="3"/>
    <s v="0413"/>
    <s v="lůžkové oddělení 3"/>
    <s v="0413 - lůžkové oddělení 3"/>
    <s v="50115060     ostatní ZPr - mimo níže uvedené (sk.Z_503)"/>
    <x v="1"/>
    <x v="0"/>
    <n v="178.28484999999901"/>
    <n v="196.87482759927801"/>
  </r>
  <r>
    <s v="04"/>
    <s v="04"/>
    <s v="I. chirurgická klinika"/>
    <x v="3"/>
    <s v="0413"/>
    <s v="lůžkové oddělení 3"/>
    <s v="0413 - lůžkové oddělení 3"/>
    <s v="50115060     ostatní ZPr - mimo níže uvedené (sk.Z_503)"/>
    <x v="1"/>
    <x v="1"/>
    <n v="211.74911999999998"/>
    <n v="178.283506919573"/>
  </r>
  <r>
    <s v="04"/>
    <s v="04"/>
    <s v="I. chirurgická klinika"/>
    <x v="3"/>
    <s v="0413"/>
    <s v="lůžkové oddělení 3"/>
    <s v="0413 - lůžkové oddělení 3"/>
    <s v="50115060     ostatní ZPr - mimo níže uvedené (sk.Z_503)"/>
    <x v="1"/>
    <x v="2"/>
    <n v="134.49629999999999"/>
    <n v="208.999993417007"/>
  </r>
  <r>
    <s v="04"/>
    <s v="04"/>
    <s v="I. chirurgická klinika"/>
    <x v="3"/>
    <s v="0413"/>
    <s v="lůžkové oddělení 3"/>
    <s v="0413 - lůžkové oddělení 3"/>
    <s v="50115063     ostatní ZPr - vaky, sety (sk.Z_528)"/>
    <x v="13"/>
    <x v="0"/>
    <n v="19.164999999999999"/>
    <n v="34.650500246391999"/>
  </r>
  <r>
    <s v="04"/>
    <s v="04"/>
    <s v="I. chirurgická klinika"/>
    <x v="3"/>
    <s v="0413"/>
    <s v="lůžkové oddělení 3"/>
    <s v="0413 - lůžkové oddělení 3"/>
    <s v="50115063     ostatní ZPr - vaky, sety (sk.Z_528)"/>
    <x v="13"/>
    <x v="1"/>
    <n v="31.957300000000004"/>
    <n v="18.774501123777998"/>
  </r>
  <r>
    <s v="04"/>
    <s v="04"/>
    <s v="I. chirurgická klinika"/>
    <x v="3"/>
    <s v="0413"/>
    <s v="lůžkové oddělení 3"/>
    <s v="0413 - lůžkové oddělení 3"/>
    <s v="50115063     ostatní ZPr - vaky, sety (sk.Z_528)"/>
    <x v="13"/>
    <x v="2"/>
    <n v="28.128500000000003"/>
    <n v="34.999998897584"/>
  </r>
  <r>
    <s v="04"/>
    <s v="04"/>
    <s v="I. chirurgická klinika"/>
    <x v="3"/>
    <s v="0413"/>
    <s v="lůžkové oddělení 3"/>
    <s v="0413 - lůžkové oddělení 3"/>
    <s v="50115064     ostatní ZPr - šicí materiál (sk.Z_529)"/>
    <x v="21"/>
    <x v="1"/>
    <n v="2.7025000000000001"/>
    <n v="0"/>
  </r>
  <r>
    <s v="04"/>
    <s v="04"/>
    <s v="I. chirurgická klinika"/>
    <x v="3"/>
    <s v="0413"/>
    <s v="lůžkové oddělení 3"/>
    <s v="0413 - lůžkové oddělení 3"/>
    <s v="50115064     ostatní ZPr - šicí materiál (sk.Z_529)"/>
    <x v="21"/>
    <x v="2"/>
    <n v="0"/>
    <n v="1.645664853362"/>
  </r>
  <r>
    <s v="04"/>
    <s v="04"/>
    <s v="I. chirurgická klinika"/>
    <x v="3"/>
    <s v="0413"/>
    <s v="lůžkové oddělení 3"/>
    <s v="0413 - lůžkové oddělení 3"/>
    <s v="50115065     ostatní ZPr - vpichovací materiál (sk.Z_530)"/>
    <x v="14"/>
    <x v="0"/>
    <n v="10.82882"/>
    <n v="5.7008211473939996"/>
  </r>
  <r>
    <s v="04"/>
    <s v="04"/>
    <s v="I. chirurgická klinika"/>
    <x v="3"/>
    <s v="0413"/>
    <s v="lůžkové oddělení 3"/>
    <s v="0413 - lůžkové oddělení 3"/>
    <s v="50115065     ostatní ZPr - vpichovací materiál (sk.Z_530)"/>
    <x v="14"/>
    <x v="1"/>
    <n v="10.64148"/>
    <n v="11.108374276617999"/>
  </r>
  <r>
    <s v="04"/>
    <s v="04"/>
    <s v="I. chirurgická klinika"/>
    <x v="3"/>
    <s v="0413"/>
    <s v="lůžkové oddělení 3"/>
    <s v="0413 - lůžkové oddělení 3"/>
    <s v="50115065     ostatní ZPr - vpichovací materiál (sk.Z_530)"/>
    <x v="14"/>
    <x v="2"/>
    <n v="7.9670000000000005"/>
    <n v="10.050923226801"/>
  </r>
  <r>
    <s v="04"/>
    <s v="04"/>
    <s v="I. chirurgická klinika"/>
    <x v="3"/>
    <s v="0413"/>
    <s v="lůžkové oddělení 3"/>
    <s v="0413 - lůžkové oddělení 3"/>
    <s v="50115067     ostatní ZPr - rukavice (sk.Z_532)"/>
    <x v="15"/>
    <x v="0"/>
    <n v="42.605000000000004"/>
    <n v="64.033724697595005"/>
  </r>
  <r>
    <s v="04"/>
    <s v="04"/>
    <s v="I. chirurgická klinika"/>
    <x v="3"/>
    <s v="0413"/>
    <s v="lůžkové oddělení 3"/>
    <s v="0413 - lůžkové oddělení 3"/>
    <s v="50115067     ostatní ZPr - rukavice (sk.Z_532)"/>
    <x v="15"/>
    <x v="1"/>
    <n v="43.932999999999993"/>
    <n v="43.207881259624003"/>
  </r>
  <r>
    <s v="04"/>
    <s v="04"/>
    <s v="I. chirurgická klinika"/>
    <x v="3"/>
    <s v="0413"/>
    <s v="lůžkové oddělení 3"/>
    <s v="0413 - lůžkové oddělení 3"/>
    <s v="50115067     ostatní ZPr - rukavice (sk.Z_532)"/>
    <x v="15"/>
    <x v="2"/>
    <n v="31.949999999999996"/>
    <n v="44.999998582609003"/>
  </r>
  <r>
    <s v="04"/>
    <s v="04"/>
    <s v="I. chirurgická klinika"/>
    <x v="3"/>
    <s v="0413"/>
    <s v="lůžkové oddělení 3"/>
    <s v="0413 - lůžkové oddělení 3"/>
    <s v="50115070     ostatní ZPr - katetry (sk.Z_513)"/>
    <x v="16"/>
    <x v="0"/>
    <n v="134.34016000000003"/>
    <n v="71.866000841900004"/>
  </r>
  <r>
    <s v="04"/>
    <s v="04"/>
    <s v="I. chirurgická klinika"/>
    <x v="3"/>
    <s v="0413"/>
    <s v="lůžkové oddělení 3"/>
    <s v="0413 - lůžkové oddělení 3"/>
    <s v="50115070     ostatní ZPr - katetry (sk.Z_513)"/>
    <x v="16"/>
    <x v="1"/>
    <n v="88.491549999999989"/>
    <n v="129.339535205575"/>
  </r>
  <r>
    <s v="04"/>
    <s v="04"/>
    <s v="I. chirurgická klinika"/>
    <x v="3"/>
    <s v="0413"/>
    <s v="lůžkové oddělení 3"/>
    <s v="0413 - lůžkové oddělení 3"/>
    <s v="50115070     ostatní ZPr - katetry (sk.Z_513)"/>
    <x v="16"/>
    <x v="2"/>
    <n v="34.811999999999998"/>
    <n v="90.999997133720001"/>
  </r>
  <r>
    <s v="04"/>
    <s v="04"/>
    <s v="I. chirurgická klinika"/>
    <x v="3"/>
    <s v="0413"/>
    <s v="lůžkové oddělení 3"/>
    <s v="0413 - lůžkové oddělení 3"/>
    <s v="50115079     ostatní ZPr - intenzivní péče (sk.Z_542)"/>
    <x v="18"/>
    <x v="2"/>
    <n v="2.59517"/>
    <n v="0"/>
  </r>
  <r>
    <s v="04"/>
    <s v="04"/>
    <s v="I. chirurgická klinika"/>
    <x v="3"/>
    <s v="0421"/>
    <s v="ambulance"/>
    <s v="0421 - ambulance"/>
    <s v="50113     Léky a léčiva"/>
    <x v="2"/>
    <x v="0"/>
    <n v="75.672649999998995"/>
    <n v="75.469998055709993"/>
  </r>
  <r>
    <s v="04"/>
    <s v="04"/>
    <s v="I. chirurgická klinika"/>
    <x v="3"/>
    <s v="0421"/>
    <s v="ambulance"/>
    <s v="0421 - ambulance"/>
    <s v="50113     Léky a léčiva"/>
    <x v="2"/>
    <x v="1"/>
    <n v="75.503119999999996"/>
    <n v="74.253579463627005"/>
  </r>
  <r>
    <s v="04"/>
    <s v="04"/>
    <s v="I. chirurgická klinika"/>
    <x v="3"/>
    <s v="0421"/>
    <s v="ambulance"/>
    <s v="0421 - ambulance"/>
    <s v="50113     Léky a léčiva"/>
    <x v="2"/>
    <x v="2"/>
    <n v="47.238819999999997"/>
    <n v="66.782649090568"/>
  </r>
  <r>
    <s v="04"/>
    <s v="04"/>
    <s v="I. chirurgická klinika"/>
    <x v="3"/>
    <s v="0421"/>
    <s v="ambulance"/>
    <s v="0421 - ambulance"/>
    <s v="50113001     léky - paušál+TISS (LEK)"/>
    <x v="3"/>
    <x v="0"/>
    <n v="42.460920000000002"/>
    <n v="43.211002996917003"/>
  </r>
  <r>
    <s v="04"/>
    <s v="04"/>
    <s v="I. chirurgická klinika"/>
    <x v="3"/>
    <s v="0421"/>
    <s v="ambulance"/>
    <s v="0421 - ambulance"/>
    <s v="50113001     léky - paušál+TISS (LEK)"/>
    <x v="3"/>
    <x v="1"/>
    <n v="42.10136"/>
    <n v="42.459765824153997"/>
  </r>
  <r>
    <s v="04"/>
    <s v="04"/>
    <s v="I. chirurgická klinika"/>
    <x v="3"/>
    <s v="0421"/>
    <s v="ambulance"/>
    <s v="0421 - ambulance"/>
    <s v="50113001     léky - paušál+TISS (LEK)"/>
    <x v="3"/>
    <x v="2"/>
    <n v="25.34939"/>
    <n v="34.294486781964999"/>
  </r>
  <r>
    <s v="04"/>
    <s v="04"/>
    <s v="I. chirurgická klinika"/>
    <x v="3"/>
    <s v="0421"/>
    <s v="ambulance"/>
    <s v="0421 - ambulance"/>
    <s v="50113013     léky (paušál) - antibiotika (LEK)"/>
    <x v="7"/>
    <x v="0"/>
    <n v="0.35080999999899998"/>
    <n v="0.772698513137"/>
  </r>
  <r>
    <s v="04"/>
    <s v="04"/>
    <s v="I. chirurgická klinika"/>
    <x v="3"/>
    <s v="0421"/>
    <s v="ambulance"/>
    <s v="0421 - ambulance"/>
    <s v="50113013     léky (paušál) - antibiotika (LEK)"/>
    <x v="7"/>
    <x v="1"/>
    <n v="0"/>
    <n v="0.35507530733499998"/>
  </r>
  <r>
    <s v="04"/>
    <s v="04"/>
    <s v="I. chirurgická klinika"/>
    <x v="3"/>
    <s v="0421"/>
    <s v="ambulance"/>
    <s v="0421 - ambulance"/>
    <s v="50113190     medicinální plyny"/>
    <x v="9"/>
    <x v="0"/>
    <n v="32.86092"/>
    <n v="31.486296545655001"/>
  </r>
  <r>
    <s v="04"/>
    <s v="04"/>
    <s v="I. chirurgická klinika"/>
    <x v="3"/>
    <s v="0421"/>
    <s v="ambulance"/>
    <s v="0421 - ambulance"/>
    <s v="50113190     medicinální plyny"/>
    <x v="9"/>
    <x v="1"/>
    <n v="33.401759999999996"/>
    <n v="31.438738332136001"/>
  </r>
  <r>
    <s v="04"/>
    <s v="04"/>
    <s v="I. chirurgická klinika"/>
    <x v="3"/>
    <s v="0421"/>
    <s v="ambulance"/>
    <s v="0421 - ambulance"/>
    <s v="50113190     medicinální plyny"/>
    <x v="9"/>
    <x v="2"/>
    <n v="21.889429999999997"/>
    <n v="32.488162308602"/>
  </r>
  <r>
    <s v="04"/>
    <s v="04"/>
    <s v="I. chirurgická klinika"/>
    <x v="3"/>
    <s v="0421"/>
    <s v="ambulance"/>
    <s v="0421 - ambulance"/>
    <s v="50115     Zdravotnické prostředky"/>
    <x v="0"/>
    <x v="0"/>
    <n v="208.06254000000001"/>
    <n v="205.78562211064701"/>
  </r>
  <r>
    <s v="04"/>
    <s v="04"/>
    <s v="I. chirurgická klinika"/>
    <x v="3"/>
    <s v="0421"/>
    <s v="ambulance"/>
    <s v="0421 - ambulance"/>
    <s v="50115     Zdravotnické prostředky"/>
    <x v="0"/>
    <x v="1"/>
    <n v="207.93921000000003"/>
    <n v="207.92177499331299"/>
  </r>
  <r>
    <s v="04"/>
    <s v="04"/>
    <s v="I. chirurgická klinika"/>
    <x v="3"/>
    <s v="0421"/>
    <s v="ambulance"/>
    <s v="0421 - ambulance"/>
    <s v="50115     Zdravotnické prostředky"/>
    <x v="0"/>
    <x v="2"/>
    <n v="137.58435"/>
    <n v="228.3881723339"/>
  </r>
  <r>
    <s v="04"/>
    <s v="04"/>
    <s v="I. chirurgická klinika"/>
    <x v="3"/>
    <s v="0421"/>
    <s v="ambulance"/>
    <s v="0421 - ambulance"/>
    <s v="50115050     obvazový materiál (sk.Z_502)"/>
    <x v="12"/>
    <x v="0"/>
    <n v="83.559449999999003"/>
    <n v="88.481211611372004"/>
  </r>
  <r>
    <s v="04"/>
    <s v="04"/>
    <s v="I. chirurgická klinika"/>
    <x v="3"/>
    <s v="0421"/>
    <s v="ambulance"/>
    <s v="0421 - ambulance"/>
    <s v="50115050     obvazový materiál (sk.Z_502)"/>
    <x v="12"/>
    <x v="1"/>
    <n v="88.502489999999995"/>
    <n v="83.749468489549997"/>
  </r>
  <r>
    <s v="04"/>
    <s v="04"/>
    <s v="I. chirurgická klinika"/>
    <x v="3"/>
    <s v="0421"/>
    <s v="ambulance"/>
    <s v="0421 - ambulance"/>
    <s v="50115050     obvazový materiál (sk.Z_502)"/>
    <x v="12"/>
    <x v="2"/>
    <n v="78.59939"/>
    <n v="91.032259609139999"/>
  </r>
  <r>
    <s v="04"/>
    <s v="04"/>
    <s v="I. chirurgická klinika"/>
    <x v="3"/>
    <s v="0421"/>
    <s v="ambulance"/>
    <s v="0421 - ambulance"/>
    <s v="50115060     ostatní ZPr - mimo níže uvedené (sk.Z_503)"/>
    <x v="1"/>
    <x v="0"/>
    <n v="55.673789999998995"/>
    <n v="53.249959848449997"/>
  </r>
  <r>
    <s v="04"/>
    <s v="04"/>
    <s v="I. chirurgická klinika"/>
    <x v="3"/>
    <s v="0421"/>
    <s v="ambulance"/>
    <s v="0421 - ambulance"/>
    <s v="50115060     ostatní ZPr - mimo níže uvedené (sk.Z_503)"/>
    <x v="1"/>
    <x v="1"/>
    <n v="40.780520000000003"/>
    <n v="55.673370590399003"/>
  </r>
  <r>
    <s v="04"/>
    <s v="04"/>
    <s v="I. chirurgická klinika"/>
    <x v="3"/>
    <s v="0421"/>
    <s v="ambulance"/>
    <s v="0421 - ambulance"/>
    <s v="50115060     ostatní ZPr - mimo níže uvedené (sk.Z_503)"/>
    <x v="1"/>
    <x v="2"/>
    <n v="23.232730000000004"/>
    <n v="41.355915748526002"/>
  </r>
  <r>
    <s v="04"/>
    <s v="04"/>
    <s v="I. chirurgická klinika"/>
    <x v="3"/>
    <s v="0421"/>
    <s v="ambulance"/>
    <s v="0421 - ambulance"/>
    <s v="50115064     ostatní ZPr - šicí materiál (sk.Z_529)"/>
    <x v="21"/>
    <x v="0"/>
    <n v="38.762349999999998"/>
    <n v="38.851987957345997"/>
  </r>
  <r>
    <s v="04"/>
    <s v="04"/>
    <s v="I. chirurgická klinika"/>
    <x v="3"/>
    <s v="0421"/>
    <s v="ambulance"/>
    <s v="0421 - ambulance"/>
    <s v="50115064     ostatní ZPr - šicí materiál (sk.Z_529)"/>
    <x v="21"/>
    <x v="1"/>
    <n v="48.707790000000003"/>
    <n v="38.003374470250002"/>
  </r>
  <r>
    <s v="04"/>
    <s v="04"/>
    <s v="I. chirurgická klinika"/>
    <x v="3"/>
    <s v="0421"/>
    <s v="ambulance"/>
    <s v="0421 - ambulance"/>
    <s v="50115064     ostatní ZPr - šicí materiál (sk.Z_529)"/>
    <x v="21"/>
    <x v="2"/>
    <n v="12.59295"/>
    <n v="57.99999817314"/>
  </r>
  <r>
    <s v="04"/>
    <s v="04"/>
    <s v="I. chirurgická klinika"/>
    <x v="3"/>
    <s v="0421"/>
    <s v="ambulance"/>
    <s v="0421 - ambulance"/>
    <s v="50115065     ostatní ZPr - vpichovací materiál (sk.Z_530)"/>
    <x v="14"/>
    <x v="0"/>
    <n v="0.27"/>
    <n v="5"/>
  </r>
  <r>
    <s v="04"/>
    <s v="04"/>
    <s v="I. chirurgická klinika"/>
    <x v="3"/>
    <s v="0421"/>
    <s v="ambulance"/>
    <s v="0421 - ambulance"/>
    <s v="50115065     ostatní ZPr - vpichovací materiál (sk.Z_530)"/>
    <x v="14"/>
    <x v="1"/>
    <n v="0"/>
    <n v="0.276970256656"/>
  </r>
  <r>
    <s v="04"/>
    <s v="04"/>
    <s v="I. chirurgická klinika"/>
    <x v="3"/>
    <s v="0421"/>
    <s v="ambulance"/>
    <s v="0421 - ambulance"/>
    <s v="50115065     ostatní ZPr - vpichovací materiál (sk.Z_530)"/>
    <x v="14"/>
    <x v="2"/>
    <n v="2.7560000000000002"/>
    <n v="4.9999998425119996"/>
  </r>
  <r>
    <s v="04"/>
    <s v="04"/>
    <s v="I. chirurgická klinika"/>
    <x v="3"/>
    <s v="0421"/>
    <s v="ambulance"/>
    <s v="0421 - ambulance"/>
    <s v="50115067     ostatní ZPr - rukavice (sk.Z_532)"/>
    <x v="15"/>
    <x v="0"/>
    <n v="29.796950000000002"/>
    <n v="20.202462693476999"/>
  </r>
  <r>
    <s v="04"/>
    <s v="04"/>
    <s v="I. chirurgická klinika"/>
    <x v="3"/>
    <s v="0421"/>
    <s v="ambulance"/>
    <s v="0421 - ambulance"/>
    <s v="50115067     ostatní ZPr - rukavice (sk.Z_532)"/>
    <x v="15"/>
    <x v="1"/>
    <n v="29.948409999999999"/>
    <n v="30.218591186455999"/>
  </r>
  <r>
    <s v="04"/>
    <s v="04"/>
    <s v="I. chirurgická klinika"/>
    <x v="3"/>
    <s v="0421"/>
    <s v="ambulance"/>
    <s v="0421 - ambulance"/>
    <s v="50115067     ostatní ZPr - rukavice (sk.Z_532)"/>
    <x v="15"/>
    <x v="2"/>
    <n v="20.403279999999999"/>
    <n v="32.999998960580001"/>
  </r>
  <r>
    <s v="04"/>
    <s v="04"/>
    <s v="I. chirurgická klinika"/>
    <x v="3"/>
    <s v="0432"/>
    <s v="JIP  6"/>
    <s v="0432 - JIP  6"/>
    <s v="50113     Léky a léčiva"/>
    <x v="2"/>
    <x v="0"/>
    <n v="2550.8056400000009"/>
    <n v="3137.6821331816"/>
  </r>
  <r>
    <s v="04"/>
    <s v="04"/>
    <s v="I. chirurgická klinika"/>
    <x v="3"/>
    <s v="0432"/>
    <s v="JIP  6"/>
    <s v="0432 - JIP  6"/>
    <s v="50113     Léky a léčiva"/>
    <x v="2"/>
    <x v="1"/>
    <n v="2980.220800000001"/>
    <n v="2653.2743710956702"/>
  </r>
  <r>
    <s v="04"/>
    <s v="04"/>
    <s v="I. chirurgická klinika"/>
    <x v="3"/>
    <s v="0432"/>
    <s v="JIP  6"/>
    <s v="0432 - JIP  6"/>
    <s v="50113     Léky a léčiva"/>
    <x v="2"/>
    <x v="2"/>
    <n v="2036.3082100000013"/>
    <n v="2813.44633131828"/>
  </r>
  <r>
    <s v="04"/>
    <s v="04"/>
    <s v="I. chirurgická klinika"/>
    <x v="3"/>
    <s v="0432"/>
    <s v="JIP  6"/>
    <s v="0432 - JIP  6"/>
    <s v="50113001     léky - paušál+TISS (LEK)"/>
    <x v="3"/>
    <x v="0"/>
    <n v="1243.60842"/>
    <n v="1542.6186961511401"/>
  </r>
  <r>
    <s v="04"/>
    <s v="04"/>
    <s v="I. chirurgická klinika"/>
    <x v="3"/>
    <s v="0432"/>
    <s v="JIP  6"/>
    <s v="0432 - JIP  6"/>
    <s v="50113001     léky - paušál+TISS (LEK)"/>
    <x v="3"/>
    <x v="1"/>
    <n v="1323.0036"/>
    <n v="1464.95989470059"/>
  </r>
  <r>
    <s v="04"/>
    <s v="04"/>
    <s v="I. chirurgická klinika"/>
    <x v="3"/>
    <s v="0432"/>
    <s v="JIP  6"/>
    <s v="0432 - JIP  6"/>
    <s v="50113001     léky - paušál+TISS (LEK)"/>
    <x v="3"/>
    <x v="2"/>
    <n v="820.37263999999993"/>
    <n v="1243.9999608170101"/>
  </r>
  <r>
    <s v="04"/>
    <s v="04"/>
    <s v="I. chirurgická klinika"/>
    <x v="3"/>
    <s v="0432"/>
    <s v="JIP  6"/>
    <s v="0432 - JIP  6"/>
    <s v="50113002     léky - parenterální výživa (LEK)"/>
    <x v="17"/>
    <x v="2"/>
    <n v="592.62450000000001"/>
    <n v="700"/>
  </r>
  <r>
    <s v="04"/>
    <s v="04"/>
    <s v="I. chirurgická klinika"/>
    <x v="3"/>
    <s v="0432"/>
    <s v="JIP  6"/>
    <s v="0432 - JIP  6"/>
    <s v="50113006     léky - enterální výživa (LEK)"/>
    <x v="4"/>
    <x v="0"/>
    <n v="687.92322999999897"/>
    <n v="810.49381055171"/>
  </r>
  <r>
    <s v="04"/>
    <s v="04"/>
    <s v="I. chirurgická klinika"/>
    <x v="3"/>
    <s v="0432"/>
    <s v="JIP  6"/>
    <s v="0432 - JIP  6"/>
    <s v="50113006     léky - enterální výživa (LEK)"/>
    <x v="4"/>
    <x v="1"/>
    <n v="764.12641000000008"/>
    <n v="740.27214112922297"/>
  </r>
  <r>
    <s v="04"/>
    <s v="04"/>
    <s v="I. chirurgická klinika"/>
    <x v="3"/>
    <s v="0432"/>
    <s v="JIP  6"/>
    <s v="0432 - JIP  6"/>
    <s v="50113006     léky - enterální výživa (LEK)"/>
    <x v="4"/>
    <x v="2"/>
    <n v="38.407180000000039"/>
    <n v="49"/>
  </r>
  <r>
    <s v="04"/>
    <s v="04"/>
    <s v="I. chirurgická klinika"/>
    <x v="3"/>
    <s v="0432"/>
    <s v="JIP  6"/>
    <s v="0432 - JIP  6"/>
    <s v="50113008     léky - krev.deriváty ZUL (TO)"/>
    <x v="5"/>
    <x v="0"/>
    <n v="50.671440000000004"/>
    <n v="30.051224415640998"/>
  </r>
  <r>
    <s v="04"/>
    <s v="04"/>
    <s v="I. chirurgická klinika"/>
    <x v="3"/>
    <s v="0432"/>
    <s v="JIP  6"/>
    <s v="0432 - JIP  6"/>
    <s v="50113008     léky - krev.deriváty ZUL (TO)"/>
    <x v="5"/>
    <x v="1"/>
    <n v="138.59356"/>
    <n v="50.000439033420001"/>
  </r>
  <r>
    <s v="04"/>
    <s v="04"/>
    <s v="I. chirurgická klinika"/>
    <x v="3"/>
    <s v="0432"/>
    <s v="JIP  6"/>
    <s v="0432 - JIP  6"/>
    <s v="50113008     léky - krev.deriváty ZUL (TO)"/>
    <x v="5"/>
    <x v="2"/>
    <n v="136.37994"/>
    <n v="88.707975235909998"/>
  </r>
  <r>
    <s v="04"/>
    <s v="04"/>
    <s v="I. chirurgická klinika"/>
    <x v="3"/>
    <s v="0432"/>
    <s v="JIP  6"/>
    <s v="0432 - JIP  6"/>
    <s v="50113013     léky (paušál) - antibiotika (LEK)"/>
    <x v="7"/>
    <x v="0"/>
    <n v="351.17274999999904"/>
    <n v="551.71270355011495"/>
  </r>
  <r>
    <s v="04"/>
    <s v="04"/>
    <s v="I. chirurgická klinika"/>
    <x v="3"/>
    <s v="0432"/>
    <s v="JIP  6"/>
    <s v="0432 - JIP  6"/>
    <s v="50113013     léky (paušál) - antibiotika (LEK)"/>
    <x v="7"/>
    <x v="1"/>
    <n v="374.66392999999999"/>
    <n v="205.980197438668"/>
  </r>
  <r>
    <s v="04"/>
    <s v="04"/>
    <s v="I. chirurgická klinika"/>
    <x v="3"/>
    <s v="0432"/>
    <s v="JIP  6"/>
    <s v="0432 - JIP  6"/>
    <s v="50113013     léky (paušál) - antibiotika (LEK)"/>
    <x v="7"/>
    <x v="2"/>
    <n v="222.89466000000002"/>
    <n v="345.56217801467898"/>
  </r>
  <r>
    <s v="04"/>
    <s v="04"/>
    <s v="I. chirurgická klinika"/>
    <x v="3"/>
    <s v="0432"/>
    <s v="JIP  6"/>
    <s v="0432 - JIP  6"/>
    <s v="50113014     léky (paušál) - antimykotika (LEK)"/>
    <x v="8"/>
    <x v="0"/>
    <n v="41.398329999999994"/>
    <n v="6.9033583725709997"/>
  </r>
  <r>
    <s v="04"/>
    <s v="04"/>
    <s v="I. chirurgická klinika"/>
    <x v="3"/>
    <s v="0432"/>
    <s v="JIP  6"/>
    <s v="0432 - JIP  6"/>
    <s v="50113014     léky (paušál) - antimykotika (LEK)"/>
    <x v="8"/>
    <x v="1"/>
    <n v="198.43450999999999"/>
    <n v="23.648662166939001"/>
  </r>
  <r>
    <s v="04"/>
    <s v="04"/>
    <s v="I. chirurgická klinika"/>
    <x v="3"/>
    <s v="0432"/>
    <s v="JIP  6"/>
    <s v="0432 - JIP  6"/>
    <s v="50113014     léky (paušál) - antimykotika (LEK)"/>
    <x v="8"/>
    <x v="2"/>
    <n v="102.88155999999998"/>
    <n v="202.926389780318"/>
  </r>
  <r>
    <s v="04"/>
    <s v="04"/>
    <s v="I. chirurgická klinika"/>
    <x v="3"/>
    <s v="0432"/>
    <s v="JIP  6"/>
    <s v="0432 - JIP  6"/>
    <s v="50113190     medicinální plyny"/>
    <x v="9"/>
    <x v="0"/>
    <n v="176.03146999999998"/>
    <n v="195.902340140418"/>
  </r>
  <r>
    <s v="04"/>
    <s v="04"/>
    <s v="I. chirurgická klinika"/>
    <x v="3"/>
    <s v="0432"/>
    <s v="JIP  6"/>
    <s v="0432 - JIP  6"/>
    <s v="50113190     medicinální plyny"/>
    <x v="9"/>
    <x v="1"/>
    <n v="181.39878999999999"/>
    <n v="168.413036626832"/>
  </r>
  <r>
    <s v="04"/>
    <s v="04"/>
    <s v="I. chirurgická klinika"/>
    <x v="3"/>
    <s v="0432"/>
    <s v="JIP  6"/>
    <s v="0432 - JIP  6"/>
    <s v="50113190     medicinální plyny"/>
    <x v="9"/>
    <x v="2"/>
    <n v="122.74772999999998"/>
    <n v="183.24982747035801"/>
  </r>
  <r>
    <s v="04"/>
    <s v="04"/>
    <s v="I. chirurgická klinika"/>
    <x v="3"/>
    <s v="0432"/>
    <s v="JIP  6"/>
    <s v="0432 - JIP  6"/>
    <s v="50115     Zdravotnické prostředky"/>
    <x v="0"/>
    <x v="0"/>
    <n v="1002.5425499999999"/>
    <n v="1030.1667690213201"/>
  </r>
  <r>
    <s v="04"/>
    <s v="04"/>
    <s v="I. chirurgická klinika"/>
    <x v="3"/>
    <s v="0432"/>
    <s v="JIP  6"/>
    <s v="0432 - JIP  6"/>
    <s v="50115     Zdravotnické prostředky"/>
    <x v="0"/>
    <x v="1"/>
    <n v="997.95183999999995"/>
    <n v="1003.4283893199899"/>
  </r>
  <r>
    <s v="04"/>
    <s v="04"/>
    <s v="I. chirurgická klinika"/>
    <x v="3"/>
    <s v="0432"/>
    <s v="JIP  6"/>
    <s v="0432 - JIP  6"/>
    <s v="50115     Zdravotnické prostředky"/>
    <x v="0"/>
    <x v="2"/>
    <n v="728.3212299999999"/>
    <n v="1020.11543287093"/>
  </r>
  <r>
    <s v="04"/>
    <s v="04"/>
    <s v="I. chirurgická klinika"/>
    <x v="3"/>
    <s v="0432"/>
    <s v="JIP  6"/>
    <s v="0432 - JIP  6"/>
    <s v="50115020     diagnostika laboratorní-LEK (sk.Z_501)"/>
    <x v="10"/>
    <x v="0"/>
    <n v="35.312939999999998"/>
    <n v="30.311229020721001"/>
  </r>
  <r>
    <s v="04"/>
    <s v="04"/>
    <s v="I. chirurgická klinika"/>
    <x v="3"/>
    <s v="0432"/>
    <s v="JIP  6"/>
    <s v="0432 - JIP  6"/>
    <s v="50115020     diagnostika laboratorní-LEK (sk.Z_501)"/>
    <x v="10"/>
    <x v="1"/>
    <n v="34.810730000000007"/>
    <n v="35.312902598234999"/>
  </r>
  <r>
    <s v="04"/>
    <s v="04"/>
    <s v="I. chirurgická klinika"/>
    <x v="3"/>
    <s v="0432"/>
    <s v="JIP  6"/>
    <s v="0432 - JIP  6"/>
    <s v="50115020     diagnostika laboratorní-LEK (sk.Z_501)"/>
    <x v="10"/>
    <x v="2"/>
    <n v="32.668140000000001"/>
    <n v="41.999998677100997"/>
  </r>
  <r>
    <s v="04"/>
    <s v="04"/>
    <s v="I. chirurgická klinika"/>
    <x v="3"/>
    <s v="0432"/>
    <s v="JIP  6"/>
    <s v="0432 - JIP  6"/>
    <s v="50115040     laboratorní materiál (sk.Z_505)"/>
    <x v="11"/>
    <x v="0"/>
    <n v="3.2927099999999996"/>
    <n v="5.6996845876729996"/>
  </r>
  <r>
    <s v="04"/>
    <s v="04"/>
    <s v="I. chirurgická klinika"/>
    <x v="3"/>
    <s v="0432"/>
    <s v="JIP  6"/>
    <s v="0432 - JIP  6"/>
    <s v="50115040     laboratorní materiál (sk.Z_505)"/>
    <x v="11"/>
    <x v="1"/>
    <n v="2.0675399999999997"/>
    <n v="3.2929181592719998"/>
  </r>
  <r>
    <s v="04"/>
    <s v="04"/>
    <s v="I. chirurgická klinika"/>
    <x v="3"/>
    <s v="0432"/>
    <s v="JIP  6"/>
    <s v="0432 - JIP  6"/>
    <s v="50115040     laboratorní materiál (sk.Z_505)"/>
    <x v="11"/>
    <x v="2"/>
    <n v="2.4331100000000001"/>
    <n v="3.7151724981509999"/>
  </r>
  <r>
    <s v="04"/>
    <s v="04"/>
    <s v="I. chirurgická klinika"/>
    <x v="3"/>
    <s v="0432"/>
    <s v="JIP  6"/>
    <s v="0432 - JIP  6"/>
    <s v="50115050     obvazový materiál (sk.Z_502)"/>
    <x v="12"/>
    <x v="0"/>
    <n v="189.56784999999999"/>
    <n v="218.477102825434"/>
  </r>
  <r>
    <s v="04"/>
    <s v="04"/>
    <s v="I. chirurgická klinika"/>
    <x v="3"/>
    <s v="0432"/>
    <s v="JIP  6"/>
    <s v="0432 - JIP  6"/>
    <s v="50115050     obvazový materiál (sk.Z_502)"/>
    <x v="12"/>
    <x v="1"/>
    <n v="125.54635"/>
    <n v="189.99893704670001"/>
  </r>
  <r>
    <s v="04"/>
    <s v="04"/>
    <s v="I. chirurgická klinika"/>
    <x v="3"/>
    <s v="0432"/>
    <s v="JIP  6"/>
    <s v="0432 - JIP  6"/>
    <s v="50115050     obvazový materiál (sk.Z_502)"/>
    <x v="12"/>
    <x v="2"/>
    <n v="108.29259999999999"/>
    <n v="129.46882131849"/>
  </r>
  <r>
    <s v="04"/>
    <s v="04"/>
    <s v="I. chirurgická klinika"/>
    <x v="3"/>
    <s v="0432"/>
    <s v="JIP  6"/>
    <s v="0432 - JIP  6"/>
    <s v="50115060     ostatní ZPr - mimo níže uvedené (sk.Z_503)"/>
    <x v="1"/>
    <x v="0"/>
    <n v="559.47379999999907"/>
    <n v="558.14952359472102"/>
  </r>
  <r>
    <s v="04"/>
    <s v="04"/>
    <s v="I. chirurgická klinika"/>
    <x v="3"/>
    <s v="0432"/>
    <s v="JIP  6"/>
    <s v="0432 - JIP  6"/>
    <s v="50115060     ostatní ZPr - mimo níže uvedené (sk.Z_503)"/>
    <x v="1"/>
    <x v="1"/>
    <n v="637.99655999999993"/>
    <n v="559.46958529353196"/>
  </r>
  <r>
    <s v="04"/>
    <s v="04"/>
    <s v="I. chirurgická klinika"/>
    <x v="3"/>
    <s v="0432"/>
    <s v="JIP  6"/>
    <s v="0432 - JIP  6"/>
    <s v="50115060     ostatní ZPr - mimo níže uvedené (sk.Z_503)"/>
    <x v="1"/>
    <x v="2"/>
    <n v="422.60381000000001"/>
    <n v="657.04284632687495"/>
  </r>
  <r>
    <s v="04"/>
    <s v="04"/>
    <s v="I. chirurgická klinika"/>
    <x v="3"/>
    <s v="0432"/>
    <s v="JIP  6"/>
    <s v="0432 - JIP  6"/>
    <s v="50115063     ostatní ZPr - vaky, sety (sk.Z_528)"/>
    <x v="13"/>
    <x v="0"/>
    <n v="44.101500000000009"/>
    <n v="42.600486160667003"/>
  </r>
  <r>
    <s v="04"/>
    <s v="04"/>
    <s v="I. chirurgická klinika"/>
    <x v="3"/>
    <s v="0432"/>
    <s v="JIP  6"/>
    <s v="0432 - JIP  6"/>
    <s v="50115063     ostatní ZPr - vaky, sety (sk.Z_528)"/>
    <x v="13"/>
    <x v="1"/>
    <n v="54.283800000000006"/>
    <n v="43.202904320912999"/>
  </r>
  <r>
    <s v="04"/>
    <s v="04"/>
    <s v="I. chirurgická klinika"/>
    <x v="3"/>
    <s v="0432"/>
    <s v="JIP  6"/>
    <s v="0432 - JIP  6"/>
    <s v="50115063     ostatní ZPr - vaky, sety (sk.Z_528)"/>
    <x v="13"/>
    <x v="2"/>
    <n v="36.331800000000001"/>
    <n v="48.246914201816999"/>
  </r>
  <r>
    <s v="04"/>
    <s v="04"/>
    <s v="I. chirurgická klinika"/>
    <x v="3"/>
    <s v="0432"/>
    <s v="JIP  6"/>
    <s v="0432 - JIP  6"/>
    <s v="50115064     ostatní ZPr - šicí materiál (sk.Z_529)"/>
    <x v="21"/>
    <x v="0"/>
    <n v="2.38306"/>
    <n v="3.9361550331999999"/>
  </r>
  <r>
    <s v="04"/>
    <s v="04"/>
    <s v="I. chirurgická klinika"/>
    <x v="3"/>
    <s v="0432"/>
    <s v="JIP  6"/>
    <s v="0432 - JIP  6"/>
    <s v="50115064     ostatní ZPr - šicí materiál (sk.Z_529)"/>
    <x v="21"/>
    <x v="1"/>
    <n v="4.7659400000000005"/>
    <n v="2.336399149305"/>
  </r>
  <r>
    <s v="04"/>
    <s v="04"/>
    <s v="I. chirurgická klinika"/>
    <x v="3"/>
    <s v="0432"/>
    <s v="JIP  6"/>
    <s v="0432 - JIP  6"/>
    <s v="50115064     ostatní ZPr - šicí materiál (sk.Z_529)"/>
    <x v="21"/>
    <x v="2"/>
    <n v="0"/>
    <n v="5.9999998110139998"/>
  </r>
  <r>
    <s v="04"/>
    <s v="04"/>
    <s v="I. chirurgická klinika"/>
    <x v="3"/>
    <s v="0432"/>
    <s v="JIP  6"/>
    <s v="0432 - JIP  6"/>
    <s v="50115065     ostatní ZPr - vpichovací materiál (sk.Z_530)"/>
    <x v="14"/>
    <x v="0"/>
    <n v="9.546589999999"/>
    <n v="10.451543442364001"/>
  </r>
  <r>
    <s v="04"/>
    <s v="04"/>
    <s v="I. chirurgická klinika"/>
    <x v="3"/>
    <s v="0432"/>
    <s v="JIP  6"/>
    <s v="0432 - JIP  6"/>
    <s v="50115065     ostatní ZPr - vpichovací materiál (sk.Z_530)"/>
    <x v="14"/>
    <x v="1"/>
    <n v="19.407550000000001"/>
    <n v="9.7930425277560005"/>
  </r>
  <r>
    <s v="04"/>
    <s v="04"/>
    <s v="I. chirurgická klinika"/>
    <x v="3"/>
    <s v="0432"/>
    <s v="JIP  6"/>
    <s v="0432 - JIP  6"/>
    <s v="50115065     ostatní ZPr - vpichovací materiál (sk.Z_530)"/>
    <x v="14"/>
    <x v="2"/>
    <n v="19.962790000000002"/>
    <n v="17.669916389638999"/>
  </r>
  <r>
    <s v="04"/>
    <s v="04"/>
    <s v="I. chirurgická klinika"/>
    <x v="3"/>
    <s v="0432"/>
    <s v="JIP  6"/>
    <s v="0432 - JIP  6"/>
    <s v="50115067     ostatní ZPr - rukavice (sk.Z_532)"/>
    <x v="15"/>
    <x v="0"/>
    <n v="81.831999999998999"/>
    <n v="86.203436045562995"/>
  </r>
  <r>
    <s v="04"/>
    <s v="04"/>
    <s v="I. chirurgická klinika"/>
    <x v="3"/>
    <s v="0432"/>
    <s v="JIP  6"/>
    <s v="0432 - JIP  6"/>
    <s v="50115067     ostatní ZPr - rukavice (sk.Z_532)"/>
    <x v="15"/>
    <x v="1"/>
    <n v="100.11389999999999"/>
    <n v="82.989962193113001"/>
  </r>
  <r>
    <s v="04"/>
    <s v="04"/>
    <s v="I. chirurgická klinika"/>
    <x v="3"/>
    <s v="0432"/>
    <s v="JIP  6"/>
    <s v="0432 - JIP  6"/>
    <s v="50115067     ostatní ZPr - rukavice (sk.Z_532)"/>
    <x v="15"/>
    <x v="2"/>
    <n v="61.2438"/>
    <n v="95.971764277793"/>
  </r>
  <r>
    <s v="04"/>
    <s v="04"/>
    <s v="I. chirurgická klinika"/>
    <x v="3"/>
    <s v="0432"/>
    <s v="JIP  6"/>
    <s v="0432 - JIP  6"/>
    <s v="50115070     ostatní ZPr - katetry (sk.Z_513)"/>
    <x v="16"/>
    <x v="0"/>
    <n v="77.0321"/>
    <n v="74.337608310974005"/>
  </r>
  <r>
    <s v="04"/>
    <s v="04"/>
    <s v="I. chirurgická klinika"/>
    <x v="3"/>
    <s v="0432"/>
    <s v="JIP  6"/>
    <s v="0432 - JIP  6"/>
    <s v="50115070     ostatní ZPr - katetry (sk.Z_513)"/>
    <x v="16"/>
    <x v="1"/>
    <n v="18.95947"/>
    <n v="77.031738031157005"/>
  </r>
  <r>
    <s v="04"/>
    <s v="04"/>
    <s v="I. chirurgická klinika"/>
    <x v="3"/>
    <s v="0432"/>
    <s v="JIP  6"/>
    <s v="0432 - JIP  6"/>
    <s v="50115070     ostatní ZPr - katetry (sk.Z_513)"/>
    <x v="16"/>
    <x v="2"/>
    <n v="19.39376"/>
    <n v="19.999999370047998"/>
  </r>
  <r>
    <s v="04"/>
    <s v="04"/>
    <s v="I. chirurgická klinika"/>
    <x v="3"/>
    <s v="0432"/>
    <s v="JIP  6"/>
    <s v="0432 - JIP  6"/>
    <s v="50115079     ostatní ZPr - intenzivní péče (sk.Z_542)"/>
    <x v="18"/>
    <x v="2"/>
    <n v="25.39142"/>
    <n v="0"/>
  </r>
  <r>
    <s v="04"/>
    <s v="04"/>
    <s v="I. chirurgická klinika"/>
    <x v="3"/>
    <s v="0464"/>
    <s v="pracoviště COS"/>
    <s v="0464 - pracoviště COS"/>
    <s v="50113     Léky a léčiva"/>
    <x v="2"/>
    <x v="0"/>
    <n v="182.05995000000001"/>
    <n v="215.196539623386"/>
  </r>
  <r>
    <s v="04"/>
    <s v="04"/>
    <s v="I. chirurgická klinika"/>
    <x v="3"/>
    <s v="0464"/>
    <s v="pracoviště COS"/>
    <s v="0464 - pracoviště COS"/>
    <s v="50113     Léky a léčiva"/>
    <x v="2"/>
    <x v="1"/>
    <n v="193.07164"/>
    <n v="182.05500123306899"/>
  </r>
  <r>
    <s v="04"/>
    <s v="04"/>
    <s v="I. chirurgická klinika"/>
    <x v="3"/>
    <s v="0464"/>
    <s v="pracoviště COS"/>
    <s v="0464 - pracoviště COS"/>
    <s v="50113     Léky a léčiva"/>
    <x v="2"/>
    <x v="2"/>
    <n v="116.18109"/>
    <n v="192.264044213895"/>
  </r>
  <r>
    <s v="04"/>
    <s v="04"/>
    <s v="I. chirurgická klinika"/>
    <x v="3"/>
    <s v="0464"/>
    <s v="pracoviště COS"/>
    <s v="0464 - pracoviště COS"/>
    <s v="50113001     léky - paušál+TISS (LEK)"/>
    <x v="3"/>
    <x v="0"/>
    <n v="182.05995000000001"/>
    <n v="215.196539623386"/>
  </r>
  <r>
    <s v="04"/>
    <s v="04"/>
    <s v="I. chirurgická klinika"/>
    <x v="3"/>
    <s v="0464"/>
    <s v="pracoviště COS"/>
    <s v="0464 - pracoviště COS"/>
    <s v="50113001     léky - paušál+TISS (LEK)"/>
    <x v="3"/>
    <x v="1"/>
    <n v="193.07164"/>
    <n v="182.05500123306899"/>
  </r>
  <r>
    <s v="04"/>
    <s v="04"/>
    <s v="I. chirurgická klinika"/>
    <x v="3"/>
    <s v="0464"/>
    <s v="pracoviště COS"/>
    <s v="0464 - pracoviště COS"/>
    <s v="50113001     léky - paušál+TISS (LEK)"/>
    <x v="3"/>
    <x v="2"/>
    <n v="116.18109"/>
    <n v="192.264044213895"/>
  </r>
  <r>
    <s v="04"/>
    <s v="04"/>
    <s v="I. chirurgická klinika"/>
    <x v="3"/>
    <s v="0464"/>
    <s v="pracoviště COS"/>
    <s v="0464 - pracoviště COS"/>
    <s v="50115     Zdravotnické prostředky"/>
    <x v="0"/>
    <x v="0"/>
    <n v="13772.743040000008"/>
    <n v="12192.954999101101"/>
  </r>
  <r>
    <s v="04"/>
    <s v="04"/>
    <s v="I. chirurgická klinika"/>
    <x v="3"/>
    <s v="0464"/>
    <s v="pracoviště COS"/>
    <s v="0464 - pracoviště COS"/>
    <s v="50115     Zdravotnické prostředky"/>
    <x v="0"/>
    <x v="1"/>
    <n v="13620.748230000005"/>
    <n v="13629.6467737722"/>
  </r>
  <r>
    <s v="04"/>
    <s v="04"/>
    <s v="I. chirurgická klinika"/>
    <x v="3"/>
    <s v="0464"/>
    <s v="pracoviště COS"/>
    <s v="0464 - pracoviště COS"/>
    <s v="50115     Zdravotnické prostředky"/>
    <x v="0"/>
    <x v="2"/>
    <n v="10355.525710000002"/>
    <n v="14040.7430877513"/>
  </r>
  <r>
    <s v="04"/>
    <s v="04"/>
    <s v="I. chirurgická klinika"/>
    <x v="3"/>
    <s v="0464"/>
    <s v="pracoviště COS"/>
    <s v="0464 - pracoviště COS"/>
    <s v="50115004     implant.umělé těl.náhr.-kovové (s.Z_506)"/>
    <x v="25"/>
    <x v="0"/>
    <n v="292.73264"/>
    <n v="251.893877584893"/>
  </r>
  <r>
    <s v="04"/>
    <s v="04"/>
    <s v="I. chirurgická klinika"/>
    <x v="3"/>
    <s v="0464"/>
    <s v="pracoviště COS"/>
    <s v="0464 - pracoviště COS"/>
    <s v="50115004     implant.umělé těl.náhr.-kovové (s.Z_506)"/>
    <x v="25"/>
    <x v="1"/>
    <n v="81.079660000000004"/>
    <n v="225.999860005682"/>
  </r>
  <r>
    <s v="04"/>
    <s v="04"/>
    <s v="I. chirurgická klinika"/>
    <x v="3"/>
    <s v="0464"/>
    <s v="pracoviště COS"/>
    <s v="0464 - pracoviště COS"/>
    <s v="50115004     implant.umělé těl.náhr.-kovové (s.Z_506)"/>
    <x v="25"/>
    <x v="2"/>
    <n v="68.328059999999994"/>
    <n v="92.999997070725001"/>
  </r>
  <r>
    <s v="04"/>
    <s v="04"/>
    <s v="I. chirurgická klinika"/>
    <x v="3"/>
    <s v="0464"/>
    <s v="pracoviště COS"/>
    <s v="0464 - pracoviště COS"/>
    <s v="50115011     implant.umělé těl.náhr.-ostat.nákl.PZT(s.Z_515)"/>
    <x v="26"/>
    <x v="1"/>
    <n v="58.051519999999996"/>
    <n v="9.9999946156030006"/>
  </r>
  <r>
    <s v="04"/>
    <s v="04"/>
    <s v="I. chirurgická klinika"/>
    <x v="3"/>
    <s v="0464"/>
    <s v="pracoviště COS"/>
    <s v="0464 - pracoviště COS"/>
    <s v="50115011     implant.umělé těl.náhr.-ostat.nákl.PZT(s.Z_515)"/>
    <x v="26"/>
    <x v="2"/>
    <n v="10.709489999999999"/>
    <n v="9.9999996850239992"/>
  </r>
  <r>
    <s v="04"/>
    <s v="04"/>
    <s v="I. chirurgická klinika"/>
    <x v="3"/>
    <s v="0464"/>
    <s v="pracoviště COS"/>
    <s v="0464 - pracoviště COS"/>
    <s v="50115050     obvazový materiál (sk.Z_502)"/>
    <x v="12"/>
    <x v="0"/>
    <n v="12.62987"/>
    <n v="4.1979079739209997"/>
  </r>
  <r>
    <s v="04"/>
    <s v="04"/>
    <s v="I. chirurgická klinika"/>
    <x v="3"/>
    <s v="0464"/>
    <s v="pracoviště COS"/>
    <s v="0464 - pracoviště COS"/>
    <s v="50115050     obvazový materiál (sk.Z_502)"/>
    <x v="12"/>
    <x v="1"/>
    <n v="6.7960000000000003"/>
    <n v="12.658590974355"/>
  </r>
  <r>
    <s v="04"/>
    <s v="04"/>
    <s v="I. chirurgická klinika"/>
    <x v="3"/>
    <s v="0464"/>
    <s v="pracoviště COS"/>
    <s v="0464 - pracoviště COS"/>
    <s v="50115050     obvazový materiál (sk.Z_502)"/>
    <x v="12"/>
    <x v="2"/>
    <n v="0"/>
    <n v="8.2019471097699999"/>
  </r>
  <r>
    <s v="04"/>
    <s v="04"/>
    <s v="I. chirurgická klinika"/>
    <x v="3"/>
    <s v="0464"/>
    <s v="pracoviště COS"/>
    <s v="0464 - pracoviště COS"/>
    <s v="50115060     ostatní ZPr - mimo níže uvedené (sk.Z_503)"/>
    <x v="1"/>
    <x v="0"/>
    <n v="2788.2171800000028"/>
    <n v="2467.5016562053202"/>
  </r>
  <r>
    <s v="04"/>
    <s v="04"/>
    <s v="I. chirurgická klinika"/>
    <x v="3"/>
    <s v="0464"/>
    <s v="pracoviště COS"/>
    <s v="0464 - pracoviště COS"/>
    <s v="50115060     ostatní ZPr - mimo níže uvedené (sk.Z_503)"/>
    <x v="1"/>
    <x v="1"/>
    <n v="2620.1387900000009"/>
    <n v="2778.1993999700198"/>
  </r>
  <r>
    <s v="04"/>
    <s v="04"/>
    <s v="I. chirurgická klinika"/>
    <x v="3"/>
    <s v="0464"/>
    <s v="pracoviště COS"/>
    <s v="0464 - pracoviště COS"/>
    <s v="50115060     ostatní ZPr - mimo níže uvedené (sk.Z_503)"/>
    <x v="1"/>
    <x v="2"/>
    <n v="2015.7939099999999"/>
    <n v="2815.5336221238999"/>
  </r>
  <r>
    <s v="04"/>
    <s v="04"/>
    <s v="I. chirurgická klinika"/>
    <x v="3"/>
    <s v="0464"/>
    <s v="pracoviště COS"/>
    <s v="0464 - pracoviště COS"/>
    <s v="50115061     ostatní ZPr - robotické centrum (sk.Z_512)"/>
    <x v="43"/>
    <x v="0"/>
    <n v="56.493159999999996"/>
    <n v="31.997999999985002"/>
  </r>
  <r>
    <s v="04"/>
    <s v="04"/>
    <s v="I. chirurgická klinika"/>
    <x v="3"/>
    <s v="0464"/>
    <s v="pracoviště COS"/>
    <s v="0464 - pracoviště COS"/>
    <s v="50115063     ostatní ZPr - vaky, sety (sk.Z_528)"/>
    <x v="13"/>
    <x v="0"/>
    <n v="0"/>
    <n v="4.7500886421409998"/>
  </r>
  <r>
    <s v="04"/>
    <s v="04"/>
    <s v="I. chirurgická klinika"/>
    <x v="3"/>
    <s v="0464"/>
    <s v="pracoviště COS"/>
    <s v="0464 - pracoviště COS"/>
    <s v="50115064     ostatní ZPr - šicí materiál (sk.Z_529)"/>
    <x v="21"/>
    <x v="0"/>
    <n v="45.110419999998996"/>
    <n v="101.21540009790699"/>
  </r>
  <r>
    <s v="04"/>
    <s v="04"/>
    <s v="I. chirurgická klinika"/>
    <x v="3"/>
    <s v="0464"/>
    <s v="pracoviště COS"/>
    <s v="0464 - pracoviště COS"/>
    <s v="50115064     ostatní ZPr - šicí materiál (sk.Z_529)"/>
    <x v="21"/>
    <x v="1"/>
    <n v="32.152340000000002"/>
    <n v="34.22708120595"/>
  </r>
  <r>
    <s v="04"/>
    <s v="04"/>
    <s v="I. chirurgická klinika"/>
    <x v="3"/>
    <s v="0464"/>
    <s v="pracoviště COS"/>
    <s v="0464 - pracoviště COS"/>
    <s v="50115064     ostatní ZPr - šicí materiál (sk.Z_529)"/>
    <x v="21"/>
    <x v="2"/>
    <n v="9.7785499999999992"/>
    <n v="20.043564614617999"/>
  </r>
  <r>
    <s v="04"/>
    <s v="04"/>
    <s v="I. chirurgická klinika"/>
    <x v="3"/>
    <s v="0464"/>
    <s v="pracoviště COS"/>
    <s v="0464 - pracoviště COS"/>
    <s v="50115065     ostatní ZPr - vpichovací materiál (sk.Z_530)"/>
    <x v="14"/>
    <x v="0"/>
    <n v="0"/>
    <n v="7.6011328686670003"/>
  </r>
  <r>
    <s v="04"/>
    <s v="04"/>
    <s v="I. chirurgická klinika"/>
    <x v="3"/>
    <s v="0464"/>
    <s v="pracoviště COS"/>
    <s v="0464 - pracoviště COS"/>
    <s v="50115066     ostatní ZPr - šicí materiál - robot (sk.Z_531)"/>
    <x v="44"/>
    <x v="0"/>
    <n v="0"/>
    <n v="4.0311810563800003"/>
  </r>
  <r>
    <s v="04"/>
    <s v="04"/>
    <s v="I. chirurgická klinika"/>
    <x v="3"/>
    <s v="0464"/>
    <s v="pracoviště COS"/>
    <s v="0464 - pracoviště COS"/>
    <s v="50115067     ostatní ZPr - rukavice (sk.Z_532)"/>
    <x v="15"/>
    <x v="0"/>
    <n v="0.78"/>
    <n v="7.601063436225"/>
  </r>
  <r>
    <s v="04"/>
    <s v="04"/>
    <s v="I. chirurgická klinika"/>
    <x v="3"/>
    <s v="0464"/>
    <s v="pracoviště COS"/>
    <s v="0464 - pracoviště COS"/>
    <s v="50115067     ostatní ZPr - rukavice (sk.Z_532)"/>
    <x v="15"/>
    <x v="1"/>
    <n v="0"/>
    <n v="0.79103737548399999"/>
  </r>
  <r>
    <s v="04"/>
    <s v="04"/>
    <s v="I. chirurgická klinika"/>
    <x v="3"/>
    <s v="0464"/>
    <s v="pracoviště COS"/>
    <s v="0464 - pracoviště COS"/>
    <s v="50115070     ostatní ZPr - katetry (sk.Z_513)"/>
    <x v="16"/>
    <x v="0"/>
    <n v="2.48292"/>
    <n v="26.743263958637002"/>
  </r>
  <r>
    <s v="04"/>
    <s v="04"/>
    <s v="I. chirurgická klinika"/>
    <x v="3"/>
    <s v="0464"/>
    <s v="pracoviště COS"/>
    <s v="0464 - pracoviště COS"/>
    <s v="50115070     ostatní ZPr - katetry (sk.Z_513)"/>
    <x v="16"/>
    <x v="1"/>
    <n v="3.9561299999999999"/>
    <n v="2.482908332919"/>
  </r>
  <r>
    <s v="04"/>
    <s v="04"/>
    <s v="I. chirurgická klinika"/>
    <x v="3"/>
    <s v="0464"/>
    <s v="pracoviště COS"/>
    <s v="0464 - pracoviště COS"/>
    <s v="50115070     ostatní ZPr - katetry (sk.Z_513)"/>
    <x v="16"/>
    <x v="2"/>
    <n v="1.02135"/>
    <n v="2.9643064869220002"/>
  </r>
  <r>
    <s v="04"/>
    <s v="04"/>
    <s v="I. chirurgická klinika"/>
    <x v="3"/>
    <s v="0464"/>
    <s v="pracoviště COS"/>
    <s v="0464 - pracoviště COS"/>
    <s v="50115075     ostatní ZPr - stenty (sk.Z_538)"/>
    <x v="35"/>
    <x v="2"/>
    <n v="0"/>
    <n v="4.9999998425119996"/>
  </r>
  <r>
    <s v="04"/>
    <s v="04"/>
    <s v="I. chirurgická klinika"/>
    <x v="3"/>
    <s v="0464"/>
    <s v="pracoviště COS"/>
    <s v="0464 - pracoviště COS"/>
    <s v="50115080     ostatní ZPr - staplery, extraktory (sk.Z_523)"/>
    <x v="30"/>
    <x v="0"/>
    <n v="10574.29685000001"/>
    <n v="9285.4214272770096"/>
  </r>
  <r>
    <s v="04"/>
    <s v="04"/>
    <s v="I. chirurgická klinika"/>
    <x v="3"/>
    <s v="0464"/>
    <s v="pracoviště COS"/>
    <s v="0464 - pracoviště COS"/>
    <s v="50115080     ostatní ZPr - staplery, extraktory (sk.Z_523)"/>
    <x v="30"/>
    <x v="1"/>
    <n v="10818.573790000004"/>
    <n v="10565.2879012921"/>
  </r>
  <r>
    <s v="04"/>
    <s v="04"/>
    <s v="I. chirurgická klinika"/>
    <x v="3"/>
    <s v="0464"/>
    <s v="pracoviště COS"/>
    <s v="0464 - pracoviště COS"/>
    <s v="50115080     ostatní ZPr - staplery, extraktory (sk.Z_523)"/>
    <x v="30"/>
    <x v="2"/>
    <n v="8249.8943500000005"/>
    <n v="11085.999650817899"/>
  </r>
  <r>
    <s v="04"/>
    <s v="04"/>
    <s v="I. chirurgická klinika"/>
    <x v="3"/>
    <s v="0466"/>
    <s v="pracoviště DK COS"/>
    <s v="0466 - pracoviště DK COS"/>
    <s v="50113     Léky a léčiva"/>
    <x v="2"/>
    <x v="0"/>
    <n v="0"/>
    <n v="56.6988811469"/>
  </r>
  <r>
    <s v="04"/>
    <s v="04"/>
    <s v="I. chirurgická klinika"/>
    <x v="3"/>
    <s v="0466"/>
    <s v="pracoviště DK COS"/>
    <s v="0466 - pracoviště DK COS"/>
    <s v="50113001     léky - paušál+TISS (LEK)"/>
    <x v="3"/>
    <x v="0"/>
    <n v="0"/>
    <n v="56.454583790610997"/>
  </r>
  <r>
    <s v="04"/>
    <s v="04"/>
    <s v="I. chirurgická klinika"/>
    <x v="3"/>
    <s v="0466"/>
    <s v="pracoviště DK COS"/>
    <s v="0466 - pracoviště DK COS"/>
    <s v="50113013     léky (paušál) - antibiotika (LEK)"/>
    <x v="7"/>
    <x v="0"/>
    <n v="0"/>
    <n v="0.24429735628800001"/>
  </r>
  <r>
    <s v="04"/>
    <s v="04"/>
    <s v="I. chirurgická klinika"/>
    <x v="3"/>
    <s v="0466"/>
    <s v="pracoviště DK COS"/>
    <s v="0466 - pracoviště DK COS"/>
    <s v="50115     Zdravotnické prostředky"/>
    <x v="0"/>
    <x v="0"/>
    <n v="685.47876999999983"/>
    <n v="700.76795571769003"/>
  </r>
  <r>
    <s v="04"/>
    <s v="04"/>
    <s v="I. chirurgická klinika"/>
    <x v="3"/>
    <s v="0466"/>
    <s v="pracoviště DK COS"/>
    <s v="0466 - pracoviště DK COS"/>
    <s v="50115     Zdravotnické prostředky"/>
    <x v="0"/>
    <x v="1"/>
    <n v="572.02439000000004"/>
    <n v="648.27921988013998"/>
  </r>
  <r>
    <s v="04"/>
    <s v="04"/>
    <s v="I. chirurgická klinika"/>
    <x v="3"/>
    <s v="0466"/>
    <s v="pracoviště DK COS"/>
    <s v="0466 - pracoviště DK COS"/>
    <s v="50115     Zdravotnické prostředky"/>
    <x v="0"/>
    <x v="2"/>
    <n v="300.64964999999995"/>
    <n v="469.55259189826199"/>
  </r>
  <r>
    <s v="04"/>
    <s v="04"/>
    <s v="I. chirurgická klinika"/>
    <x v="3"/>
    <s v="0466"/>
    <s v="pracoviště DK COS"/>
    <s v="0466 - pracoviště DK COS"/>
    <s v="50115060     ostatní ZPr - mimo níže uvedené (sk.Z_503)"/>
    <x v="1"/>
    <x v="0"/>
    <n v="114.58715999999899"/>
    <n v="113.999906202784"/>
  </r>
  <r>
    <s v="04"/>
    <s v="04"/>
    <s v="I. chirurgická klinika"/>
    <x v="3"/>
    <s v="0466"/>
    <s v="pracoviště DK COS"/>
    <s v="0466 - pracoviště DK COS"/>
    <s v="50115060     ostatní ZPr - mimo níže uvedené (sk.Z_503)"/>
    <x v="1"/>
    <x v="1"/>
    <n v="82.291030000000006"/>
    <n v="114.58629677594099"/>
  </r>
  <r>
    <s v="04"/>
    <s v="04"/>
    <s v="I. chirurgická klinika"/>
    <x v="3"/>
    <s v="0466"/>
    <s v="pracoviště DK COS"/>
    <s v="0466 - pracoviště DK COS"/>
    <s v="50115060     ostatní ZPr - mimo níže uvedené (sk.Z_503)"/>
    <x v="1"/>
    <x v="2"/>
    <n v="50.488539999999993"/>
    <n v="85.444559132671003"/>
  </r>
  <r>
    <s v="04"/>
    <s v="04"/>
    <s v="I. chirurgická klinika"/>
    <x v="3"/>
    <s v="0466"/>
    <s v="pracoviště DK COS"/>
    <s v="0466 - pracoviště DK COS"/>
    <s v="50115065     ostatní ZPr - vpichovací materiál (sk.Z_530)"/>
    <x v="14"/>
    <x v="0"/>
    <n v="0"/>
    <n v="10.451543442364001"/>
  </r>
  <r>
    <s v="04"/>
    <s v="04"/>
    <s v="I. chirurgická klinika"/>
    <x v="3"/>
    <s v="0466"/>
    <s v="pracoviště DK COS"/>
    <s v="0466 - pracoviště DK COS"/>
    <s v="50115067     ostatní ZPr - rukavice (sk.Z_532)"/>
    <x v="15"/>
    <x v="0"/>
    <n v="0"/>
    <n v="6.3239142938260002"/>
  </r>
  <r>
    <s v="04"/>
    <s v="04"/>
    <s v="I. chirurgická klinika"/>
    <x v="3"/>
    <s v="0466"/>
    <s v="pracoviště DK COS"/>
    <s v="0466 - pracoviště DK COS"/>
    <s v="50115080     ostatní ZPr - staplery, extraktory (sk.Z_523)"/>
    <x v="30"/>
    <x v="0"/>
    <n v="570.89161000000001"/>
    <n v="569.992591778715"/>
  </r>
  <r>
    <s v="04"/>
    <s v="04"/>
    <s v="I. chirurgická klinika"/>
    <x v="3"/>
    <s v="0466"/>
    <s v="pracoviště DK COS"/>
    <s v="0466 - pracoviště DK COS"/>
    <s v="50115080     ostatní ZPr - staplery, extraktory (sk.Z_523)"/>
    <x v="30"/>
    <x v="1"/>
    <n v="489.73336"/>
    <n v="533.69292310419803"/>
  </r>
  <r>
    <s v="04"/>
    <s v="04"/>
    <s v="I. chirurgická klinika"/>
    <x v="3"/>
    <s v="0466"/>
    <s v="pracoviště DK COS"/>
    <s v="0466 - pracoviště DK COS"/>
    <s v="50115080     ostatní ZPr - staplery, extraktory (sk.Z_523)"/>
    <x v="30"/>
    <x v="2"/>
    <n v="250.16111000000001"/>
    <n v="384.10803276559"/>
  </r>
  <r>
    <s v="04"/>
    <s v="04"/>
    <s v="I. chirurgická klinika"/>
    <x v="3"/>
    <s v="0471"/>
    <s v="odd. invaz. vyš. metotody-endoskopie"/>
    <s v="0471 - odd. invaz. vyš. metotody-endoskopie"/>
    <s v="50113     Léky a léčiva"/>
    <x v="2"/>
    <x v="0"/>
    <n v="33.649890000000006"/>
    <n v="39.183981563967997"/>
  </r>
  <r>
    <s v="04"/>
    <s v="04"/>
    <s v="I. chirurgická klinika"/>
    <x v="3"/>
    <s v="0471"/>
    <s v="odd. invaz. vyš. metotody-endoskopie"/>
    <s v="0471 - odd. invaz. vyš. metotody-endoskopie"/>
    <s v="50113     Léky a léčiva"/>
    <x v="2"/>
    <x v="1"/>
    <n v="27.169740000000001"/>
    <n v="33.649895829186001"/>
  </r>
  <r>
    <s v="04"/>
    <s v="04"/>
    <s v="I. chirurgická klinika"/>
    <x v="3"/>
    <s v="0471"/>
    <s v="odd. invaz. vyš. metotody-endoskopie"/>
    <s v="0471 - odd. invaz. vyš. metotody-endoskopie"/>
    <s v="50113     Léky a léčiva"/>
    <x v="2"/>
    <x v="2"/>
    <n v="19.258340000000004"/>
    <n v="28.728347951166999"/>
  </r>
  <r>
    <s v="04"/>
    <s v="04"/>
    <s v="I. chirurgická klinika"/>
    <x v="3"/>
    <s v="0471"/>
    <s v="odd. invaz. vyš. metotody-endoskopie"/>
    <s v="0471 - odd. invaz. vyš. metotody-endoskopie"/>
    <s v="50113001     léky - paušál+TISS (LEK)"/>
    <x v="3"/>
    <x v="0"/>
    <n v="33.574350000000003"/>
    <n v="39.105399129669998"/>
  </r>
  <r>
    <s v="04"/>
    <s v="04"/>
    <s v="I. chirurgická klinika"/>
    <x v="3"/>
    <s v="0471"/>
    <s v="odd. invaz. vyš. metotody-endoskopie"/>
    <s v="0471 - odd. invaz. vyš. metotody-endoskopie"/>
    <s v="50113001     léky - paušál+TISS (LEK)"/>
    <x v="3"/>
    <x v="1"/>
    <n v="27.169740000000001"/>
    <n v="33.573437379551997"/>
  </r>
  <r>
    <s v="04"/>
    <s v="04"/>
    <s v="I. chirurgická klinika"/>
    <x v="3"/>
    <s v="0471"/>
    <s v="odd. invaz. vyš. metotody-endoskopie"/>
    <s v="0471 - odd. invaz. vyš. metotody-endoskopie"/>
    <s v="50113001     léky - paušál+TISS (LEK)"/>
    <x v="3"/>
    <x v="2"/>
    <n v="19.258340000000004"/>
    <n v="28.728347951166999"/>
  </r>
  <r>
    <s v="04"/>
    <s v="04"/>
    <s v="I. chirurgická klinika"/>
    <x v="3"/>
    <s v="0471"/>
    <s v="odd. invaz. vyš. metotody-endoskopie"/>
    <s v="0471 - odd. invaz. vyš. metotody-endoskopie"/>
    <s v="50113013     léky (paušál) - antibiotika (LEK)"/>
    <x v="7"/>
    <x v="0"/>
    <n v="7.5539999999999996E-2"/>
    <n v="7.1587372359000007E-2"/>
  </r>
  <r>
    <s v="04"/>
    <s v="04"/>
    <s v="I. chirurgická klinika"/>
    <x v="3"/>
    <s v="0471"/>
    <s v="odd. invaz. vyš. metotody-endoskopie"/>
    <s v="0471 - odd. invaz. vyš. metotody-endoskopie"/>
    <s v="50113013     léky (paušál) - antibiotika (LEK)"/>
    <x v="7"/>
    <x v="1"/>
    <n v="0"/>
    <n v="7.6458449634000003E-2"/>
  </r>
  <r>
    <s v="04"/>
    <s v="04"/>
    <s v="I. chirurgická klinika"/>
    <x v="3"/>
    <s v="0471"/>
    <s v="odd. invaz. vyš. metotody-endoskopie"/>
    <s v="0471 - odd. invaz. vyš. metotody-endoskopie"/>
    <s v="50113014     léky (paušál) - antimykotika (LEK)"/>
    <x v="8"/>
    <x v="0"/>
    <n v="0"/>
    <n v="6.9950619380000001E-3"/>
  </r>
  <r>
    <s v="04"/>
    <s v="04"/>
    <s v="I. chirurgická klinika"/>
    <x v="3"/>
    <s v="0471"/>
    <s v="odd. invaz. vyš. metotody-endoskopie"/>
    <s v="0471 - odd. invaz. vyš. metotody-endoskopie"/>
    <s v="50115     Zdravotnické prostředky"/>
    <x v="0"/>
    <x v="0"/>
    <n v="146.05259999999899"/>
    <n v="118.423891331169"/>
  </r>
  <r>
    <s v="04"/>
    <s v="04"/>
    <s v="I. chirurgická klinika"/>
    <x v="3"/>
    <s v="0471"/>
    <s v="odd. invaz. vyš. metotody-endoskopie"/>
    <s v="0471 - odd. invaz. vyš. metotody-endoskopie"/>
    <s v="50115     Zdravotnické prostředky"/>
    <x v="0"/>
    <x v="1"/>
    <n v="208.79215000000002"/>
    <n v="145.75146896345899"/>
  </r>
  <r>
    <s v="04"/>
    <s v="04"/>
    <s v="I. chirurgická klinika"/>
    <x v="3"/>
    <s v="0471"/>
    <s v="odd. invaz. vyš. metotody-endoskopie"/>
    <s v="0471 - odd. invaz. vyš. metotody-endoskopie"/>
    <s v="50115     Zdravotnické prostředky"/>
    <x v="0"/>
    <x v="2"/>
    <n v="194.61762999999999"/>
    <n v="291.89530686307"/>
  </r>
  <r>
    <s v="04"/>
    <s v="04"/>
    <s v="I. chirurgická klinika"/>
    <x v="3"/>
    <s v="0471"/>
    <s v="odd. invaz. vyš. metotody-endoskopie"/>
    <s v="0471 - odd. invaz. vyš. metotody-endoskopie"/>
    <s v="50115020     diagnostika laboratorní-LEK (sk.Z_501)"/>
    <x v="10"/>
    <x v="0"/>
    <n v="2.4611399999990002"/>
    <n v="3.6741056388729998"/>
  </r>
  <r>
    <s v="04"/>
    <s v="04"/>
    <s v="I. chirurgická klinika"/>
    <x v="3"/>
    <s v="0471"/>
    <s v="odd. invaz. vyš. metotody-endoskopie"/>
    <s v="0471 - odd. invaz. vyš. metotody-endoskopie"/>
    <s v="50115020     diagnostika laboratorní-LEK (sk.Z_501)"/>
    <x v="10"/>
    <x v="1"/>
    <n v="4.2569800000000004"/>
    <n v="10.461137393278999"/>
  </r>
  <r>
    <s v="04"/>
    <s v="04"/>
    <s v="I. chirurgická klinika"/>
    <x v="3"/>
    <s v="0471"/>
    <s v="odd. invaz. vyš. metotody-endoskopie"/>
    <s v="0471 - odd. invaz. vyš. metotody-endoskopie"/>
    <s v="50115020     diagnostika laboratorní-LEK (sk.Z_501)"/>
    <x v="10"/>
    <x v="2"/>
    <n v="1.573"/>
    <n v="3.963501390742"/>
  </r>
  <r>
    <s v="04"/>
    <s v="04"/>
    <s v="I. chirurgická klinika"/>
    <x v="3"/>
    <s v="0471"/>
    <s v="odd. invaz. vyš. metotody-endoskopie"/>
    <s v="0471 - odd. invaz. vyš. metotody-endoskopie"/>
    <s v="50115040     laboratorní materiál (sk.Z_505)"/>
    <x v="11"/>
    <x v="1"/>
    <n v="0.15851000000000001"/>
    <n v="0"/>
  </r>
  <r>
    <s v="04"/>
    <s v="04"/>
    <s v="I. chirurgická klinika"/>
    <x v="3"/>
    <s v="0471"/>
    <s v="odd. invaz. vyš. metotody-endoskopie"/>
    <s v="0471 - odd. invaz. vyš. metotody-endoskopie"/>
    <s v="50115040     laboratorní materiál (sk.Z_505)"/>
    <x v="11"/>
    <x v="2"/>
    <n v="0"/>
    <n v="0.284827375858"/>
  </r>
  <r>
    <s v="04"/>
    <s v="04"/>
    <s v="I. chirurgická klinika"/>
    <x v="3"/>
    <s v="0471"/>
    <s v="odd. invaz. vyš. metotody-endoskopie"/>
    <s v="0471 - odd. invaz. vyš. metotody-endoskopie"/>
    <s v="50115050     obvazový materiál (sk.Z_502)"/>
    <x v="12"/>
    <x v="0"/>
    <n v="12.156670000000002"/>
    <n v="5.8080484498920004"/>
  </r>
  <r>
    <s v="04"/>
    <s v="04"/>
    <s v="I. chirurgická klinika"/>
    <x v="3"/>
    <s v="0471"/>
    <s v="odd. invaz. vyš. metotody-endoskopie"/>
    <s v="0471 - odd. invaz. vyš. metotody-endoskopie"/>
    <s v="50115050     obvazový materiál (sk.Z_502)"/>
    <x v="12"/>
    <x v="1"/>
    <n v="5.4637099999999998"/>
    <n v="12.184314893203"/>
  </r>
  <r>
    <s v="04"/>
    <s v="04"/>
    <s v="I. chirurgická klinika"/>
    <x v="3"/>
    <s v="0471"/>
    <s v="odd. invaz. vyš. metotody-endoskopie"/>
    <s v="0471 - odd. invaz. vyš. metotody-endoskopie"/>
    <s v="50115050     obvazový materiál (sk.Z_502)"/>
    <x v="12"/>
    <x v="2"/>
    <n v="5.74308"/>
    <n v="8.7191911492499994"/>
  </r>
  <r>
    <s v="04"/>
    <s v="04"/>
    <s v="I. chirurgická klinika"/>
    <x v="3"/>
    <s v="0471"/>
    <s v="odd. invaz. vyš. metotody-endoskopie"/>
    <s v="0471 - odd. invaz. vyš. metotody-endoskopie"/>
    <s v="50115060     ostatní ZPr - mimo níže uvedené (sk.Z_503)"/>
    <x v="1"/>
    <x v="0"/>
    <n v="115.34178999999901"/>
    <n v="92.791565060498996"/>
  </r>
  <r>
    <s v="04"/>
    <s v="04"/>
    <s v="I. chirurgická klinika"/>
    <x v="3"/>
    <s v="0471"/>
    <s v="odd. invaz. vyš. metotody-endoskopie"/>
    <s v="0471 - odd. invaz. vyš. metotody-endoskopie"/>
    <s v="50115060     ostatní ZPr - mimo níže uvedené (sk.Z_503)"/>
    <x v="1"/>
    <x v="1"/>
    <n v="128.97851"/>
    <n v="115.340921091057"/>
  </r>
  <r>
    <s v="04"/>
    <s v="04"/>
    <s v="I. chirurgická klinika"/>
    <x v="3"/>
    <s v="0471"/>
    <s v="odd. invaz. vyš. metotody-endoskopie"/>
    <s v="0471 - odd. invaz. vyš. metotody-endoskopie"/>
    <s v="50115060     ostatní ZPr - mimo níže uvedené (sk.Z_503)"/>
    <x v="1"/>
    <x v="2"/>
    <n v="161.41006999999999"/>
    <n v="240.73340597008601"/>
  </r>
  <r>
    <s v="04"/>
    <s v="04"/>
    <s v="I. chirurgická klinika"/>
    <x v="3"/>
    <s v="0471"/>
    <s v="odd. invaz. vyš. metotody-endoskopie"/>
    <s v="0471 - odd. invaz. vyš. metotody-endoskopie"/>
    <s v="50115063     ostatní ZPr - vaky, sety (sk.Z_528)"/>
    <x v="13"/>
    <x v="0"/>
    <n v="16.093"/>
    <n v="16.150172181902999"/>
  </r>
  <r>
    <s v="04"/>
    <s v="04"/>
    <s v="I. chirurgická klinika"/>
    <x v="3"/>
    <s v="0471"/>
    <s v="odd. invaz. vyš. metotody-endoskopie"/>
    <s v="0471 - odd. invaz. vyš. metotody-endoskopie"/>
    <s v="50115063     ostatní ZPr - vaky, sety (sk.Z_528)"/>
    <x v="13"/>
    <x v="1"/>
    <n v="0"/>
    <n v="7.7650955859200002"/>
  </r>
  <r>
    <s v="04"/>
    <s v="04"/>
    <s v="I. chirurgická klinika"/>
    <x v="3"/>
    <s v="0471"/>
    <s v="odd. invaz. vyš. metotody-endoskopie"/>
    <s v="0471 - odd. invaz. vyš. metotody-endoskopie"/>
    <s v="50115063     ostatní ZPr - vaky, sety (sk.Z_528)"/>
    <x v="13"/>
    <x v="2"/>
    <n v="13.793999999999999"/>
    <n v="30"/>
  </r>
  <r>
    <s v="04"/>
    <s v="04"/>
    <s v="I. chirurgická klinika"/>
    <x v="3"/>
    <s v="0471"/>
    <s v="odd. invaz. vyš. metotody-endoskopie"/>
    <s v="0471 - odd. invaz. vyš. metotody-endoskopie"/>
    <s v="50115065     ostatní ZPr - vpichovací materiál (sk.Z_530)"/>
    <x v="14"/>
    <x v="1"/>
    <n v="0.17599999999999999"/>
    <n v="0"/>
  </r>
  <r>
    <s v="04"/>
    <s v="04"/>
    <s v="I. chirurgická klinika"/>
    <x v="3"/>
    <s v="0471"/>
    <s v="odd. invaz. vyš. metotody-endoskopie"/>
    <s v="0471 - odd. invaz. vyš. metotody-endoskopie"/>
    <s v="50115065     ostatní ZPr - vpichovací materiál (sk.Z_530)"/>
    <x v="14"/>
    <x v="2"/>
    <n v="7.3182"/>
    <n v="3.19438113462"/>
  </r>
  <r>
    <s v="04"/>
    <s v="04"/>
    <s v="I. chirurgická klinika"/>
    <x v="3"/>
    <s v="0471"/>
    <s v="odd. invaz. vyš. metotody-endoskopie"/>
    <s v="0471 - odd. invaz. vyš. metotody-endoskopie"/>
    <s v="50115067     ostatní ZPr - rukavice (sk.Z_532)"/>
    <x v="15"/>
    <x v="2"/>
    <n v="4.6400799999999993"/>
    <n v="4.9999998425119996"/>
  </r>
  <r>
    <s v="04"/>
    <s v="04"/>
    <s v="I. chirurgická klinika"/>
    <x v="3"/>
    <s v="0471"/>
    <s v="odd. invaz. vyš. metotody-endoskopie"/>
    <s v="0471 - odd. invaz. vyš. metotody-endoskopie"/>
    <s v="50115079     ostatní ZPr - intenzivní péče (sk.Z_542)"/>
    <x v="18"/>
    <x v="2"/>
    <n v="0.13919999999999999"/>
    <n v="0"/>
  </r>
  <r>
    <s v="04"/>
    <s v="04"/>
    <s v="I. chirurgická klinika"/>
    <x v="3"/>
    <s v="0471"/>
    <s v="odd. invaz. vyš. metotody-endoskopie"/>
    <s v="0471 - odd. invaz. vyš. metotody-endoskopie"/>
    <s v="50115080     ostatní ZPr - staplery, extraktory (sk.Z_523)"/>
    <x v="30"/>
    <x v="1"/>
    <n v="69.758439999999993"/>
    <n v="0"/>
  </r>
  <r>
    <s v="05"/>
    <s v="05"/>
    <s v="II. chirurgická klinika - cévně-transplantační"/>
    <x v="4"/>
    <s v="0511"/>
    <s v="lůžkové oddělení 37"/>
    <s v="0511 - lůžkové oddělení 37"/>
    <s v="50113     Léky a léčiva"/>
    <x v="2"/>
    <x v="0"/>
    <n v="1685.923050000001"/>
    <n v="1718.60673893895"/>
  </r>
  <r>
    <s v="05"/>
    <s v="05"/>
    <s v="II. chirurgická klinika - cévně-transplantační"/>
    <x v="4"/>
    <s v="0511"/>
    <s v="lůžkové oddělení 37"/>
    <s v="0511 - lůžkové oddělení 37"/>
    <s v="50113     Léky a léčiva"/>
    <x v="2"/>
    <x v="1"/>
    <n v="1640.20442"/>
    <n v="1667.71700418408"/>
  </r>
  <r>
    <s v="05"/>
    <s v="05"/>
    <s v="II. chirurgická klinika - cévně-transplantační"/>
    <x v="4"/>
    <s v="0511"/>
    <s v="lůžkové oddělení 37"/>
    <s v="0511 - lůžkové oddělení 37"/>
    <s v="50113     Léky a léčiva"/>
    <x v="2"/>
    <x v="2"/>
    <n v="1040.8304499999999"/>
    <n v="1519.5945271825899"/>
  </r>
  <r>
    <s v="05"/>
    <s v="05"/>
    <s v="II. chirurgická klinika - cévně-transplantační"/>
    <x v="4"/>
    <s v="0511"/>
    <s v="lůžkové oddělení 37"/>
    <s v="0511 - lůžkové oddělení 37"/>
    <s v="50113001     léky - paušál+TISS (LEK)"/>
    <x v="3"/>
    <x v="0"/>
    <n v="1492.8764699999999"/>
    <n v="1512.02609367523"/>
  </r>
  <r>
    <s v="05"/>
    <s v="05"/>
    <s v="II. chirurgická klinika - cévně-transplantační"/>
    <x v="4"/>
    <s v="0511"/>
    <s v="lůžkové oddělení 37"/>
    <s v="0511 - lůžkové oddělení 37"/>
    <s v="50113001     léky - paušál+TISS (LEK)"/>
    <x v="3"/>
    <x v="1"/>
    <n v="1473.49839"/>
    <n v="1494.0073099792401"/>
  </r>
  <r>
    <s v="05"/>
    <s v="05"/>
    <s v="II. chirurgická klinika - cévně-transplantační"/>
    <x v="4"/>
    <s v="0511"/>
    <s v="lůžkové oddělení 37"/>
    <s v="0511 - lůžkové oddělení 37"/>
    <s v="50113001     léky - paušál+TISS (LEK)"/>
    <x v="3"/>
    <x v="2"/>
    <n v="927.47168000000011"/>
    <n v="1341.57314826121"/>
  </r>
  <r>
    <s v="05"/>
    <s v="05"/>
    <s v="II. chirurgická klinika - cévně-transplantační"/>
    <x v="4"/>
    <s v="0511"/>
    <s v="lůžkové oddělení 37"/>
    <s v="0511 - lůžkové oddělení 37"/>
    <s v="50113006     léky - enterální výživa (LEK)"/>
    <x v="4"/>
    <x v="0"/>
    <n v="0"/>
    <n v="0.317191284962"/>
  </r>
  <r>
    <s v="05"/>
    <s v="05"/>
    <s v="II. chirurgická klinika - cévně-transplantační"/>
    <x v="4"/>
    <s v="0511"/>
    <s v="lůžkové oddělení 37"/>
    <s v="0511 - lůžkové oddělení 37"/>
    <s v="50113006     léky - enterální výživa (LEK)"/>
    <x v="4"/>
    <x v="1"/>
    <n v="3.6810100000000001"/>
    <n v="0"/>
  </r>
  <r>
    <s v="05"/>
    <s v="05"/>
    <s v="II. chirurgická klinika - cévně-transplantační"/>
    <x v="4"/>
    <s v="0511"/>
    <s v="lůžkové oddělení 37"/>
    <s v="0511 - lůžkové oddělení 37"/>
    <s v="50113006     léky - enterální výživa (LEK)"/>
    <x v="4"/>
    <x v="2"/>
    <n v="0.59802"/>
    <n v="0"/>
  </r>
  <r>
    <s v="05"/>
    <s v="05"/>
    <s v="II. chirurgická klinika - cévně-transplantační"/>
    <x v="4"/>
    <s v="0511"/>
    <s v="lůžkové oddělení 37"/>
    <s v="0511 - lůžkové oddělení 37"/>
    <s v="50113007     léky - krev.deriváty ZUL (LEK)"/>
    <x v="45"/>
    <x v="0"/>
    <n v="17.068079999999998"/>
    <n v="0"/>
  </r>
  <r>
    <s v="05"/>
    <s v="05"/>
    <s v="II. chirurgická klinika - cévně-transplantační"/>
    <x v="4"/>
    <s v="0511"/>
    <s v="lůžkové oddělení 37"/>
    <s v="0511 - lůžkové oddělení 37"/>
    <s v="50113007     léky - krev.deriváty ZUL (LEK)"/>
    <x v="45"/>
    <x v="1"/>
    <n v="0"/>
    <n v="16.627919785736999"/>
  </r>
  <r>
    <s v="05"/>
    <s v="05"/>
    <s v="II. chirurgická klinika - cévně-transplantační"/>
    <x v="4"/>
    <s v="0511"/>
    <s v="lůžkové oddělení 37"/>
    <s v="0511 - lůžkové oddělení 37"/>
    <s v="50113008     léky - krev.deriváty ZUL (TO)"/>
    <x v="5"/>
    <x v="0"/>
    <n v="0"/>
    <n v="5.135670510612"/>
  </r>
  <r>
    <s v="05"/>
    <s v="05"/>
    <s v="II. chirurgická klinika - cévně-transplantační"/>
    <x v="4"/>
    <s v="0511"/>
    <s v="lůžkové oddělení 37"/>
    <s v="0511 - lůžkové oddělení 37"/>
    <s v="50113013     léky (paušál) - antibiotika (LEK)"/>
    <x v="7"/>
    <x v="0"/>
    <n v="81.918809999998999"/>
    <n v="104.860472709758"/>
  </r>
  <r>
    <s v="05"/>
    <s v="05"/>
    <s v="II. chirurgická klinika - cévně-transplantační"/>
    <x v="4"/>
    <s v="0511"/>
    <s v="lůžkové oddělení 37"/>
    <s v="0511 - lůžkové oddělení 37"/>
    <s v="50113013     léky (paušál) - antibiotika (LEK)"/>
    <x v="7"/>
    <x v="1"/>
    <n v="68.906309999999991"/>
    <n v="66.993559361120006"/>
  </r>
  <r>
    <s v="05"/>
    <s v="05"/>
    <s v="II. chirurgická klinika - cévně-transplantační"/>
    <x v="4"/>
    <s v="0511"/>
    <s v="lůžkové oddělení 37"/>
    <s v="0511 - lůžkové oddělení 37"/>
    <s v="50113013     léky (paušál) - antibiotika (LEK)"/>
    <x v="7"/>
    <x v="2"/>
    <n v="44.209859999999999"/>
    <n v="68.717418176151995"/>
  </r>
  <r>
    <s v="05"/>
    <s v="05"/>
    <s v="II. chirurgická klinika - cévně-transplantační"/>
    <x v="4"/>
    <s v="0511"/>
    <s v="lůžkové oddělení 37"/>
    <s v="0511 - lůžkové oddělení 37"/>
    <s v="50113014     léky (paušál) - antimykotika (LEK)"/>
    <x v="8"/>
    <x v="0"/>
    <n v="2.2136399999999998"/>
    <n v="1.8084419495590001"/>
  </r>
  <r>
    <s v="05"/>
    <s v="05"/>
    <s v="II. chirurgická klinika - cévně-transplantační"/>
    <x v="4"/>
    <s v="0511"/>
    <s v="lůžkové oddělení 37"/>
    <s v="0511 - lůžkové oddělení 37"/>
    <s v="50113014     léky (paušál) - antimykotika (LEK)"/>
    <x v="8"/>
    <x v="1"/>
    <n v="1.02041"/>
    <n v="2.2171532377299998"/>
  </r>
  <r>
    <s v="05"/>
    <s v="05"/>
    <s v="II. chirurgická klinika - cévně-transplantační"/>
    <x v="4"/>
    <s v="0511"/>
    <s v="lůžkové oddělení 37"/>
    <s v="0511 - lůžkové oddělení 37"/>
    <s v="50113014     léky (paušál) - antimykotika (LEK)"/>
    <x v="8"/>
    <x v="2"/>
    <n v="2.4685899999999998"/>
    <n v="14.68577942758"/>
  </r>
  <r>
    <s v="05"/>
    <s v="05"/>
    <s v="II. chirurgická klinika - cévně-transplantační"/>
    <x v="4"/>
    <s v="0511"/>
    <s v="lůžkové oddělení 37"/>
    <s v="0511 - lůžkové oddělení 37"/>
    <s v="50113190     medicinální plyny"/>
    <x v="9"/>
    <x v="0"/>
    <n v="91.846049999998996"/>
    <n v="94.458868808823993"/>
  </r>
  <r>
    <s v="05"/>
    <s v="05"/>
    <s v="II. chirurgická klinika - cévně-transplantační"/>
    <x v="4"/>
    <s v="0511"/>
    <s v="lůžkové oddělení 37"/>
    <s v="0511 - lůžkové oddělení 37"/>
    <s v="50113190     medicinální plyny"/>
    <x v="9"/>
    <x v="1"/>
    <n v="93.098299999999995"/>
    <n v="87.871061820251995"/>
  </r>
  <r>
    <s v="05"/>
    <s v="05"/>
    <s v="II. chirurgická klinika - cévně-transplantační"/>
    <x v="4"/>
    <s v="0511"/>
    <s v="lůžkové oddělení 37"/>
    <s v="0511 - lůžkové oddělení 37"/>
    <s v="50113190     medicinální plyny"/>
    <x v="9"/>
    <x v="2"/>
    <n v="66.082300000000004"/>
    <n v="94.618181317654006"/>
  </r>
  <r>
    <s v="05"/>
    <s v="05"/>
    <s v="II. chirurgická klinika - cévně-transplantační"/>
    <x v="4"/>
    <s v="0511"/>
    <s v="lůžkové oddělení 37"/>
    <s v="0511 - lůžkové oddělení 37"/>
    <s v="50115     Zdravotnické prostředky"/>
    <x v="0"/>
    <x v="0"/>
    <n v="497.5451700000001"/>
    <n v="527.97943689212298"/>
  </r>
  <r>
    <s v="05"/>
    <s v="05"/>
    <s v="II. chirurgická klinika - cévně-transplantační"/>
    <x v="4"/>
    <s v="0511"/>
    <s v="lůžkové oddělení 37"/>
    <s v="0511 - lůžkové oddělení 37"/>
    <s v="50115     Zdravotnické prostředky"/>
    <x v="0"/>
    <x v="1"/>
    <n v="468.14422999999999"/>
    <n v="498.26151193105301"/>
  </r>
  <r>
    <s v="05"/>
    <s v="05"/>
    <s v="II. chirurgická klinika - cévně-transplantační"/>
    <x v="4"/>
    <s v="0511"/>
    <s v="lůžkové oddělení 37"/>
    <s v="0511 - lůžkové oddělení 37"/>
    <s v="50115     Zdravotnické prostředky"/>
    <x v="0"/>
    <x v="2"/>
    <n v="268.82186000000002"/>
    <n v="385.58024174102701"/>
  </r>
  <r>
    <s v="05"/>
    <s v="05"/>
    <s v="II. chirurgická klinika - cévně-transplantační"/>
    <x v="4"/>
    <s v="0511"/>
    <s v="lůžkové oddělení 37"/>
    <s v="0511 - lůžkové oddělení 37"/>
    <s v="50115011     implant.umělé těl.náhr.-ostat.nákl.PZT(s.Z_515)"/>
    <x v="26"/>
    <x v="2"/>
    <n v="11.4354"/>
    <n v="0"/>
  </r>
  <r>
    <s v="05"/>
    <s v="05"/>
    <s v="II. chirurgická klinika - cévně-transplantační"/>
    <x v="4"/>
    <s v="0511"/>
    <s v="lůžkové oddělení 37"/>
    <s v="0511 - lůžkové oddělení 37"/>
    <s v="50115020     diagnostika laboratorní-LEK (sk.Z_501)"/>
    <x v="10"/>
    <x v="0"/>
    <n v="2.640059999999"/>
    <n v="2.755607729152"/>
  </r>
  <r>
    <s v="05"/>
    <s v="05"/>
    <s v="II. chirurgická klinika - cévně-transplantační"/>
    <x v="4"/>
    <s v="0511"/>
    <s v="lůžkové oddělení 37"/>
    <s v="0511 - lůžkové oddělení 37"/>
    <s v="50115020     diagnostika laboratorní-LEK (sk.Z_501)"/>
    <x v="10"/>
    <x v="1"/>
    <n v="1.9521299999999999"/>
    <n v="2.6400572037750001"/>
  </r>
  <r>
    <s v="05"/>
    <s v="05"/>
    <s v="II. chirurgická klinika - cévně-transplantační"/>
    <x v="4"/>
    <s v="0511"/>
    <s v="lůžkové oddělení 37"/>
    <s v="0511 - lůžkové oddělení 37"/>
    <s v="50115020     diagnostika laboratorní-LEK (sk.Z_501)"/>
    <x v="10"/>
    <x v="2"/>
    <n v="4.5485799999999994"/>
    <n v="1.3985387874699999"/>
  </r>
  <r>
    <s v="05"/>
    <s v="05"/>
    <s v="II. chirurgická klinika - cévně-transplantační"/>
    <x v="4"/>
    <s v="0511"/>
    <s v="lůžkové oddělení 37"/>
    <s v="0511 - lůžkové oddělení 37"/>
    <s v="50115021     diagnostika laboratorní-skl.ZPr(sk.Z_501)"/>
    <x v="41"/>
    <x v="0"/>
    <n v="4.2140000000000004"/>
    <n v="0"/>
  </r>
  <r>
    <s v="05"/>
    <s v="05"/>
    <s v="II. chirurgická klinika - cévně-transplantační"/>
    <x v="4"/>
    <s v="0511"/>
    <s v="lůžkové oddělení 37"/>
    <s v="0511 - lůžkové oddělení 37"/>
    <s v="50115021     diagnostika laboratorní-skl.ZPr(sk.Z_501)"/>
    <x v="41"/>
    <x v="1"/>
    <n v="0.98499999999999999"/>
    <n v="4.5709773941170004"/>
  </r>
  <r>
    <s v="05"/>
    <s v="05"/>
    <s v="II. chirurgická klinika - cévně-transplantační"/>
    <x v="4"/>
    <s v="0511"/>
    <s v="lůžkové oddělení 37"/>
    <s v="0511 - lůžkové oddělení 37"/>
    <s v="50115021     diagnostika laboratorní-skl.ZPr(sk.Z_501)"/>
    <x v="41"/>
    <x v="2"/>
    <n v="0"/>
    <n v="0.97767903516400001"/>
  </r>
  <r>
    <s v="05"/>
    <s v="05"/>
    <s v="II. chirurgická klinika - cévně-transplantační"/>
    <x v="4"/>
    <s v="0511"/>
    <s v="lůžkové oddělení 37"/>
    <s v="0511 - lůžkové oddělení 37"/>
    <s v="50115040     laboratorní materiál (sk.Z_505)"/>
    <x v="11"/>
    <x v="0"/>
    <n v="0.75129999999899999"/>
    <n v="0.94990943338099998"/>
  </r>
  <r>
    <s v="05"/>
    <s v="05"/>
    <s v="II. chirurgická klinika - cévně-transplantační"/>
    <x v="4"/>
    <s v="0511"/>
    <s v="lůžkové oddělení 37"/>
    <s v="0511 - lůžkové oddělení 37"/>
    <s v="50115040     laboratorní materiál (sk.Z_505)"/>
    <x v="11"/>
    <x v="1"/>
    <n v="0.39217000000000002"/>
    <n v="0.75134749585000005"/>
  </r>
  <r>
    <s v="05"/>
    <s v="05"/>
    <s v="II. chirurgická klinika - cévně-transplantační"/>
    <x v="4"/>
    <s v="0511"/>
    <s v="lůžkové oddělení 37"/>
    <s v="0511 - lůžkové oddělení 37"/>
    <s v="50115040     laboratorní materiál (sk.Z_505)"/>
    <x v="11"/>
    <x v="2"/>
    <n v="0.29332000000000003"/>
    <n v="0.22989999275799999"/>
  </r>
  <r>
    <s v="05"/>
    <s v="05"/>
    <s v="II. chirurgická klinika - cévně-transplantační"/>
    <x v="4"/>
    <s v="0511"/>
    <s v="lůžkové oddělení 37"/>
    <s v="0511 - lůžkové oddělení 37"/>
    <s v="50115050     obvazový materiál (sk.Z_502)"/>
    <x v="12"/>
    <x v="0"/>
    <n v="189.91891999999999"/>
    <n v="197.60400896619001"/>
  </r>
  <r>
    <s v="05"/>
    <s v="05"/>
    <s v="II. chirurgická klinika - cévně-transplantační"/>
    <x v="4"/>
    <s v="0511"/>
    <s v="lůžkové oddělení 37"/>
    <s v="0511 - lůžkové oddělení 37"/>
    <s v="50115050     obvazový materiál (sk.Z_502)"/>
    <x v="12"/>
    <x v="1"/>
    <n v="188.90546000000001"/>
    <n v="190.350805397947"/>
  </r>
  <r>
    <s v="05"/>
    <s v="05"/>
    <s v="II. chirurgická klinika - cévně-transplantační"/>
    <x v="4"/>
    <s v="0511"/>
    <s v="lůžkové oddělení 37"/>
    <s v="0511 - lůžkové oddělení 37"/>
    <s v="50115050     obvazový materiál (sk.Z_502)"/>
    <x v="12"/>
    <x v="2"/>
    <n v="106.07816000000003"/>
    <n v="151.360944673223"/>
  </r>
  <r>
    <s v="05"/>
    <s v="05"/>
    <s v="II. chirurgická klinika - cévně-transplantační"/>
    <x v="4"/>
    <s v="0511"/>
    <s v="lůžkové oddělení 37"/>
    <s v="0511 - lůžkové oddělení 37"/>
    <s v="50115060     ostatní ZPr - mimo níže uvedené (sk.Z_503)"/>
    <x v="1"/>
    <x v="0"/>
    <n v="194.19898999999901"/>
    <n v="215.37062816432399"/>
  </r>
  <r>
    <s v="05"/>
    <s v="05"/>
    <s v="II. chirurgická klinika - cévně-transplantační"/>
    <x v="4"/>
    <s v="0511"/>
    <s v="lůžkové oddělení 37"/>
    <s v="0511 - lůžkové oddělení 37"/>
    <s v="50115060     ostatní ZPr - mimo níže uvedené (sk.Z_503)"/>
    <x v="1"/>
    <x v="1"/>
    <n v="165.60764999999998"/>
    <n v="194.19752703294199"/>
  </r>
  <r>
    <s v="05"/>
    <s v="05"/>
    <s v="II. chirurgická klinika - cévně-transplantační"/>
    <x v="4"/>
    <s v="0511"/>
    <s v="lůžkové oddělení 37"/>
    <s v="0511 - lůžkové oddělení 37"/>
    <s v="50115060     ostatní ZPr - mimo níže uvedené (sk.Z_503)"/>
    <x v="1"/>
    <x v="2"/>
    <n v="87.554130000000001"/>
    <n v="121.813501774901"/>
  </r>
  <r>
    <s v="05"/>
    <s v="05"/>
    <s v="II. chirurgická klinika - cévně-transplantační"/>
    <x v="4"/>
    <s v="0511"/>
    <s v="lůžkové oddělení 37"/>
    <s v="0511 - lůžkové oddělení 37"/>
    <s v="50115063     ostatní ZPr - vaky, sety (sk.Z_528)"/>
    <x v="13"/>
    <x v="0"/>
    <n v="28.381"/>
    <n v="39.346217982010003"/>
  </r>
  <r>
    <s v="05"/>
    <s v="05"/>
    <s v="II. chirurgická klinika - cévně-transplantační"/>
    <x v="4"/>
    <s v="0511"/>
    <s v="lůžkové oddělení 37"/>
    <s v="0511 - lůžkové oddělení 37"/>
    <s v="50115063     ostatní ZPr - vaky, sety (sk.Z_528)"/>
    <x v="13"/>
    <x v="1"/>
    <n v="32.129800000000003"/>
    <n v="27.802719352671001"/>
  </r>
  <r>
    <s v="05"/>
    <s v="05"/>
    <s v="II. chirurgická klinika - cévně-transplantační"/>
    <x v="4"/>
    <s v="0511"/>
    <s v="lůžkové oddělení 37"/>
    <s v="0511 - lůžkové oddělení 37"/>
    <s v="50115063     ostatní ZPr - vaky, sety (sk.Z_528)"/>
    <x v="13"/>
    <x v="2"/>
    <n v="22.650600000000004"/>
    <n v="34.215198247263999"/>
  </r>
  <r>
    <s v="05"/>
    <s v="05"/>
    <s v="II. chirurgická klinika - cévně-transplantační"/>
    <x v="4"/>
    <s v="0511"/>
    <s v="lůžkové oddělení 37"/>
    <s v="0511 - lůžkové oddělení 37"/>
    <s v="50115064     ostatní ZPr - šicí materiál (sk.Z_529)"/>
    <x v="21"/>
    <x v="1"/>
    <n v="2.40679"/>
    <n v="0"/>
  </r>
  <r>
    <s v="05"/>
    <s v="05"/>
    <s v="II. chirurgická klinika - cévně-transplantační"/>
    <x v="4"/>
    <s v="0511"/>
    <s v="lůžkové oddělení 37"/>
    <s v="0511 - lůžkové oddělení 37"/>
    <s v="50115065     ostatní ZPr - vpichovací materiál (sk.Z_530)"/>
    <x v="14"/>
    <x v="0"/>
    <n v="3.68987"/>
    <n v="4.750722294969"/>
  </r>
  <r>
    <s v="05"/>
    <s v="05"/>
    <s v="II. chirurgická klinika - cévně-transplantační"/>
    <x v="4"/>
    <s v="0511"/>
    <s v="lůžkové oddělení 37"/>
    <s v="0511 - lůžkové oddělení 37"/>
    <s v="50115065     ostatní ZPr - vpichovací materiál (sk.Z_530)"/>
    <x v="14"/>
    <x v="1"/>
    <n v="4.9791699999999999"/>
    <n v="3.7851268182550002"/>
  </r>
  <r>
    <s v="05"/>
    <s v="05"/>
    <s v="II. chirurgická klinika - cévně-transplantační"/>
    <x v="4"/>
    <s v="0511"/>
    <s v="lůžkové oddělení 37"/>
    <s v="0511 - lůžkové oddělení 37"/>
    <s v="50115065     ostatní ZPr - vpichovací materiál (sk.Z_530)"/>
    <x v="14"/>
    <x v="2"/>
    <n v="2.6317399999999997"/>
    <n v="3.5772382169069998"/>
  </r>
  <r>
    <s v="05"/>
    <s v="05"/>
    <s v="II. chirurgická klinika - cévně-transplantační"/>
    <x v="4"/>
    <s v="0511"/>
    <s v="lůžkové oddělení 37"/>
    <s v="0511 - lůžkové oddělení 37"/>
    <s v="50115067     ostatní ZPr - rukavice (sk.Z_532)"/>
    <x v="15"/>
    <x v="0"/>
    <n v="29.124870000000001"/>
    <n v="19.202342322094001"/>
  </r>
  <r>
    <s v="05"/>
    <s v="05"/>
    <s v="II. chirurgická klinika - cévně-transplantační"/>
    <x v="4"/>
    <s v="0511"/>
    <s v="lůžkové oddělení 37"/>
    <s v="0511 - lůžkové oddělení 37"/>
    <s v="50115067     ostatní ZPr - rukavice (sk.Z_532)"/>
    <x v="15"/>
    <x v="1"/>
    <n v="25.718399999999999"/>
    <n v="29.537000930923"/>
  </r>
  <r>
    <s v="05"/>
    <s v="05"/>
    <s v="II. chirurgická klinika - cévně-transplantační"/>
    <x v="4"/>
    <s v="0511"/>
    <s v="lůžkové oddělení 37"/>
    <s v="0511 - lůžkové oddělení 37"/>
    <s v="50115067     ostatní ZPr - rukavice (sk.Z_532)"/>
    <x v="15"/>
    <x v="2"/>
    <n v="10.391999999999999"/>
    <n v="25.829750250372001"/>
  </r>
  <r>
    <s v="05"/>
    <s v="05"/>
    <s v="II. chirurgická klinika - cévně-transplantační"/>
    <x v="4"/>
    <s v="0511"/>
    <s v="lůžkové oddělení 37"/>
    <s v="0511 - lůžkové oddělení 37"/>
    <s v="50115070     ostatní ZPr - katetry (sk.Z_513)"/>
    <x v="16"/>
    <x v="0"/>
    <n v="44.626159999998997"/>
    <n v="48"/>
  </r>
  <r>
    <s v="05"/>
    <s v="05"/>
    <s v="II. chirurgická klinika - cévně-transplantační"/>
    <x v="4"/>
    <s v="0511"/>
    <s v="lůžkové oddělení 37"/>
    <s v="0511 - lůžkové oddělení 37"/>
    <s v="50115070     ostatní ZPr - katetry (sk.Z_513)"/>
    <x v="16"/>
    <x v="1"/>
    <n v="45.067660000000004"/>
    <n v="44.625950304566999"/>
  </r>
  <r>
    <s v="05"/>
    <s v="05"/>
    <s v="II. chirurgická klinika - cévně-transplantační"/>
    <x v="4"/>
    <s v="0511"/>
    <s v="lůžkové oddělení 37"/>
    <s v="0511 - lůžkové oddělení 37"/>
    <s v="50115070     ostatní ZPr - katetry (sk.Z_513)"/>
    <x v="16"/>
    <x v="2"/>
    <n v="22.533829999999998"/>
    <n v="46.177490762963998"/>
  </r>
  <r>
    <s v="05"/>
    <s v="05"/>
    <s v="II. chirurgická klinika - cévně-transplantační"/>
    <x v="4"/>
    <s v="0511"/>
    <s v="lůžkové oddělení 37"/>
    <s v="0511 - lůžkové oddělení 37"/>
    <s v="50115079     ostatní ZPr - intenzivní péče (sk.Z_542)"/>
    <x v="18"/>
    <x v="2"/>
    <n v="0.70409999999999995"/>
    <n v="0"/>
  </r>
  <r>
    <s v="05"/>
    <s v="05"/>
    <s v="II. chirurgická klinika - cévně-transplantační"/>
    <x v="4"/>
    <s v="0521"/>
    <s v="ambulance"/>
    <s v="0521 - ambulance"/>
    <s v="50113     Léky a léčiva"/>
    <x v="2"/>
    <x v="0"/>
    <n v="38.801600000000001"/>
    <n v="39.627581633478002"/>
  </r>
  <r>
    <s v="05"/>
    <s v="05"/>
    <s v="II. chirurgická klinika - cévně-transplantační"/>
    <x v="4"/>
    <s v="0521"/>
    <s v="ambulance"/>
    <s v="0521 - ambulance"/>
    <s v="50113     Léky a léčiva"/>
    <x v="2"/>
    <x v="1"/>
    <n v="38.999950000000005"/>
    <n v="38.830991849505999"/>
  </r>
  <r>
    <s v="05"/>
    <s v="05"/>
    <s v="II. chirurgická klinika - cévně-transplantační"/>
    <x v="4"/>
    <s v="0521"/>
    <s v="ambulance"/>
    <s v="0521 - ambulance"/>
    <s v="50113     Léky a léčiva"/>
    <x v="2"/>
    <x v="2"/>
    <n v="23.608730000000001"/>
    <n v="33.682498805797998"/>
  </r>
  <r>
    <s v="05"/>
    <s v="05"/>
    <s v="II. chirurgická klinika - cévně-transplantační"/>
    <x v="4"/>
    <s v="0521"/>
    <s v="ambulance"/>
    <s v="0521 - ambulance"/>
    <s v="50113001     léky - paušál+TISS (LEK)"/>
    <x v="3"/>
    <x v="0"/>
    <n v="38.801600000000001"/>
    <n v="39.090655727978003"/>
  </r>
  <r>
    <s v="05"/>
    <s v="05"/>
    <s v="II. chirurgická klinika - cévně-transplantační"/>
    <x v="4"/>
    <s v="0521"/>
    <s v="ambulance"/>
    <s v="0521 - ambulance"/>
    <s v="50113001     léky - paušál+TISS (LEK)"/>
    <x v="3"/>
    <x v="1"/>
    <n v="38.999950000000005"/>
    <n v="38.830991849505999"/>
  </r>
  <r>
    <s v="05"/>
    <s v="05"/>
    <s v="II. chirurgická klinika - cévně-transplantační"/>
    <x v="4"/>
    <s v="0521"/>
    <s v="ambulance"/>
    <s v="0521 - ambulance"/>
    <s v="50113001     léky - paušál+TISS (LEK)"/>
    <x v="3"/>
    <x v="2"/>
    <n v="23.608730000000001"/>
    <n v="33.682498805797998"/>
  </r>
  <r>
    <s v="05"/>
    <s v="05"/>
    <s v="II. chirurgická klinika - cévně-transplantační"/>
    <x v="4"/>
    <s v="0521"/>
    <s v="ambulance"/>
    <s v="0521 - ambulance"/>
    <s v="50113013     léky (paušál) - antibiotika (LEK)"/>
    <x v="7"/>
    <x v="0"/>
    <n v="0"/>
    <n v="0.31021121550500003"/>
  </r>
  <r>
    <s v="05"/>
    <s v="05"/>
    <s v="II. chirurgická klinika - cévně-transplantační"/>
    <x v="4"/>
    <s v="0521"/>
    <s v="ambulance"/>
    <s v="0521 - ambulance"/>
    <s v="50113014     léky (paušál) - antimykotika (LEK)"/>
    <x v="8"/>
    <x v="0"/>
    <n v="0"/>
    <n v="0.226714689995"/>
  </r>
  <r>
    <s v="05"/>
    <s v="05"/>
    <s v="II. chirurgická klinika - cévně-transplantační"/>
    <x v="4"/>
    <s v="0521"/>
    <s v="ambulance"/>
    <s v="0521 - ambulance"/>
    <s v="50115     Zdravotnické prostředky"/>
    <x v="0"/>
    <x v="0"/>
    <n v="101.53147999999899"/>
    <n v="99.060939882027"/>
  </r>
  <r>
    <s v="05"/>
    <s v="05"/>
    <s v="II. chirurgická klinika - cévně-transplantační"/>
    <x v="4"/>
    <s v="0521"/>
    <s v="ambulance"/>
    <s v="0521 - ambulance"/>
    <s v="50115     Zdravotnické prostředky"/>
    <x v="0"/>
    <x v="1"/>
    <n v="100.23642"/>
    <n v="101.733177152897"/>
  </r>
  <r>
    <s v="05"/>
    <s v="05"/>
    <s v="II. chirurgická klinika - cévně-transplantační"/>
    <x v="4"/>
    <s v="0521"/>
    <s v="ambulance"/>
    <s v="0521 - ambulance"/>
    <s v="50115     Zdravotnické prostředky"/>
    <x v="0"/>
    <x v="2"/>
    <n v="68.634839999999997"/>
    <n v="94.030988093228004"/>
  </r>
  <r>
    <s v="05"/>
    <s v="05"/>
    <s v="II. chirurgická klinika - cévně-transplantační"/>
    <x v="4"/>
    <s v="0521"/>
    <s v="ambulance"/>
    <s v="0521 - ambulance"/>
    <s v="50115020     diagnostika laboratorní-LEK (sk.Z_501)"/>
    <x v="10"/>
    <x v="1"/>
    <n v="0.27888000000000002"/>
    <n v="0"/>
  </r>
  <r>
    <s v="05"/>
    <s v="05"/>
    <s v="II. chirurgická klinika - cévně-transplantační"/>
    <x v="4"/>
    <s v="0521"/>
    <s v="ambulance"/>
    <s v="0521 - ambulance"/>
    <s v="50115020     diagnostika laboratorní-LEK (sk.Z_501)"/>
    <x v="10"/>
    <x v="2"/>
    <n v="0"/>
    <n v="0.34964096553000001"/>
  </r>
  <r>
    <s v="05"/>
    <s v="05"/>
    <s v="II. chirurgická klinika - cévně-transplantační"/>
    <x v="4"/>
    <s v="0521"/>
    <s v="ambulance"/>
    <s v="0521 - ambulance"/>
    <s v="50115050     obvazový materiál (sk.Z_502)"/>
    <x v="12"/>
    <x v="0"/>
    <n v="71.336209999998999"/>
    <n v="68.401400873181004"/>
  </r>
  <r>
    <s v="05"/>
    <s v="05"/>
    <s v="II. chirurgická klinika - cévně-transplantační"/>
    <x v="4"/>
    <s v="0521"/>
    <s v="ambulance"/>
    <s v="0521 - ambulance"/>
    <s v="50115050     obvazový materiál (sk.Z_502)"/>
    <x v="12"/>
    <x v="1"/>
    <n v="64.923320000000004"/>
    <n v="68.498435443378995"/>
  </r>
  <r>
    <s v="05"/>
    <s v="05"/>
    <s v="II. chirurgická klinika - cévně-transplantační"/>
    <x v="4"/>
    <s v="0521"/>
    <s v="ambulance"/>
    <s v="0521 - ambulance"/>
    <s v="50115050     obvazový materiál (sk.Z_502)"/>
    <x v="12"/>
    <x v="2"/>
    <n v="50.762349999999998"/>
    <n v="60.409482518616997"/>
  </r>
  <r>
    <s v="05"/>
    <s v="05"/>
    <s v="II. chirurgická klinika - cévně-transplantační"/>
    <x v="4"/>
    <s v="0521"/>
    <s v="ambulance"/>
    <s v="0521 - ambulance"/>
    <s v="50115060     ostatní ZPr - mimo níže uvedené (sk.Z_503)"/>
    <x v="1"/>
    <x v="0"/>
    <n v="16.38646"/>
    <n v="17.658286546435001"/>
  </r>
  <r>
    <s v="05"/>
    <s v="05"/>
    <s v="II. chirurgická klinika - cévně-transplantační"/>
    <x v="4"/>
    <s v="0521"/>
    <s v="ambulance"/>
    <s v="0521 - ambulance"/>
    <s v="50115060     ostatní ZPr - mimo níže uvedené (sk.Z_503)"/>
    <x v="1"/>
    <x v="1"/>
    <n v="15.512699999999999"/>
    <n v="16.386336555222002"/>
  </r>
  <r>
    <s v="05"/>
    <s v="05"/>
    <s v="II. chirurgická klinika - cévně-transplantační"/>
    <x v="4"/>
    <s v="0521"/>
    <s v="ambulance"/>
    <s v="0521 - ambulance"/>
    <s v="50115060     ostatní ZPr - mimo níže uvedené (sk.Z_503)"/>
    <x v="1"/>
    <x v="2"/>
    <n v="11.270490000000001"/>
    <n v="18.796313640726002"/>
  </r>
  <r>
    <s v="05"/>
    <s v="05"/>
    <s v="II. chirurgická klinika - cévně-transplantační"/>
    <x v="4"/>
    <s v="0521"/>
    <s v="ambulance"/>
    <s v="0521 - ambulance"/>
    <s v="50115064     ostatní ZPr - šicí materiál (sk.Z_529)"/>
    <x v="21"/>
    <x v="0"/>
    <n v="4.7943100000000003"/>
    <n v="3.5"/>
  </r>
  <r>
    <s v="05"/>
    <s v="05"/>
    <s v="II. chirurgická klinika - cévně-transplantační"/>
    <x v="4"/>
    <s v="0521"/>
    <s v="ambulance"/>
    <s v="0521 - ambulance"/>
    <s v="50115064     ostatní ZPr - šicí materiál (sk.Z_529)"/>
    <x v="21"/>
    <x v="1"/>
    <n v="2.4285199999999998"/>
    <n v="7.700419675529"/>
  </r>
  <r>
    <s v="05"/>
    <s v="05"/>
    <s v="II. chirurgická klinika - cévně-transplantační"/>
    <x v="4"/>
    <s v="0521"/>
    <s v="ambulance"/>
    <s v="0521 - ambulance"/>
    <s v="50115064     ostatní ZPr - šicí materiál (sk.Z_529)"/>
    <x v="21"/>
    <x v="2"/>
    <n v="2.484"/>
    <n v="1.624462499042"/>
  </r>
  <r>
    <s v="05"/>
    <s v="05"/>
    <s v="II. chirurgická klinika - cévně-transplantační"/>
    <x v="4"/>
    <s v="0521"/>
    <s v="ambulance"/>
    <s v="0521 - ambulance"/>
    <s v="50115065     ostatní ZPr - vpichovací materiál (sk.Z_530)"/>
    <x v="14"/>
    <x v="0"/>
    <n v="0.50800000000000001"/>
    <n v="0.95009885242400005"/>
  </r>
  <r>
    <s v="05"/>
    <s v="05"/>
    <s v="II. chirurgická klinika - cévně-transplantační"/>
    <x v="4"/>
    <s v="0521"/>
    <s v="ambulance"/>
    <s v="0521 - ambulance"/>
    <s v="50115065     ostatní ZPr - vpichovací materiál (sk.Z_530)"/>
    <x v="14"/>
    <x v="1"/>
    <n v="2.9130000000000003"/>
    <n v="0.52111440882000004"/>
  </r>
  <r>
    <s v="05"/>
    <s v="05"/>
    <s v="II. chirurgická klinika - cévně-transplantační"/>
    <x v="4"/>
    <s v="0521"/>
    <s v="ambulance"/>
    <s v="0521 - ambulance"/>
    <s v="50115065     ostatní ZPr - vpichovací materiál (sk.Z_530)"/>
    <x v="14"/>
    <x v="2"/>
    <n v="0"/>
    <n v="0.80207330809099997"/>
  </r>
  <r>
    <s v="05"/>
    <s v="05"/>
    <s v="II. chirurgická klinika - cévně-transplantační"/>
    <x v="4"/>
    <s v="0521"/>
    <s v="ambulance"/>
    <s v="0521 - ambulance"/>
    <s v="50115067     ostatní ZPr - rukavice (sk.Z_532)"/>
    <x v="15"/>
    <x v="0"/>
    <n v="8.506499999998999"/>
    <n v="8.5511536099860006"/>
  </r>
  <r>
    <s v="05"/>
    <s v="05"/>
    <s v="II. chirurgická klinika - cévně-transplantační"/>
    <x v="4"/>
    <s v="0521"/>
    <s v="ambulance"/>
    <s v="0521 - ambulance"/>
    <s v="50115067     ostatní ZPr - rukavice (sk.Z_532)"/>
    <x v="15"/>
    <x v="1"/>
    <n v="14.18"/>
    <n v="8.6268710699440003"/>
  </r>
  <r>
    <s v="05"/>
    <s v="05"/>
    <s v="II. chirurgická klinika - cévně-transplantační"/>
    <x v="4"/>
    <s v="0521"/>
    <s v="ambulance"/>
    <s v="0521 - ambulance"/>
    <s v="50115067     ostatní ZPr - rukavice (sk.Z_532)"/>
    <x v="15"/>
    <x v="2"/>
    <n v="4.1180000000000003"/>
    <n v="12.049015161219"/>
  </r>
  <r>
    <s v="05"/>
    <s v="05"/>
    <s v="II. chirurgická klinika - cévně-transplantační"/>
    <x v="4"/>
    <s v="0532"/>
    <s v="JIP 37A "/>
    <s v="0532 - JIP 37A "/>
    <s v="50113     Léky a léčiva"/>
    <x v="2"/>
    <x v="0"/>
    <n v="2012.27277"/>
    <n v="2062.4620992585601"/>
  </r>
  <r>
    <s v="05"/>
    <s v="05"/>
    <s v="II. chirurgická klinika - cévně-transplantační"/>
    <x v="4"/>
    <s v="0532"/>
    <s v="JIP 37A "/>
    <s v="0532 - JIP 37A "/>
    <s v="50113     Léky a léčiva"/>
    <x v="2"/>
    <x v="1"/>
    <n v="2326.8551100000004"/>
    <n v="2228.8185744256398"/>
  </r>
  <r>
    <s v="05"/>
    <s v="05"/>
    <s v="II. chirurgická klinika - cévně-transplantační"/>
    <x v="4"/>
    <s v="0532"/>
    <s v="JIP 37A "/>
    <s v="0532 - JIP 37A "/>
    <s v="50113     Léky a léčiva"/>
    <x v="2"/>
    <x v="2"/>
    <n v="1134.0439799999999"/>
    <n v="2009.6367733269001"/>
  </r>
  <r>
    <s v="05"/>
    <s v="05"/>
    <s v="II. chirurgická klinika - cévně-transplantační"/>
    <x v="4"/>
    <s v="0532"/>
    <s v="JIP 37A "/>
    <s v="0532 - JIP 37A "/>
    <s v="50113001     léky - paušál+TISS (LEK)"/>
    <x v="3"/>
    <x v="0"/>
    <n v="1570.0482599999998"/>
    <n v="1560.6749467273901"/>
  </r>
  <r>
    <s v="05"/>
    <s v="05"/>
    <s v="II. chirurgická klinika - cévně-transplantační"/>
    <x v="4"/>
    <s v="0532"/>
    <s v="JIP 37A "/>
    <s v="0532 - JIP 37A "/>
    <s v="50113001     léky - paušál+TISS (LEK)"/>
    <x v="3"/>
    <x v="1"/>
    <n v="1881.0722799999999"/>
    <n v="1801.00139362803"/>
  </r>
  <r>
    <s v="05"/>
    <s v="05"/>
    <s v="II. chirurgická klinika - cévně-transplantační"/>
    <x v="4"/>
    <s v="0532"/>
    <s v="JIP 37A "/>
    <s v="0532 - JIP 37A "/>
    <s v="50113001     léky - paušál+TISS (LEK)"/>
    <x v="3"/>
    <x v="2"/>
    <n v="828.68400999999994"/>
    <n v="1585.5897959434501"/>
  </r>
  <r>
    <s v="05"/>
    <s v="05"/>
    <s v="II. chirurgická klinika - cévně-transplantační"/>
    <x v="4"/>
    <s v="0532"/>
    <s v="JIP 37A "/>
    <s v="0532 - JIP 37A "/>
    <s v="50113002     léky - parenterální výživa (LEK)"/>
    <x v="17"/>
    <x v="2"/>
    <n v="63.956530000000001"/>
    <n v="85"/>
  </r>
  <r>
    <s v="05"/>
    <s v="05"/>
    <s v="II. chirurgická klinika - cévně-transplantační"/>
    <x v="4"/>
    <s v="0532"/>
    <s v="JIP 37A "/>
    <s v="0532 - JIP 37A "/>
    <s v="50113006     léky - enterální výživa (LEK)"/>
    <x v="4"/>
    <x v="0"/>
    <n v="101.24538999999899"/>
    <n v="87.628051342833999"/>
  </r>
  <r>
    <s v="05"/>
    <s v="05"/>
    <s v="II. chirurgická klinika - cévně-transplantační"/>
    <x v="4"/>
    <s v="0532"/>
    <s v="JIP 37A "/>
    <s v="0532 - JIP 37A "/>
    <s v="50113006     léky - enterální výživa (LEK)"/>
    <x v="4"/>
    <x v="1"/>
    <n v="99.59711999999999"/>
    <n v="101.09412788221999"/>
  </r>
  <r>
    <s v="05"/>
    <s v="05"/>
    <s v="II. chirurgická klinika - cévně-transplantační"/>
    <x v="4"/>
    <s v="0532"/>
    <s v="JIP 37A "/>
    <s v="0532 - JIP 37A "/>
    <s v="50113006     léky - enterální výživa (LEK)"/>
    <x v="4"/>
    <x v="2"/>
    <n v="6.5668300000000031"/>
    <n v="12"/>
  </r>
  <r>
    <s v="05"/>
    <s v="05"/>
    <s v="II. chirurgická klinika - cévně-transplantační"/>
    <x v="4"/>
    <s v="0532"/>
    <s v="JIP 37A "/>
    <s v="0532 - JIP 37A "/>
    <s v="50113008     léky - krev.deriváty ZUL (TO)"/>
    <x v="5"/>
    <x v="0"/>
    <n v="2.81508"/>
    <n v="21.009836502872002"/>
  </r>
  <r>
    <s v="05"/>
    <s v="05"/>
    <s v="II. chirurgická klinika - cévně-transplantační"/>
    <x v="4"/>
    <s v="0532"/>
    <s v="JIP 37A "/>
    <s v="0532 - JIP 37A "/>
    <s v="50113008     léky - krev.deriváty ZUL (TO)"/>
    <x v="5"/>
    <x v="1"/>
    <n v="0"/>
    <n v="3.000026342005"/>
  </r>
  <r>
    <s v="05"/>
    <s v="05"/>
    <s v="II. chirurgická klinika - cévně-transplantační"/>
    <x v="4"/>
    <s v="0532"/>
    <s v="JIP 37A "/>
    <s v="0532 - JIP 37A "/>
    <s v="50113008     léky - krev.deriváty ZUL (TO)"/>
    <x v="5"/>
    <x v="2"/>
    <n v="5.3811999999999998"/>
    <n v="0"/>
  </r>
  <r>
    <s v="05"/>
    <s v="05"/>
    <s v="II. chirurgická klinika - cévně-transplantační"/>
    <x v="4"/>
    <s v="0532"/>
    <s v="JIP 37A "/>
    <s v="0532 - JIP 37A "/>
    <s v="50113012     léky - trombolýza (LEK)"/>
    <x v="19"/>
    <x v="0"/>
    <n v="81.353809999999001"/>
    <n v="98.885238517537005"/>
  </r>
  <r>
    <s v="05"/>
    <s v="05"/>
    <s v="II. chirurgická klinika - cévně-transplantační"/>
    <x v="4"/>
    <s v="0532"/>
    <s v="JIP 37A "/>
    <s v="0532 - JIP 37A "/>
    <s v="50113012     léky - trombolýza (LEK)"/>
    <x v="19"/>
    <x v="1"/>
    <n v="101.83173000000001"/>
    <n v="90.003144770576995"/>
  </r>
  <r>
    <s v="05"/>
    <s v="05"/>
    <s v="II. chirurgická klinika - cévně-transplantační"/>
    <x v="4"/>
    <s v="0532"/>
    <s v="JIP 37A "/>
    <s v="0532 - JIP 37A "/>
    <s v="50113012     léky - trombolýza (LEK)"/>
    <x v="19"/>
    <x v="2"/>
    <n v="55.165770000000002"/>
    <n v="77.465153175731999"/>
  </r>
  <r>
    <s v="05"/>
    <s v="05"/>
    <s v="II. chirurgická klinika - cévně-transplantační"/>
    <x v="4"/>
    <s v="0532"/>
    <s v="JIP 37A "/>
    <s v="0532 - JIP 37A "/>
    <s v="50113013     léky (paušál) - antibiotika (LEK)"/>
    <x v="7"/>
    <x v="0"/>
    <n v="67.960709999998997"/>
    <n v="100.025891520562"/>
  </r>
  <r>
    <s v="05"/>
    <s v="05"/>
    <s v="II. chirurgická klinika - cévně-transplantační"/>
    <x v="4"/>
    <s v="0532"/>
    <s v="JIP 37A "/>
    <s v="0532 - JIP 37A "/>
    <s v="50113013     léky (paušál) - antibiotika (LEK)"/>
    <x v="7"/>
    <x v="1"/>
    <n v="52.796419999999991"/>
    <n v="52.994905166259002"/>
  </r>
  <r>
    <s v="05"/>
    <s v="05"/>
    <s v="II. chirurgická klinika - cévně-transplantační"/>
    <x v="4"/>
    <s v="0532"/>
    <s v="JIP 37A "/>
    <s v="0532 - JIP 37A "/>
    <s v="50113013     léky (paušál) - antibiotika (LEK)"/>
    <x v="7"/>
    <x v="2"/>
    <n v="38.301850000000002"/>
    <n v="54.6"/>
  </r>
  <r>
    <s v="05"/>
    <s v="05"/>
    <s v="II. chirurgická klinika - cévně-transplantační"/>
    <x v="4"/>
    <s v="0532"/>
    <s v="JIP 37A "/>
    <s v="0532 - JIP 37A "/>
    <s v="50113014     léky (paušál) - antimykotika (LEK)"/>
    <x v="8"/>
    <x v="0"/>
    <n v="1.08412"/>
    <n v="3.0268125304789999"/>
  </r>
  <r>
    <s v="05"/>
    <s v="05"/>
    <s v="II. chirurgická klinika - cévně-transplantační"/>
    <x v="4"/>
    <s v="0532"/>
    <s v="JIP 37A "/>
    <s v="0532 - JIP 37A "/>
    <s v="50113014     léky (paušál) - antimykotika (LEK)"/>
    <x v="8"/>
    <x v="1"/>
    <n v="0.91735"/>
    <n v="1.0858405920059999"/>
  </r>
  <r>
    <s v="05"/>
    <s v="05"/>
    <s v="II. chirurgická klinika - cévně-transplantační"/>
    <x v="4"/>
    <s v="0532"/>
    <s v="JIP 37A "/>
    <s v="0532 - JIP 37A "/>
    <s v="50113014     léky (paušál) - antimykotika (LEK)"/>
    <x v="8"/>
    <x v="2"/>
    <n v="1.7532000000000001"/>
    <n v="0"/>
  </r>
  <r>
    <s v="05"/>
    <s v="05"/>
    <s v="II. chirurgická klinika - cévně-transplantační"/>
    <x v="4"/>
    <s v="0532"/>
    <s v="JIP 37A "/>
    <s v="0532 - JIP 37A "/>
    <s v="50113190     medicinální plyny"/>
    <x v="9"/>
    <x v="0"/>
    <n v="187.76540000000003"/>
    <n v="191.21132211688899"/>
  </r>
  <r>
    <s v="05"/>
    <s v="05"/>
    <s v="II. chirurgická klinika - cévně-transplantační"/>
    <x v="4"/>
    <s v="0532"/>
    <s v="JIP 37A "/>
    <s v="0532 - JIP 37A "/>
    <s v="50113190     medicinální plyny"/>
    <x v="9"/>
    <x v="1"/>
    <n v="190.64020999999997"/>
    <n v="179.639136044548"/>
  </r>
  <r>
    <s v="05"/>
    <s v="05"/>
    <s v="II. chirurgická klinika - cévně-transplantační"/>
    <x v="4"/>
    <s v="0532"/>
    <s v="JIP 37A "/>
    <s v="0532 - JIP 37A "/>
    <s v="50113190     medicinální plyny"/>
    <x v="9"/>
    <x v="2"/>
    <n v="134.23459"/>
    <n v="194.981824207719"/>
  </r>
  <r>
    <s v="05"/>
    <s v="05"/>
    <s v="II. chirurgická klinika - cévně-transplantační"/>
    <x v="4"/>
    <s v="0532"/>
    <s v="JIP 37A "/>
    <s v="0532 - JIP 37A "/>
    <s v="50115     Zdravotnické prostředky"/>
    <x v="0"/>
    <x v="0"/>
    <n v="273.38121000000001"/>
    <n v="272.46322989929803"/>
  </r>
  <r>
    <s v="05"/>
    <s v="05"/>
    <s v="II. chirurgická klinika - cévně-transplantační"/>
    <x v="4"/>
    <s v="0532"/>
    <s v="JIP 37A "/>
    <s v="0532 - JIP 37A "/>
    <s v="50115     Zdravotnické prostředky"/>
    <x v="0"/>
    <x v="1"/>
    <n v="271.32808999999997"/>
    <n v="273.65573556308499"/>
  </r>
  <r>
    <s v="05"/>
    <s v="05"/>
    <s v="II. chirurgická klinika - cévně-transplantační"/>
    <x v="4"/>
    <s v="0532"/>
    <s v="JIP 37A "/>
    <s v="0532 - JIP 37A "/>
    <s v="50115     Zdravotnické prostředky"/>
    <x v="0"/>
    <x v="2"/>
    <n v="184.08744000000002"/>
    <n v="250.79958111661799"/>
  </r>
  <r>
    <s v="05"/>
    <s v="05"/>
    <s v="II. chirurgická klinika - cévně-transplantační"/>
    <x v="4"/>
    <s v="0532"/>
    <s v="JIP 37A "/>
    <s v="0532 - JIP 37A "/>
    <s v="50115020     diagnostika laboratorní-LEK (sk.Z_501)"/>
    <x v="10"/>
    <x v="0"/>
    <n v="2.6102799999989998"/>
    <n v="1.836995819442"/>
  </r>
  <r>
    <s v="05"/>
    <s v="05"/>
    <s v="II. chirurgická klinika - cévně-transplantační"/>
    <x v="4"/>
    <s v="0532"/>
    <s v="JIP 37A "/>
    <s v="0532 - JIP 37A "/>
    <s v="50115020     diagnostika laboratorní-LEK (sk.Z_501)"/>
    <x v="10"/>
    <x v="1"/>
    <n v="3.7035399999999998"/>
    <n v="3.6102772353170001"/>
  </r>
  <r>
    <s v="05"/>
    <s v="05"/>
    <s v="II. chirurgická klinika - cévně-transplantační"/>
    <x v="4"/>
    <s v="0532"/>
    <s v="JIP 37A "/>
    <s v="0532 - JIP 37A "/>
    <s v="50115020     diagnostika laboratorní-LEK (sk.Z_501)"/>
    <x v="10"/>
    <x v="2"/>
    <n v="2.5426199999999999"/>
    <n v="7.0580384838360004"/>
  </r>
  <r>
    <s v="05"/>
    <s v="05"/>
    <s v="II. chirurgická klinika - cévně-transplantační"/>
    <x v="4"/>
    <s v="0532"/>
    <s v="JIP 37A "/>
    <s v="0532 - JIP 37A "/>
    <s v="50115040     laboratorní materiál (sk.Z_505)"/>
    <x v="11"/>
    <x v="0"/>
    <n v="0.9907999999999999"/>
    <n v="1.000068998852"/>
  </r>
  <r>
    <s v="05"/>
    <s v="05"/>
    <s v="II. chirurgická klinika - cévně-transplantační"/>
    <x v="4"/>
    <s v="0532"/>
    <s v="JIP 37A "/>
    <s v="0532 - JIP 37A "/>
    <s v="50115040     laboratorní materiál (sk.Z_505)"/>
    <x v="11"/>
    <x v="1"/>
    <n v="2.44442"/>
    <n v="0.99086263661399998"/>
  </r>
  <r>
    <s v="05"/>
    <s v="05"/>
    <s v="II. chirurgická klinika - cévně-transplantační"/>
    <x v="4"/>
    <s v="0532"/>
    <s v="JIP 37A "/>
    <s v="0532 - JIP 37A "/>
    <s v="50115040     laboratorní materiál (sk.Z_505)"/>
    <x v="11"/>
    <x v="2"/>
    <n v="0.29039999999999999"/>
    <n v="2.0194199363930001"/>
  </r>
  <r>
    <s v="05"/>
    <s v="05"/>
    <s v="II. chirurgická klinika - cévně-transplantační"/>
    <x v="4"/>
    <s v="0532"/>
    <s v="JIP 37A "/>
    <s v="0532 - JIP 37A "/>
    <s v="50115050     obvazový materiál (sk.Z_502)"/>
    <x v="12"/>
    <x v="0"/>
    <n v="43.330669999998996"/>
    <n v="47.406568520356998"/>
  </r>
  <r>
    <s v="05"/>
    <s v="05"/>
    <s v="II. chirurgická klinika - cévně-transplantační"/>
    <x v="4"/>
    <s v="0532"/>
    <s v="JIP 37A "/>
    <s v="0532 - JIP 37A "/>
    <s v="50115050     obvazový materiál (sk.Z_502)"/>
    <x v="12"/>
    <x v="1"/>
    <n v="41.969039999999993"/>
    <n v="43.429206173521997"/>
  </r>
  <r>
    <s v="05"/>
    <s v="05"/>
    <s v="II. chirurgická klinika - cévně-transplantační"/>
    <x v="4"/>
    <s v="0532"/>
    <s v="JIP 37A "/>
    <s v="0532 - JIP 37A "/>
    <s v="50115050     obvazový materiál (sk.Z_502)"/>
    <x v="12"/>
    <x v="2"/>
    <n v="23.189680000000003"/>
    <n v="31.493615331202001"/>
  </r>
  <r>
    <s v="05"/>
    <s v="05"/>
    <s v="II. chirurgická klinika - cévně-transplantační"/>
    <x v="4"/>
    <s v="0532"/>
    <s v="JIP 37A "/>
    <s v="0532 - JIP 37A "/>
    <s v="50115060     ostatní ZPr - mimo níže uvedené (sk.Z_503)"/>
    <x v="1"/>
    <x v="0"/>
    <n v="185.96350999999999"/>
    <n v="185.99148368623699"/>
  </r>
  <r>
    <s v="05"/>
    <s v="05"/>
    <s v="II. chirurgická klinika - cévně-transplantační"/>
    <x v="4"/>
    <s v="0532"/>
    <s v="JIP 37A "/>
    <s v="0532 - JIP 37A "/>
    <s v="50115060     ostatní ZPr - mimo níže uvedené (sk.Z_503)"/>
    <x v="1"/>
    <x v="1"/>
    <n v="183.25707"/>
    <n v="182.96221740858701"/>
  </r>
  <r>
    <s v="05"/>
    <s v="05"/>
    <s v="II. chirurgická klinika - cévně-transplantační"/>
    <x v="4"/>
    <s v="0532"/>
    <s v="JIP 37A "/>
    <s v="0532 - JIP 37A "/>
    <s v="50115060     ostatní ZPr - mimo níže uvedené (sk.Z_503)"/>
    <x v="1"/>
    <x v="2"/>
    <n v="130.46604000000002"/>
    <n v="179.66765969758799"/>
  </r>
  <r>
    <s v="05"/>
    <s v="05"/>
    <s v="II. chirurgická klinika - cévně-transplantační"/>
    <x v="4"/>
    <s v="0532"/>
    <s v="JIP 37A "/>
    <s v="0532 - JIP 37A "/>
    <s v="50115063     ostatní ZPr - vaky, sety (sk.Z_528)"/>
    <x v="13"/>
    <x v="0"/>
    <n v="8.0206999999989996"/>
    <n v="8.9667757749170001"/>
  </r>
  <r>
    <s v="05"/>
    <s v="05"/>
    <s v="II. chirurgická klinika - cévně-transplantační"/>
    <x v="4"/>
    <s v="0532"/>
    <s v="JIP 37A "/>
    <s v="0532 - JIP 37A "/>
    <s v="50115063     ostatní ZPr - vaky, sety (sk.Z_528)"/>
    <x v="13"/>
    <x v="1"/>
    <n v="2.4493999999999998"/>
    <n v="6.857273753336"/>
  </r>
  <r>
    <s v="05"/>
    <s v="05"/>
    <s v="II. chirurgická klinika - cévně-transplantační"/>
    <x v="4"/>
    <s v="0532"/>
    <s v="JIP 37A "/>
    <s v="0532 - JIP 37A "/>
    <s v="50115063     ostatní ZPr - vaky, sety (sk.Z_528)"/>
    <x v="13"/>
    <x v="2"/>
    <n v="2.4593999999999996"/>
    <n v="1.7848006188229999"/>
  </r>
  <r>
    <s v="05"/>
    <s v="05"/>
    <s v="II. chirurgická klinika - cévně-transplantační"/>
    <x v="4"/>
    <s v="0532"/>
    <s v="JIP 37A "/>
    <s v="0532 - JIP 37A "/>
    <s v="50115064     ostatní ZPr - šicí materiál (sk.Z_529)"/>
    <x v="21"/>
    <x v="0"/>
    <n v="2.6718500000000001"/>
    <n v="1.900083080675"/>
  </r>
  <r>
    <s v="05"/>
    <s v="05"/>
    <s v="II. chirurgická klinika - cévně-transplantační"/>
    <x v="4"/>
    <s v="0532"/>
    <s v="JIP 37A "/>
    <s v="0532 - JIP 37A "/>
    <s v="50115064     ostatní ZPr - šicí materiál (sk.Z_529)"/>
    <x v="21"/>
    <x v="1"/>
    <n v="1.19286"/>
    <n v="2.6195345761629998"/>
  </r>
  <r>
    <s v="05"/>
    <s v="05"/>
    <s v="II. chirurgická klinika - cévně-transplantační"/>
    <x v="4"/>
    <s v="0532"/>
    <s v="JIP 37A "/>
    <s v="0532 - JIP 37A "/>
    <s v="50115065     ostatní ZPr - vpichovací materiál (sk.Z_530)"/>
    <x v="14"/>
    <x v="0"/>
    <n v="3.7859999999999996"/>
    <n v="3.8005094261219998"/>
  </r>
  <r>
    <s v="05"/>
    <s v="05"/>
    <s v="II. chirurgická klinika - cévně-transplantační"/>
    <x v="4"/>
    <s v="0532"/>
    <s v="JIP 37A "/>
    <s v="0532 - JIP 37A "/>
    <s v="50115065     ostatní ZPr - vpichovací materiál (sk.Z_530)"/>
    <x v="14"/>
    <x v="1"/>
    <n v="3.472"/>
    <n v="3.8837384877829999"/>
  </r>
  <r>
    <s v="05"/>
    <s v="05"/>
    <s v="II. chirurgická klinika - cévně-transplantační"/>
    <x v="4"/>
    <s v="0532"/>
    <s v="JIP 37A "/>
    <s v="0532 - JIP 37A "/>
    <s v="50115065     ostatní ZPr - vpichovací materiál (sk.Z_530)"/>
    <x v="14"/>
    <x v="2"/>
    <n v="3.9569999999999999"/>
    <n v="3.6206882230200002"/>
  </r>
  <r>
    <s v="05"/>
    <s v="05"/>
    <s v="II. chirurgická klinika - cévně-transplantační"/>
    <x v="4"/>
    <s v="0532"/>
    <s v="JIP 37A "/>
    <s v="0532 - JIP 37A "/>
    <s v="50115067     ostatní ZPr - rukavice (sk.Z_532)"/>
    <x v="15"/>
    <x v="0"/>
    <n v="20.864899999999999"/>
    <n v="21.290214542348998"/>
  </r>
  <r>
    <s v="05"/>
    <s v="05"/>
    <s v="II. chirurgická klinika - cévně-transplantační"/>
    <x v="4"/>
    <s v="0532"/>
    <s v="JIP 37A "/>
    <s v="0532 - JIP 37A "/>
    <s v="50115067     ostatní ZPr - rukavice (sk.Z_532)"/>
    <x v="15"/>
    <x v="1"/>
    <n v="23.992000000000001"/>
    <n v="24.160149456035001"/>
  </r>
  <r>
    <s v="05"/>
    <s v="05"/>
    <s v="II. chirurgická klinika - cévně-transplantační"/>
    <x v="4"/>
    <s v="0532"/>
    <s v="JIP 37A "/>
    <s v="0532 - JIP 37A "/>
    <s v="50115067     ostatní ZPr - rukavice (sk.Z_532)"/>
    <x v="15"/>
    <x v="2"/>
    <n v="14.918100000000001"/>
    <n v="20.121232761548001"/>
  </r>
  <r>
    <s v="05"/>
    <s v="05"/>
    <s v="II. chirurgická klinika - cévně-transplantační"/>
    <x v="4"/>
    <s v="0532"/>
    <s v="JIP 37A "/>
    <s v="0532 - JIP 37A "/>
    <s v="50115070     ostatní ZPr - katetry (sk.Z_513)"/>
    <x v="16"/>
    <x v="0"/>
    <n v="5.1425000000000001"/>
    <n v="0.27053005034299998"/>
  </r>
  <r>
    <s v="05"/>
    <s v="05"/>
    <s v="II. chirurgická klinika - cévně-transplantační"/>
    <x v="4"/>
    <s v="0532"/>
    <s v="JIP 37A "/>
    <s v="0532 - JIP 37A "/>
    <s v="50115070     ostatní ZPr - katetry (sk.Z_513)"/>
    <x v="16"/>
    <x v="1"/>
    <n v="8.8477599999999992"/>
    <n v="5.1424758357250004"/>
  </r>
  <r>
    <s v="05"/>
    <s v="05"/>
    <s v="II. chirurgická klinika - cévně-transplantační"/>
    <x v="4"/>
    <s v="0532"/>
    <s v="JIP 37A "/>
    <s v="0532 - JIP 37A "/>
    <s v="50115070     ostatní ZPr - katetry (sk.Z_513)"/>
    <x v="16"/>
    <x v="2"/>
    <n v="5.1425000000000001"/>
    <n v="5.0341260642050001"/>
  </r>
  <r>
    <s v="05"/>
    <s v="05"/>
    <s v="II. chirurgická klinika - cévně-transplantační"/>
    <x v="4"/>
    <s v="0532"/>
    <s v="JIP 37A "/>
    <s v="0532 - JIP 37A "/>
    <s v="50115079     ostatní ZPr - intenzivní péče (sk.Z_542)"/>
    <x v="18"/>
    <x v="2"/>
    <n v="1.1216999999999999"/>
    <n v="0"/>
  </r>
  <r>
    <s v="05"/>
    <s v="05"/>
    <s v="II. chirurgická klinika - cévně-transplantační"/>
    <x v="4"/>
    <s v="0564"/>
    <s v="pracoviště COS"/>
    <s v="0564 - pracoviště COS"/>
    <s v="50113     Léky a léčiva"/>
    <x v="2"/>
    <x v="0"/>
    <n v="581.67232000000001"/>
    <n v="583.80312391063705"/>
  </r>
  <r>
    <s v="05"/>
    <s v="05"/>
    <s v="II. chirurgická klinika - cévně-transplantační"/>
    <x v="4"/>
    <s v="0564"/>
    <s v="pracoviště COS"/>
    <s v="0564 - pracoviště COS"/>
    <s v="50113     Léky a léčiva"/>
    <x v="2"/>
    <x v="1"/>
    <n v="565.94548000000009"/>
    <n v="571.37285833549299"/>
  </r>
  <r>
    <s v="05"/>
    <s v="05"/>
    <s v="II. chirurgická klinika - cévně-transplantační"/>
    <x v="4"/>
    <s v="0564"/>
    <s v="pracoviště COS"/>
    <s v="0564 - pracoviště COS"/>
    <s v="50113     Léky a léčiva"/>
    <x v="2"/>
    <x v="2"/>
    <n v="367.69810000000001"/>
    <n v="538.40592533900497"/>
  </r>
  <r>
    <s v="05"/>
    <s v="05"/>
    <s v="II. chirurgická klinika - cévně-transplantační"/>
    <x v="4"/>
    <s v="0564"/>
    <s v="pracoviště COS"/>
    <s v="0564 - pracoviště COS"/>
    <s v="50113001     léky - paušál+TISS (LEK)"/>
    <x v="3"/>
    <x v="0"/>
    <n v="414.38022000000001"/>
    <n v="408.999480275015"/>
  </r>
  <r>
    <s v="05"/>
    <s v="05"/>
    <s v="II. chirurgická klinika - cévně-transplantační"/>
    <x v="4"/>
    <s v="0564"/>
    <s v="pracoviště COS"/>
    <s v="0564 - pracoviště COS"/>
    <s v="50113001     léky - paušál+TISS (LEK)"/>
    <x v="3"/>
    <x v="1"/>
    <n v="413.99191999999999"/>
    <n v="414.69410914541697"/>
  </r>
  <r>
    <s v="05"/>
    <s v="05"/>
    <s v="II. chirurgická klinika - cévně-transplantační"/>
    <x v="4"/>
    <s v="0564"/>
    <s v="pracoviště COS"/>
    <s v="0564 - pracoviště COS"/>
    <s v="50113001     léky - paušál+TISS (LEK)"/>
    <x v="3"/>
    <x v="2"/>
    <n v="275.40557999999999"/>
    <n v="388.29252366776302"/>
  </r>
  <r>
    <s v="05"/>
    <s v="05"/>
    <s v="II. chirurgická klinika - cévně-transplantační"/>
    <x v="4"/>
    <s v="0564"/>
    <s v="pracoviště COS"/>
    <s v="0564 - pracoviště COS"/>
    <s v="50113009     léky - RTG diagnostika ZUL (LEK)"/>
    <x v="22"/>
    <x v="0"/>
    <n v="167.2921"/>
    <n v="170.99676693312799"/>
  </r>
  <r>
    <s v="05"/>
    <s v="05"/>
    <s v="II. chirurgická klinika - cévně-transplantační"/>
    <x v="4"/>
    <s v="0564"/>
    <s v="pracoviště COS"/>
    <s v="0564 - pracoviště COS"/>
    <s v="50113009     léky - RTG diagnostika ZUL (LEK)"/>
    <x v="22"/>
    <x v="1"/>
    <n v="151.62291000000002"/>
    <n v="156.67874919007599"/>
  </r>
  <r>
    <s v="05"/>
    <s v="05"/>
    <s v="II. chirurgická klinika - cévně-transplantační"/>
    <x v="4"/>
    <s v="0564"/>
    <s v="pracoviště COS"/>
    <s v="0564 - pracoviště COS"/>
    <s v="50113009     léky - RTG diagnostika ZUL (LEK)"/>
    <x v="22"/>
    <x v="2"/>
    <n v="92.292519999999996"/>
    <n v="149.80000000000001"/>
  </r>
  <r>
    <s v="05"/>
    <s v="05"/>
    <s v="II. chirurgická klinika - cévně-transplantační"/>
    <x v="4"/>
    <s v="0564"/>
    <s v="pracoviště COS"/>
    <s v="0564 - pracoviště COS"/>
    <s v="50113013     léky (paušál) - antibiotika (LEK)"/>
    <x v="7"/>
    <x v="0"/>
    <n v="0"/>
    <n v="3.8068767024930001"/>
  </r>
  <r>
    <s v="05"/>
    <s v="05"/>
    <s v="II. chirurgická klinika - cévně-transplantační"/>
    <x v="4"/>
    <s v="0564"/>
    <s v="pracoviště COS"/>
    <s v="0564 - pracoviště COS"/>
    <s v="50113013     léky (paušál) - antibiotika (LEK)"/>
    <x v="7"/>
    <x v="1"/>
    <n v="0.33065"/>
    <n v="0"/>
  </r>
  <r>
    <s v="05"/>
    <s v="05"/>
    <s v="II. chirurgická klinika - cévně-transplantační"/>
    <x v="4"/>
    <s v="0564"/>
    <s v="pracoviště COS"/>
    <s v="0564 - pracoviště COS"/>
    <s v="50113013     léky (paušál) - antibiotika (LEK)"/>
    <x v="7"/>
    <x v="2"/>
    <n v="0"/>
    <n v="0.31340167124200002"/>
  </r>
  <r>
    <s v="05"/>
    <s v="05"/>
    <s v="II. chirurgická klinika - cévně-transplantační"/>
    <x v="4"/>
    <s v="0564"/>
    <s v="pracoviště COS"/>
    <s v="0564 - pracoviště COS"/>
    <s v="50115     Zdravotnické prostředky"/>
    <x v="0"/>
    <x v="0"/>
    <n v="6294.9979099999982"/>
    <n v="6263.2601306541101"/>
  </r>
  <r>
    <s v="05"/>
    <s v="05"/>
    <s v="II. chirurgická klinika - cévně-transplantační"/>
    <x v="4"/>
    <s v="0564"/>
    <s v="pracoviště COS"/>
    <s v="0564 - pracoviště COS"/>
    <s v="50115     Zdravotnické prostředky"/>
    <x v="0"/>
    <x v="1"/>
    <n v="6315.918300000003"/>
    <n v="6368.5460269426703"/>
  </r>
  <r>
    <s v="05"/>
    <s v="05"/>
    <s v="II. chirurgická klinika - cévně-transplantační"/>
    <x v="4"/>
    <s v="0564"/>
    <s v="pracoviště COS"/>
    <s v="0564 - pracoviště COS"/>
    <s v="50115     Zdravotnické prostředky"/>
    <x v="0"/>
    <x v="2"/>
    <n v="4530.8857600000019"/>
    <n v="6938.8375356146698"/>
  </r>
  <r>
    <s v="05"/>
    <s v="05"/>
    <s v="II. chirurgická klinika - cévně-transplantační"/>
    <x v="4"/>
    <s v="0564"/>
    <s v="pracoviště COS"/>
    <s v="0564 - pracoviště COS"/>
    <s v="50115004     implant.umělé těl.náhr.-kovové (s.Z_506)"/>
    <x v="25"/>
    <x v="0"/>
    <n v="4816.6827899999989"/>
    <n v="4419.2594767272303"/>
  </r>
  <r>
    <s v="05"/>
    <s v="05"/>
    <s v="II. chirurgická klinika - cévně-transplantační"/>
    <x v="4"/>
    <s v="0564"/>
    <s v="pracoviště COS"/>
    <s v="0564 - pracoviště COS"/>
    <s v="50115004     implant.umělé těl.náhr.-kovové (s.Z_506)"/>
    <x v="25"/>
    <x v="1"/>
    <n v="547.81340000000296"/>
    <n v="0"/>
  </r>
  <r>
    <s v="05"/>
    <s v="05"/>
    <s v="II. chirurgická klinika - cévně-transplantační"/>
    <x v="4"/>
    <s v="0564"/>
    <s v="pracoviště COS"/>
    <s v="0564 - pracoviště COS"/>
    <s v="50115004     implant.umělé těl.náhr.-kovové (s.Z_506)"/>
    <x v="25"/>
    <x v="2"/>
    <n v="0"/>
    <n v="299.99998267633299"/>
  </r>
  <r>
    <s v="05"/>
    <s v="05"/>
    <s v="II. chirurgická klinika - cévně-transplantační"/>
    <x v="4"/>
    <s v="0564"/>
    <s v="pracoviště COS"/>
    <s v="0564 - pracoviště COS"/>
    <s v="50115011     implant.umělé těl.náhr.-ostat.nákl.PZT(s.Z_515)"/>
    <x v="26"/>
    <x v="1"/>
    <n v="4208.9536200000002"/>
    <n v="4831.9973982594502"/>
  </r>
  <r>
    <s v="05"/>
    <s v="05"/>
    <s v="II. chirurgická klinika - cévně-transplantační"/>
    <x v="4"/>
    <s v="0564"/>
    <s v="pracoviště COS"/>
    <s v="0564 - pracoviště COS"/>
    <s v="50115011     implant.umělé těl.náhr.-ostat.nákl.PZT(s.Z_515)"/>
    <x v="26"/>
    <x v="2"/>
    <n v="3680.6532400000006"/>
    <n v="4916.9998667022501"/>
  </r>
  <r>
    <s v="05"/>
    <s v="05"/>
    <s v="II. chirurgická klinika - cévně-transplantační"/>
    <x v="4"/>
    <s v="0564"/>
    <s v="pracoviště COS"/>
    <s v="0564 - pracoviště COS"/>
    <s v="50115020     diagnostika laboratorní-LEK (sk.Z_501)"/>
    <x v="10"/>
    <x v="0"/>
    <n v="0"/>
    <n v="24"/>
  </r>
  <r>
    <s v="05"/>
    <s v="05"/>
    <s v="II. chirurgická klinika - cévně-transplantační"/>
    <x v="4"/>
    <s v="0564"/>
    <s v="pracoviště COS"/>
    <s v="0564 - pracoviště COS"/>
    <s v="50115020     diagnostika laboratorní-LEK (sk.Z_501)"/>
    <x v="10"/>
    <x v="1"/>
    <n v="36.844999999999999"/>
    <n v="0"/>
  </r>
  <r>
    <s v="05"/>
    <s v="05"/>
    <s v="II. chirurgická klinika - cévně-transplantační"/>
    <x v="4"/>
    <s v="0564"/>
    <s v="pracoviště COS"/>
    <s v="0564 - pracoviště COS"/>
    <s v="50115020     diagnostika laboratorní-LEK (sk.Z_501)"/>
    <x v="10"/>
    <x v="2"/>
    <n v="0"/>
    <n v="46.193780030794997"/>
  </r>
  <r>
    <s v="05"/>
    <s v="05"/>
    <s v="II. chirurgická klinika - cévně-transplantační"/>
    <x v="4"/>
    <s v="0564"/>
    <s v="pracoviště COS"/>
    <s v="0564 - pracoviště COS"/>
    <s v="50115021     diagnostika laboratorní-skl.ZPr(sk.Z_501)"/>
    <x v="41"/>
    <x v="0"/>
    <n v="169.48500000000001"/>
    <n v="503.08739576376098"/>
  </r>
  <r>
    <s v="05"/>
    <s v="05"/>
    <s v="II. chirurgická klinika - cévně-transplantační"/>
    <x v="4"/>
    <s v="0564"/>
    <s v="pracoviště COS"/>
    <s v="0564 - pracoviště COS"/>
    <s v="50115021     diagnostika laboratorní-skl.ZPr(sk.Z_501)"/>
    <x v="41"/>
    <x v="1"/>
    <n v="361.07752000000005"/>
    <n v="322.84243951364698"/>
  </r>
  <r>
    <s v="05"/>
    <s v="05"/>
    <s v="II. chirurgická klinika - cévně-transplantační"/>
    <x v="4"/>
    <s v="0564"/>
    <s v="pracoviště COS"/>
    <s v="0564 - pracoviště COS"/>
    <s v="50115021     diagnostika laboratorní-skl.ZPr(sk.Z_501)"/>
    <x v="41"/>
    <x v="2"/>
    <n v="70.485659999999996"/>
    <n v="373.02230918474203"/>
  </r>
  <r>
    <s v="05"/>
    <s v="05"/>
    <s v="II. chirurgická klinika - cévně-transplantační"/>
    <x v="4"/>
    <s v="0564"/>
    <s v="pracoviště COS"/>
    <s v="0564 - pracoviště COS"/>
    <s v="50115050     obvazový materiál (sk.Z_502)"/>
    <x v="12"/>
    <x v="0"/>
    <n v="58.914599999998998"/>
    <n v="70.415017787050999"/>
  </r>
  <r>
    <s v="05"/>
    <s v="05"/>
    <s v="II. chirurgická klinika - cévně-transplantační"/>
    <x v="4"/>
    <s v="0564"/>
    <s v="pracoviště COS"/>
    <s v="0564 - pracoviště COS"/>
    <s v="50115050     obvazový materiál (sk.Z_502)"/>
    <x v="12"/>
    <x v="1"/>
    <n v="56.434389999999993"/>
    <n v="59.048574832343"/>
  </r>
  <r>
    <s v="05"/>
    <s v="05"/>
    <s v="II. chirurgická klinika - cévně-transplantační"/>
    <x v="4"/>
    <s v="0564"/>
    <s v="pracoviště COS"/>
    <s v="0564 - pracoviště COS"/>
    <s v="50115050     obvazový materiál (sk.Z_502)"/>
    <x v="12"/>
    <x v="2"/>
    <n v="53.595749999999995"/>
    <n v="71.735947555219994"/>
  </r>
  <r>
    <s v="05"/>
    <s v="05"/>
    <s v="II. chirurgická klinika - cévně-transplantační"/>
    <x v="4"/>
    <s v="0564"/>
    <s v="pracoviště COS"/>
    <s v="0564 - pracoviště COS"/>
    <s v="50115060     ostatní ZPr - mimo níže uvedené (sk.Z_503)"/>
    <x v="1"/>
    <x v="0"/>
    <n v="172.46297999999899"/>
    <n v="146.74991126935501"/>
  </r>
  <r>
    <s v="05"/>
    <s v="05"/>
    <s v="II. chirurgická klinika - cévně-transplantační"/>
    <x v="4"/>
    <s v="0564"/>
    <s v="pracoviště COS"/>
    <s v="0564 - pracoviště COS"/>
    <s v="50115060     ostatní ZPr - mimo níže uvedené (sk.Z_503)"/>
    <x v="1"/>
    <x v="1"/>
    <n v="134.10301000000001"/>
    <n v="172.4616807777"/>
  </r>
  <r>
    <s v="05"/>
    <s v="05"/>
    <s v="II. chirurgická klinika - cévně-transplantační"/>
    <x v="4"/>
    <s v="0564"/>
    <s v="pracoviště COS"/>
    <s v="0564 - pracoviště COS"/>
    <s v="50115060     ostatní ZPr - mimo níže uvedené (sk.Z_503)"/>
    <x v="1"/>
    <x v="2"/>
    <n v="73.311359999999993"/>
    <n v="148.72251011442"/>
  </r>
  <r>
    <s v="05"/>
    <s v="05"/>
    <s v="II. chirurgická klinika - cévně-transplantační"/>
    <x v="4"/>
    <s v="0564"/>
    <s v="pracoviště COS"/>
    <s v="0564 - pracoviště COS"/>
    <s v="50115063     ostatní ZPr - vaky, sety (sk.Z_528)"/>
    <x v="13"/>
    <x v="0"/>
    <n v="0"/>
    <n v="5.7000607700829997"/>
  </r>
  <r>
    <s v="05"/>
    <s v="05"/>
    <s v="II. chirurgická klinika - cévně-transplantační"/>
    <x v="4"/>
    <s v="0564"/>
    <s v="pracoviště COS"/>
    <s v="0564 - pracoviště COS"/>
    <s v="50115064     ostatní ZPr - šicí materiál (sk.Z_529)"/>
    <x v="21"/>
    <x v="0"/>
    <n v="68.572060000000008"/>
    <n v="83.601945509166001"/>
  </r>
  <r>
    <s v="05"/>
    <s v="05"/>
    <s v="II. chirurgická klinika - cévně-transplantační"/>
    <x v="4"/>
    <s v="0564"/>
    <s v="pracoviště COS"/>
    <s v="0564 - pracoviště COS"/>
    <s v="50115064     ostatní ZPr - šicí materiál (sk.Z_529)"/>
    <x v="21"/>
    <x v="1"/>
    <n v="65.975700000000003"/>
    <n v="67.229403644940007"/>
  </r>
  <r>
    <s v="05"/>
    <s v="05"/>
    <s v="II. chirurgická klinika - cévně-transplantační"/>
    <x v="4"/>
    <s v="0564"/>
    <s v="pracoviště COS"/>
    <s v="0564 - pracoviště COS"/>
    <s v="50115064     ostatní ZPr - šicí materiál (sk.Z_529)"/>
    <x v="21"/>
    <x v="2"/>
    <n v="45.264870000000002"/>
    <n v="74.375535107141005"/>
  </r>
  <r>
    <s v="05"/>
    <s v="05"/>
    <s v="II. chirurgická klinika - cévně-transplantační"/>
    <x v="4"/>
    <s v="0564"/>
    <s v="pracoviště COS"/>
    <s v="0564 - pracoviště COS"/>
    <s v="50115067     ostatní ZPr - rukavice (sk.Z_532)"/>
    <x v="15"/>
    <x v="0"/>
    <n v="0"/>
    <n v="0.38001326642700001"/>
  </r>
  <r>
    <s v="05"/>
    <s v="05"/>
    <s v="II. chirurgická klinika - cévně-transplantační"/>
    <x v="4"/>
    <s v="0564"/>
    <s v="pracoviště COS"/>
    <s v="0564 - pracoviště COS"/>
    <s v="50115070     ostatní ZPr - katetry (sk.Z_513)"/>
    <x v="16"/>
    <x v="0"/>
    <n v="978.97113999999897"/>
    <n v="979.66666666666697"/>
  </r>
  <r>
    <s v="05"/>
    <s v="05"/>
    <s v="II. chirurgická klinika - cévně-transplantační"/>
    <x v="4"/>
    <s v="0564"/>
    <s v="pracoviště COS"/>
    <s v="0564 - pracoviště COS"/>
    <s v="50115070     ostatní ZPr - katetry (sk.Z_513)"/>
    <x v="16"/>
    <x v="1"/>
    <n v="876.02050000000008"/>
    <n v="884.96658779922495"/>
  </r>
  <r>
    <s v="05"/>
    <s v="05"/>
    <s v="II. chirurgická klinika - cévně-transplantační"/>
    <x v="4"/>
    <s v="0564"/>
    <s v="pracoviště COS"/>
    <s v="0564 - pracoviště COS"/>
    <s v="50115070     ostatní ZPr - katetry (sk.Z_513)"/>
    <x v="16"/>
    <x v="2"/>
    <n v="607.57488000000001"/>
    <n v="977.78835076182304"/>
  </r>
  <r>
    <s v="05"/>
    <s v="05"/>
    <s v="II. chirurgická klinika - cévně-transplantační"/>
    <x v="4"/>
    <s v="0564"/>
    <s v="pracoviště COS"/>
    <s v="0564 - pracoviště COS"/>
    <s v="50115080     ostatní ZPr - staplery, extraktory (sk.Z_523)"/>
    <x v="30"/>
    <x v="0"/>
    <n v="29.90934"/>
    <n v="30.39964289437"/>
  </r>
  <r>
    <s v="05"/>
    <s v="05"/>
    <s v="II. chirurgická klinika - cévně-transplantační"/>
    <x v="4"/>
    <s v="0564"/>
    <s v="pracoviště COS"/>
    <s v="0564 - pracoviště COS"/>
    <s v="50115080     ostatní ZPr - staplery, extraktory (sk.Z_523)"/>
    <x v="30"/>
    <x v="1"/>
    <n v="28.695160000000001"/>
    <n v="29.99994211536"/>
  </r>
  <r>
    <s v="05"/>
    <s v="05"/>
    <s v="II. chirurgická klinika - cévně-transplantační"/>
    <x v="4"/>
    <s v="0564"/>
    <s v="pracoviště COS"/>
    <s v="0564 - pracoviště COS"/>
    <s v="50115080     ostatní ZPr - staplery, extraktory (sk.Z_523)"/>
    <x v="30"/>
    <x v="2"/>
    <n v="0"/>
    <n v="29.999253481936002"/>
  </r>
  <r>
    <s v="05"/>
    <s v="05"/>
    <s v="II. chirurgická klinika - cévně-transplantační"/>
    <x v="4"/>
    <s v="0566"/>
    <s v="pracoviště DK COS"/>
    <s v="0566 - pracoviště DK COS"/>
    <s v="50115     Zdravotnické prostředky"/>
    <x v="0"/>
    <x v="0"/>
    <n v="0"/>
    <n v="0.38001326642700001"/>
  </r>
  <r>
    <s v="05"/>
    <s v="05"/>
    <s v="II. chirurgická klinika - cévně-transplantační"/>
    <x v="4"/>
    <s v="0566"/>
    <s v="pracoviště DK COS"/>
    <s v="0566 - pracoviště DK COS"/>
    <s v="50115067     ostatní ZPr - rukavice (sk.Z_532)"/>
    <x v="15"/>
    <x v="0"/>
    <n v="0"/>
    <n v="0.38001326642700001"/>
  </r>
  <r>
    <s v="06"/>
    <s v="06"/>
    <s v="Neurochirurgická klinika"/>
    <x v="5"/>
    <s v="0601"/>
    <s v="vedení klinického pracoviště"/>
    <s v="0601 - vedení klinického pracoviště"/>
    <s v="50115     Zdravotnické prostředky"/>
    <x v="0"/>
    <x v="1"/>
    <n v="0"/>
    <n v="442.22235890205002"/>
  </r>
  <r>
    <s v="06"/>
    <s v="06"/>
    <s v="Neurochirurgická klinika"/>
    <x v="5"/>
    <s v="0601"/>
    <s v="vedení klinického pracoviště"/>
    <s v="0601 - vedení klinického pracoviště"/>
    <s v="50115060     ostatní ZPr - mimo níže uvedené (sk.Z_503)"/>
    <x v="1"/>
    <x v="1"/>
    <n v="0"/>
    <n v="442.22235890205002"/>
  </r>
  <r>
    <s v="06"/>
    <s v="06"/>
    <s v="Neurochirurgická klinika"/>
    <x v="5"/>
    <s v="0611"/>
    <s v="lůžkové oddělení 34"/>
    <s v="0611 - lůžkové oddělení 34"/>
    <s v="50113     Léky a léčiva"/>
    <x v="2"/>
    <x v="0"/>
    <n v="315.39819999999997"/>
    <n v="393.71571122693803"/>
  </r>
  <r>
    <s v="06"/>
    <s v="06"/>
    <s v="Neurochirurgická klinika"/>
    <x v="5"/>
    <s v="0611"/>
    <s v="lůžkové oddělení 34"/>
    <s v="0611 - lůžkové oddělení 34"/>
    <s v="50113     Léky a léčiva"/>
    <x v="2"/>
    <x v="1"/>
    <n v="367.12136000000004"/>
    <n v="360.926072529728"/>
  </r>
  <r>
    <s v="06"/>
    <s v="06"/>
    <s v="Neurochirurgická klinika"/>
    <x v="5"/>
    <s v="0611"/>
    <s v="lůžkové oddělení 34"/>
    <s v="0611 - lůžkové oddělení 34"/>
    <s v="50113     Léky a léčiva"/>
    <x v="2"/>
    <x v="2"/>
    <n v="188.84361999999999"/>
    <n v="347.22302739007699"/>
  </r>
  <r>
    <s v="06"/>
    <s v="06"/>
    <s v="Neurochirurgická klinika"/>
    <x v="5"/>
    <s v="0611"/>
    <s v="lůžkové oddělení 34"/>
    <s v="0611 - lůžkové oddělení 34"/>
    <s v="50113001     léky - paušál+TISS (LEK)"/>
    <x v="3"/>
    <x v="0"/>
    <n v="208.74907999999996"/>
    <n v="218.54890889302399"/>
  </r>
  <r>
    <s v="06"/>
    <s v="06"/>
    <s v="Neurochirurgická klinika"/>
    <x v="5"/>
    <s v="0611"/>
    <s v="lůžkové oddělení 34"/>
    <s v="0611 - lůžkové oddělení 34"/>
    <s v="50113001     léky - paušál+TISS (LEK)"/>
    <x v="3"/>
    <x v="1"/>
    <n v="194.54962999999998"/>
    <n v="208.760824098055"/>
  </r>
  <r>
    <s v="06"/>
    <s v="06"/>
    <s v="Neurochirurgická klinika"/>
    <x v="5"/>
    <s v="0611"/>
    <s v="lůžkové oddělení 34"/>
    <s v="0611 - lůžkové oddělení 34"/>
    <s v="50113001     léky - paušál+TISS (LEK)"/>
    <x v="3"/>
    <x v="2"/>
    <n v="120.59534000000002"/>
    <n v="190.22331873235399"/>
  </r>
  <r>
    <s v="06"/>
    <s v="06"/>
    <s v="Neurochirurgická klinika"/>
    <x v="5"/>
    <s v="0611"/>
    <s v="lůžkové oddělení 34"/>
    <s v="0611 - lůžkové oddělení 34"/>
    <s v="50113008     léky - krev.deriváty ZUL (TO)"/>
    <x v="5"/>
    <x v="0"/>
    <n v="0"/>
    <n v="14.474877169507"/>
  </r>
  <r>
    <s v="06"/>
    <s v="06"/>
    <s v="Neurochirurgická klinika"/>
    <x v="5"/>
    <s v="0611"/>
    <s v="lůžkové oddělení 34"/>
    <s v="0611 - lůžkové oddělení 34"/>
    <s v="50113008     léky - krev.deriváty ZUL (TO)"/>
    <x v="5"/>
    <x v="2"/>
    <n v="16.469200000000001"/>
    <n v="0"/>
  </r>
  <r>
    <s v="06"/>
    <s v="06"/>
    <s v="Neurochirurgická klinika"/>
    <x v="5"/>
    <s v="0611"/>
    <s v="lůžkové oddělení 34"/>
    <s v="0611 - lůžkové oddělení 34"/>
    <s v="50113013     léky (paušál) - antibiotika (LEK)"/>
    <x v="7"/>
    <x v="0"/>
    <n v="76.157199999998994"/>
    <n v="127.01020780284"/>
  </r>
  <r>
    <s v="06"/>
    <s v="06"/>
    <s v="Neurochirurgická klinika"/>
    <x v="5"/>
    <s v="0611"/>
    <s v="lůžkové oddělení 34"/>
    <s v="0611 - lůžkové oddělení 34"/>
    <s v="50113013     léky (paušál) - antibiotika (LEK)"/>
    <x v="7"/>
    <x v="1"/>
    <n v="141.90927000000002"/>
    <n v="122.992982587489"/>
  </r>
  <r>
    <s v="06"/>
    <s v="06"/>
    <s v="Neurochirurgická klinika"/>
    <x v="5"/>
    <s v="0611"/>
    <s v="lůžkové oddělení 34"/>
    <s v="0611 - lůžkové oddělení 34"/>
    <s v="50113013     léky (paušál) - antibiotika (LEK)"/>
    <x v="7"/>
    <x v="2"/>
    <n v="29.826920000000005"/>
    <n v="124.730836257064"/>
  </r>
  <r>
    <s v="06"/>
    <s v="06"/>
    <s v="Neurochirurgická klinika"/>
    <x v="5"/>
    <s v="0611"/>
    <s v="lůžkové oddělení 34"/>
    <s v="0611 - lůžkové oddělení 34"/>
    <s v="50113014     léky (paušál) - antimykotika (LEK)"/>
    <x v="8"/>
    <x v="0"/>
    <n v="0"/>
    <n v="0.27868992542600002"/>
  </r>
  <r>
    <s v="06"/>
    <s v="06"/>
    <s v="Neurochirurgická klinika"/>
    <x v="5"/>
    <s v="0611"/>
    <s v="lůžkové oddělení 34"/>
    <s v="0611 - lůžkové oddělení 34"/>
    <s v="50113014     léky (paušál) - antimykotika (LEK)"/>
    <x v="8"/>
    <x v="2"/>
    <n v="6.2729999999999994E-2"/>
    <n v="0"/>
  </r>
  <r>
    <s v="06"/>
    <s v="06"/>
    <s v="Neurochirurgická klinika"/>
    <x v="5"/>
    <s v="0611"/>
    <s v="lůžkové oddělení 34"/>
    <s v="0611 - lůžkové oddělení 34"/>
    <s v="50113190     medicinální plyny"/>
    <x v="9"/>
    <x v="0"/>
    <n v="30.49192"/>
    <n v="33.403027436138998"/>
  </r>
  <r>
    <s v="06"/>
    <s v="06"/>
    <s v="Neurochirurgická klinika"/>
    <x v="5"/>
    <s v="0611"/>
    <s v="lůžkové oddělení 34"/>
    <s v="0611 - lůžkové oddělení 34"/>
    <s v="50113190     medicinální plyny"/>
    <x v="9"/>
    <x v="1"/>
    <n v="30.662459999999999"/>
    <n v="29.172265844182999"/>
  </r>
  <r>
    <s v="06"/>
    <s v="06"/>
    <s v="Neurochirurgická klinika"/>
    <x v="5"/>
    <s v="0611"/>
    <s v="lůžkové oddělení 34"/>
    <s v="0611 - lůžkové oddělení 34"/>
    <s v="50113190     medicinální plyny"/>
    <x v="9"/>
    <x v="2"/>
    <n v="21.889429999999997"/>
    <n v="32.268872400658999"/>
  </r>
  <r>
    <s v="06"/>
    <s v="06"/>
    <s v="Neurochirurgická klinika"/>
    <x v="5"/>
    <s v="0611"/>
    <s v="lůžkové oddělení 34"/>
    <s v="0611 - lůžkové oddělení 34"/>
    <s v="50115     Zdravotnické prostředky"/>
    <x v="0"/>
    <x v="0"/>
    <n v="75.746239999999005"/>
    <n v="78.892006604233998"/>
  </r>
  <r>
    <s v="06"/>
    <s v="06"/>
    <s v="Neurochirurgická klinika"/>
    <x v="5"/>
    <s v="0611"/>
    <s v="lůžkové oddělení 34"/>
    <s v="0611 - lůžkové oddělení 34"/>
    <s v="50115     Zdravotnické prostředky"/>
    <x v="0"/>
    <x v="1"/>
    <n v="73.161070000000009"/>
    <n v="75.996859469723006"/>
  </r>
  <r>
    <s v="06"/>
    <s v="06"/>
    <s v="Neurochirurgická klinika"/>
    <x v="5"/>
    <s v="0611"/>
    <s v="lůžkové oddělení 34"/>
    <s v="0611 - lůžkové oddělení 34"/>
    <s v="50115     Zdravotnické prostředky"/>
    <x v="0"/>
    <x v="2"/>
    <n v="56.354929999999996"/>
    <n v="76.697127094189995"/>
  </r>
  <r>
    <s v="06"/>
    <s v="06"/>
    <s v="Neurochirurgická klinika"/>
    <x v="5"/>
    <s v="0611"/>
    <s v="lůžkové oddělení 34"/>
    <s v="0611 - lůžkové oddělení 34"/>
    <s v="50115040     laboratorní materiál (sk.Z_505)"/>
    <x v="11"/>
    <x v="1"/>
    <n v="4.2500000000000003E-2"/>
    <n v="0"/>
  </r>
  <r>
    <s v="06"/>
    <s v="06"/>
    <s v="Neurochirurgická klinika"/>
    <x v="5"/>
    <s v="0611"/>
    <s v="lůžkové oddělení 34"/>
    <s v="0611 - lůžkové oddělení 34"/>
    <s v="50115040     laboratorní materiál (sk.Z_505)"/>
    <x v="11"/>
    <x v="2"/>
    <n v="0"/>
    <n v="4.2499998661000002E-2"/>
  </r>
  <r>
    <s v="06"/>
    <s v="06"/>
    <s v="Neurochirurgická klinika"/>
    <x v="5"/>
    <s v="0611"/>
    <s v="lůžkové oddělení 34"/>
    <s v="0611 - lůžkové oddělení 34"/>
    <s v="50115050     obvazový materiál (sk.Z_502)"/>
    <x v="12"/>
    <x v="0"/>
    <n v="23.076229999999999"/>
    <n v="21.190303085532001"/>
  </r>
  <r>
    <s v="06"/>
    <s v="06"/>
    <s v="Neurochirurgická klinika"/>
    <x v="5"/>
    <s v="0611"/>
    <s v="lůžkové oddělení 34"/>
    <s v="0611 - lůžkové oddělení 34"/>
    <s v="50115050     obvazový materiál (sk.Z_502)"/>
    <x v="12"/>
    <x v="1"/>
    <n v="22.83615"/>
    <n v="22.128707611479001"/>
  </r>
  <r>
    <s v="06"/>
    <s v="06"/>
    <s v="Neurochirurgická klinika"/>
    <x v="5"/>
    <s v="0611"/>
    <s v="lůžkové oddělení 34"/>
    <s v="0611 - lůžkové oddělení 34"/>
    <s v="50115050     obvazový materiál (sk.Z_502)"/>
    <x v="12"/>
    <x v="2"/>
    <n v="20.251560000000001"/>
    <n v="26.105368728535002"/>
  </r>
  <r>
    <s v="06"/>
    <s v="06"/>
    <s v="Neurochirurgická klinika"/>
    <x v="5"/>
    <s v="0611"/>
    <s v="lůžkové oddělení 34"/>
    <s v="0611 - lůžkové oddělení 34"/>
    <s v="50115060     ostatní ZPr - mimo níže uvedené (sk.Z_503)"/>
    <x v="1"/>
    <x v="0"/>
    <n v="34.264710000000001"/>
    <n v="32.062473619533002"/>
  </r>
  <r>
    <s v="06"/>
    <s v="06"/>
    <s v="Neurochirurgická klinika"/>
    <x v="5"/>
    <s v="0611"/>
    <s v="lůžkové oddělení 34"/>
    <s v="0611 - lůžkové oddělení 34"/>
    <s v="50115060     ostatní ZPr - mimo níže uvedené (sk.Z_503)"/>
    <x v="1"/>
    <x v="1"/>
    <n v="33.471119999999999"/>
    <n v="35.264470990219003"/>
  </r>
  <r>
    <s v="06"/>
    <s v="06"/>
    <s v="Neurochirurgická klinika"/>
    <x v="5"/>
    <s v="0611"/>
    <s v="lůžkové oddělení 34"/>
    <s v="0611 - lůžkové oddělení 34"/>
    <s v="50115060     ostatní ZPr - mimo níže uvedené (sk.Z_503)"/>
    <x v="1"/>
    <x v="2"/>
    <n v="19.64076"/>
    <n v="33.102885432481003"/>
  </r>
  <r>
    <s v="06"/>
    <s v="06"/>
    <s v="Neurochirurgická klinika"/>
    <x v="5"/>
    <s v="0611"/>
    <s v="lůžkové oddělení 34"/>
    <s v="0611 - lůžkové oddělení 34"/>
    <s v="50115063     ostatní ZPr - vaky, sety (sk.Z_528)"/>
    <x v="13"/>
    <x v="0"/>
    <n v="2.4009999999989997"/>
    <n v="1.9000582570989999"/>
  </r>
  <r>
    <s v="06"/>
    <s v="06"/>
    <s v="Neurochirurgická klinika"/>
    <x v="5"/>
    <s v="0611"/>
    <s v="lůžkové oddělení 34"/>
    <s v="0611 - lůžkové oddělení 34"/>
    <s v="50115063     ostatní ZPr - vaky, sety (sk.Z_528)"/>
    <x v="13"/>
    <x v="1"/>
    <n v="0.40849999999999997"/>
    <n v="2.352078121481"/>
  </r>
  <r>
    <s v="06"/>
    <s v="06"/>
    <s v="Neurochirurgická klinika"/>
    <x v="5"/>
    <s v="0611"/>
    <s v="lůžkové oddělení 34"/>
    <s v="0611 - lůžkové oddělení 34"/>
    <s v="50115063     ostatní ZPr - vaky, sety (sk.Z_528)"/>
    <x v="13"/>
    <x v="2"/>
    <n v="0"/>
    <n v="0.40849998713300001"/>
  </r>
  <r>
    <s v="06"/>
    <s v="06"/>
    <s v="Neurochirurgická klinika"/>
    <x v="5"/>
    <s v="0611"/>
    <s v="lůžkové oddělení 34"/>
    <s v="0611 - lůžkové oddělení 34"/>
    <s v="50115065     ostatní ZPr - vpichovací materiál (sk.Z_530)"/>
    <x v="14"/>
    <x v="0"/>
    <n v="1.7859999999999998"/>
    <n v="1.900311721272"/>
  </r>
  <r>
    <s v="06"/>
    <s v="06"/>
    <s v="Neurochirurgická klinika"/>
    <x v="5"/>
    <s v="0611"/>
    <s v="lůžkové oddělení 34"/>
    <s v="0611 - lůžkové oddělení 34"/>
    <s v="50115065     ostatní ZPr - vpichovací materiál (sk.Z_530)"/>
    <x v="14"/>
    <x v="1"/>
    <n v="2.5917000000000003"/>
    <n v="1.8321069569940001"/>
  </r>
  <r>
    <s v="06"/>
    <s v="06"/>
    <s v="Neurochirurgická klinika"/>
    <x v="5"/>
    <s v="0611"/>
    <s v="lůžkové oddělení 34"/>
    <s v="0611 - lůžkové oddělení 34"/>
    <s v="50115065     ostatní ZPr - vpichovací materiál (sk.Z_530)"/>
    <x v="14"/>
    <x v="2"/>
    <n v="2.3340000000000005"/>
    <n v="3.1132933052539999"/>
  </r>
  <r>
    <s v="06"/>
    <s v="06"/>
    <s v="Neurochirurgická klinika"/>
    <x v="5"/>
    <s v="0611"/>
    <s v="lůžkové oddělení 34"/>
    <s v="0611 - lůžkové oddělení 34"/>
    <s v="50115067     ostatní ZPr - rukavice (sk.Z_532)"/>
    <x v="15"/>
    <x v="0"/>
    <n v="14.218299999999999"/>
    <n v="21.802993927039999"/>
  </r>
  <r>
    <s v="06"/>
    <s v="06"/>
    <s v="Neurochirurgická klinika"/>
    <x v="5"/>
    <s v="0611"/>
    <s v="lůžkové oddělení 34"/>
    <s v="0611 - lůžkové oddělení 34"/>
    <s v="50115067     ostatní ZPr - rukavice (sk.Z_532)"/>
    <x v="15"/>
    <x v="1"/>
    <n v="13.811099999999996"/>
    <n v="14.419495789548"/>
  </r>
  <r>
    <s v="06"/>
    <s v="06"/>
    <s v="Neurochirurgická klinika"/>
    <x v="5"/>
    <s v="0611"/>
    <s v="lůžkové oddělení 34"/>
    <s v="0611 - lůžkové oddělení 34"/>
    <s v="50115067     ostatní ZPr - rukavice (sk.Z_532)"/>
    <x v="15"/>
    <x v="2"/>
    <n v="11.759"/>
    <n v="13.924579642124"/>
  </r>
  <r>
    <s v="06"/>
    <s v="06"/>
    <s v="Neurochirurgická klinika"/>
    <x v="5"/>
    <s v="0611"/>
    <s v="lůžkové oddělení 34"/>
    <s v="0611 - lůžkové oddělení 34"/>
    <s v="50115070     ostatní ZPr - katetry (sk.Z_513)"/>
    <x v="16"/>
    <x v="0"/>
    <n v="0"/>
    <n v="3.5865993755999998E-2"/>
  </r>
  <r>
    <s v="06"/>
    <s v="06"/>
    <s v="Neurochirurgická klinika"/>
    <x v="5"/>
    <s v="0611"/>
    <s v="lůžkové oddělení 34"/>
    <s v="0611 - lůžkové oddělení 34"/>
    <s v="50115079     ostatní ZPr - intenzivní péče (sk.Z_542)"/>
    <x v="18"/>
    <x v="2"/>
    <n v="2.3696100000000002"/>
    <n v="0"/>
  </r>
  <r>
    <s v="06"/>
    <s v="06"/>
    <s v="Neurochirurgická klinika"/>
    <x v="5"/>
    <s v="0612"/>
    <s v="lůžkové oddělení 36A"/>
    <s v="0612 - lůžkové oddělení 36A"/>
    <s v="50113     Léky a léčiva"/>
    <x v="2"/>
    <x v="0"/>
    <n v="355.69048999999995"/>
    <n v="356.06974858460899"/>
  </r>
  <r>
    <s v="06"/>
    <s v="06"/>
    <s v="Neurochirurgická klinika"/>
    <x v="5"/>
    <s v="0612"/>
    <s v="lůžkové oddělení 36A"/>
    <s v="0612 - lůžkové oddělení 36A"/>
    <s v="50113     Léky a léčiva"/>
    <x v="2"/>
    <x v="1"/>
    <n v="391.50994000000003"/>
    <n v="356.54633293291801"/>
  </r>
  <r>
    <s v="06"/>
    <s v="06"/>
    <s v="Neurochirurgická klinika"/>
    <x v="5"/>
    <s v="0612"/>
    <s v="lůžkové oddělení 36A"/>
    <s v="0612 - lůžkové oddělení 36A"/>
    <s v="50113     Léky a léčiva"/>
    <x v="2"/>
    <x v="2"/>
    <n v="212.40884000000003"/>
    <n v="374.32443728267998"/>
  </r>
  <r>
    <s v="06"/>
    <s v="06"/>
    <s v="Neurochirurgická klinika"/>
    <x v="5"/>
    <s v="0612"/>
    <s v="lůžkové oddělení 36A"/>
    <s v="0612 - lůžkové oddělení 36A"/>
    <s v="50113001     léky - paušál+TISS (LEK)"/>
    <x v="3"/>
    <x v="0"/>
    <n v="286.55653999999998"/>
    <n v="275.01239321811198"/>
  </r>
  <r>
    <s v="06"/>
    <s v="06"/>
    <s v="Neurochirurgická klinika"/>
    <x v="5"/>
    <s v="0612"/>
    <s v="lůžkové oddělení 36A"/>
    <s v="0612 - lůžkové oddělení 36A"/>
    <s v="50113001     léky - paušál+TISS (LEK)"/>
    <x v="3"/>
    <x v="1"/>
    <n v="286.70256999999998"/>
    <n v="286.57266149909299"/>
  </r>
  <r>
    <s v="06"/>
    <s v="06"/>
    <s v="Neurochirurgická klinika"/>
    <x v="5"/>
    <s v="0612"/>
    <s v="lůžkové oddělení 36A"/>
    <s v="0612 - lůžkové oddělení 36A"/>
    <s v="50113001     léky - paušál+TISS (LEK)"/>
    <x v="3"/>
    <x v="2"/>
    <n v="177.38121000000001"/>
    <n v="271.35742406200802"/>
  </r>
  <r>
    <s v="06"/>
    <s v="06"/>
    <s v="Neurochirurgická klinika"/>
    <x v="5"/>
    <s v="0612"/>
    <s v="lůžkové oddělení 36A"/>
    <s v="0612 - lůžkové oddělení 36A"/>
    <s v="50113006     léky - enterální výživa (LEK)"/>
    <x v="4"/>
    <x v="0"/>
    <n v="0"/>
    <n v="1.421084855021"/>
  </r>
  <r>
    <s v="06"/>
    <s v="06"/>
    <s v="Neurochirurgická klinika"/>
    <x v="5"/>
    <s v="0612"/>
    <s v="lůžkové oddělení 36A"/>
    <s v="0612 - lůžkové oddělení 36A"/>
    <s v="50113013     léky (paušál) - antibiotika (LEK)"/>
    <x v="7"/>
    <x v="0"/>
    <n v="68.590239999999"/>
    <n v="74.822921598614002"/>
  </r>
  <r>
    <s v="06"/>
    <s v="06"/>
    <s v="Neurochirurgická klinika"/>
    <x v="5"/>
    <s v="0612"/>
    <s v="lůžkové oddělení 36A"/>
    <s v="0612 - lůžkové oddělení 36A"/>
    <s v="50113013     léky (paušál) - antibiotika (LEK)"/>
    <x v="7"/>
    <x v="1"/>
    <n v="104.49277000000001"/>
    <n v="69.424191295099007"/>
  </r>
  <r>
    <s v="06"/>
    <s v="06"/>
    <s v="Neurochirurgická klinika"/>
    <x v="5"/>
    <s v="0612"/>
    <s v="lůžkové oddělení 36A"/>
    <s v="0612 - lůžkové oddělení 36A"/>
    <s v="50113013     léky (paušál) - antibiotika (LEK)"/>
    <x v="7"/>
    <x v="2"/>
    <n v="35.027630000000002"/>
    <n v="102.705006894044"/>
  </r>
  <r>
    <s v="06"/>
    <s v="06"/>
    <s v="Neurochirurgická klinika"/>
    <x v="5"/>
    <s v="0612"/>
    <s v="lůžkové oddělení 36A"/>
    <s v="0612 - lůžkové oddělení 36A"/>
    <s v="50113014     léky (paušál) - antimykotika (LEK)"/>
    <x v="8"/>
    <x v="0"/>
    <n v="0.54370999999999992"/>
    <n v="1.974838744131"/>
  </r>
  <r>
    <s v="06"/>
    <s v="06"/>
    <s v="Neurochirurgická klinika"/>
    <x v="5"/>
    <s v="0612"/>
    <s v="lůžkové oddělení 36A"/>
    <s v="0612 - lůžkové oddělení 36A"/>
    <s v="50113014     léky (paušál) - antimykotika (LEK)"/>
    <x v="8"/>
    <x v="1"/>
    <n v="0.31459999999999999"/>
    <n v="0.54948013872400003"/>
  </r>
  <r>
    <s v="06"/>
    <s v="06"/>
    <s v="Neurochirurgická klinika"/>
    <x v="5"/>
    <s v="0612"/>
    <s v="lůžkové oddělení 36A"/>
    <s v="0612 - lůžkové oddělení 36A"/>
    <s v="50113014     léky (paušál) - antimykotika (LEK)"/>
    <x v="8"/>
    <x v="2"/>
    <n v="0"/>
    <n v="0.262006326628"/>
  </r>
  <r>
    <s v="06"/>
    <s v="06"/>
    <s v="Neurochirurgická klinika"/>
    <x v="5"/>
    <s v="0612"/>
    <s v="lůžkové oddělení 36A"/>
    <s v="0612 - lůžkové oddělení 36A"/>
    <s v="50113190     medicinální plyny"/>
    <x v="9"/>
    <x v="0"/>
    <n v="0"/>
    <n v="2.838510168729"/>
  </r>
  <r>
    <s v="06"/>
    <s v="06"/>
    <s v="Neurochirurgická klinika"/>
    <x v="5"/>
    <s v="0612"/>
    <s v="lůžkové oddělení 36A"/>
    <s v="0612 - lůžkové oddělení 36A"/>
    <s v="50115     Zdravotnické prostředky"/>
    <x v="0"/>
    <x v="0"/>
    <n v="114.24513999999901"/>
    <n v="127.25910250206999"/>
  </r>
  <r>
    <s v="06"/>
    <s v="06"/>
    <s v="Neurochirurgická klinika"/>
    <x v="5"/>
    <s v="0612"/>
    <s v="lůžkové oddělení 36A"/>
    <s v="0612 - lůžkové oddělení 36A"/>
    <s v="50115     Zdravotnické prostředky"/>
    <x v="0"/>
    <x v="1"/>
    <n v="124.00175000000002"/>
    <n v="114.55355580075"/>
  </r>
  <r>
    <s v="06"/>
    <s v="06"/>
    <s v="Neurochirurgická klinika"/>
    <x v="5"/>
    <s v="0612"/>
    <s v="lůžkové oddělení 36A"/>
    <s v="0612 - lůžkové oddělení 36A"/>
    <s v="50115     Zdravotnické prostředky"/>
    <x v="0"/>
    <x v="2"/>
    <n v="83.642049999999983"/>
    <n v="113.53061594824"/>
  </r>
  <r>
    <s v="06"/>
    <s v="06"/>
    <s v="Neurochirurgická klinika"/>
    <x v="5"/>
    <s v="0612"/>
    <s v="lůžkové oddělení 36A"/>
    <s v="0612 - lůžkové oddělení 36A"/>
    <s v="50115020     diagnostika laboratorní-LEK (sk.Z_501)"/>
    <x v="10"/>
    <x v="0"/>
    <n v="6.5929999998999997E-2"/>
    <n v="0.91849790972099998"/>
  </r>
  <r>
    <s v="06"/>
    <s v="06"/>
    <s v="Neurochirurgická klinika"/>
    <x v="5"/>
    <s v="0612"/>
    <s v="lůžkové oddělení 36A"/>
    <s v="0612 - lůžkové oddělení 36A"/>
    <s v="50115020     diagnostika laboratorní-LEK (sk.Z_501)"/>
    <x v="10"/>
    <x v="1"/>
    <n v="0"/>
    <n v="6.5929930169999998E-2"/>
  </r>
  <r>
    <s v="06"/>
    <s v="06"/>
    <s v="Neurochirurgická klinika"/>
    <x v="5"/>
    <s v="0612"/>
    <s v="lůžkové oddělení 36A"/>
    <s v="0612 - lůžkové oddělení 36A"/>
    <s v="50115040     laboratorní materiál (sk.Z_505)"/>
    <x v="11"/>
    <x v="1"/>
    <n v="0.1275"/>
    <n v="0"/>
  </r>
  <r>
    <s v="06"/>
    <s v="06"/>
    <s v="Neurochirurgická klinika"/>
    <x v="5"/>
    <s v="0612"/>
    <s v="lůžkové oddělení 36A"/>
    <s v="0612 - lůžkové oddělení 36A"/>
    <s v="50115040     laboratorní materiál (sk.Z_505)"/>
    <x v="11"/>
    <x v="2"/>
    <n v="0"/>
    <n v="0.127499995984"/>
  </r>
  <r>
    <s v="06"/>
    <s v="06"/>
    <s v="Neurochirurgická klinika"/>
    <x v="5"/>
    <s v="0612"/>
    <s v="lůžkové oddělení 36A"/>
    <s v="0612 - lůžkové oddělení 36A"/>
    <s v="50115050     obvazový materiál (sk.Z_502)"/>
    <x v="12"/>
    <x v="0"/>
    <n v="38.024530000000006"/>
    <n v="42.340619143612003"/>
  </r>
  <r>
    <s v="06"/>
    <s v="06"/>
    <s v="Neurochirurgická klinika"/>
    <x v="5"/>
    <s v="0612"/>
    <s v="lůžkové oddělení 36A"/>
    <s v="0612 - lůžkové oddělení 36A"/>
    <s v="50115050     obvazový materiál (sk.Z_502)"/>
    <x v="12"/>
    <x v="1"/>
    <n v="33.729700000000001"/>
    <n v="36.111001353409002"/>
  </r>
  <r>
    <s v="06"/>
    <s v="06"/>
    <s v="Neurochirurgická klinika"/>
    <x v="5"/>
    <s v="0612"/>
    <s v="lůžkové oddělení 36A"/>
    <s v="0612 - lůžkové oddělení 36A"/>
    <s v="50115050     obvazový materiál (sk.Z_502)"/>
    <x v="12"/>
    <x v="2"/>
    <n v="26.071359999999999"/>
    <n v="32.310545582471001"/>
  </r>
  <r>
    <s v="06"/>
    <s v="06"/>
    <s v="Neurochirurgická klinika"/>
    <x v="5"/>
    <s v="0612"/>
    <s v="lůžkové oddělení 36A"/>
    <s v="0612 - lůžkové oddělení 36A"/>
    <s v="50115060     ostatní ZPr - mimo níže uvedené (sk.Z_503)"/>
    <x v="1"/>
    <x v="0"/>
    <n v="50.87133"/>
    <n v="45.995760655456998"/>
  </r>
  <r>
    <s v="06"/>
    <s v="06"/>
    <s v="Neurochirurgická klinika"/>
    <x v="5"/>
    <s v="0612"/>
    <s v="lůžkové oddělení 36A"/>
    <s v="0612 - lůžkové oddělení 36A"/>
    <s v="50115060     ostatní ZPr - mimo níže uvedené (sk.Z_503)"/>
    <x v="1"/>
    <x v="1"/>
    <n v="63.557349999999985"/>
    <n v="53.870978632190997"/>
  </r>
  <r>
    <s v="06"/>
    <s v="06"/>
    <s v="Neurochirurgická klinika"/>
    <x v="5"/>
    <s v="0612"/>
    <s v="lůžkové oddělení 36A"/>
    <s v="0612 - lůžkové oddělení 36A"/>
    <s v="50115060     ostatní ZPr - mimo níže uvedené (sk.Z_503)"/>
    <x v="1"/>
    <x v="2"/>
    <n v="35.698189999999997"/>
    <n v="55.849727089512001"/>
  </r>
  <r>
    <s v="06"/>
    <s v="06"/>
    <s v="Neurochirurgická klinika"/>
    <x v="5"/>
    <s v="0612"/>
    <s v="lůžkové oddělení 36A"/>
    <s v="0612 - lůžkové oddělení 36A"/>
    <s v="50115063     ostatní ZPr - vaky, sety (sk.Z_528)"/>
    <x v="13"/>
    <x v="0"/>
    <n v="4.8840000000000003"/>
    <n v="5.7000607700829997"/>
  </r>
  <r>
    <s v="06"/>
    <s v="06"/>
    <s v="Neurochirurgická klinika"/>
    <x v="5"/>
    <s v="0612"/>
    <s v="lůžkové oddělení 36A"/>
    <s v="0612 - lůžkové oddělení 36A"/>
    <s v="50115063     ostatní ZPr - vaky, sety (sk.Z_528)"/>
    <x v="13"/>
    <x v="1"/>
    <n v="6.5359999999999996"/>
    <n v="4.7844854416139997"/>
  </r>
  <r>
    <s v="06"/>
    <s v="06"/>
    <s v="Neurochirurgická klinika"/>
    <x v="5"/>
    <s v="0612"/>
    <s v="lůžkové oddělení 36A"/>
    <s v="0612 - lůžkové oddělení 36A"/>
    <s v="50115063     ostatní ZPr - vaky, sety (sk.Z_528)"/>
    <x v="13"/>
    <x v="2"/>
    <n v="4.085"/>
    <n v="5.7189998198650001"/>
  </r>
  <r>
    <s v="06"/>
    <s v="06"/>
    <s v="Neurochirurgická klinika"/>
    <x v="5"/>
    <s v="0612"/>
    <s v="lůžkové oddělení 36A"/>
    <s v="0612 - lůžkové oddělení 36A"/>
    <s v="50115065     ostatní ZPr - vpichovací materiál (sk.Z_530)"/>
    <x v="14"/>
    <x v="0"/>
    <n v="2.8417499999990001"/>
    <n v="2.9500988524239999"/>
  </r>
  <r>
    <s v="06"/>
    <s v="06"/>
    <s v="Neurochirurgická klinika"/>
    <x v="5"/>
    <s v="0612"/>
    <s v="lůžkové oddělení 36A"/>
    <s v="0612 - lůžkové oddělení 36A"/>
    <s v="50115065     ostatní ZPr - vpichovací materiál (sk.Z_530)"/>
    <x v="14"/>
    <x v="1"/>
    <n v="2.3639999999999999"/>
    <n v="1.915111951309"/>
  </r>
  <r>
    <s v="06"/>
    <s v="06"/>
    <s v="Neurochirurgická klinika"/>
    <x v="5"/>
    <s v="0612"/>
    <s v="lůžkové oddělení 36A"/>
    <s v="0612 - lůžkové oddělení 36A"/>
    <s v="50115065     ostatní ZPr - vpichovací materiál (sk.Z_530)"/>
    <x v="14"/>
    <x v="2"/>
    <n v="3.4254999999999995"/>
    <n v="2.7080012077940001"/>
  </r>
  <r>
    <s v="06"/>
    <s v="06"/>
    <s v="Neurochirurgická klinika"/>
    <x v="5"/>
    <s v="0612"/>
    <s v="lůžkové oddělení 36A"/>
    <s v="0612 - lůžkové oddělení 36A"/>
    <s v="50115067     ostatní ZPr - rukavice (sk.Z_532)"/>
    <x v="15"/>
    <x v="0"/>
    <n v="17.557599999999002"/>
    <n v="29.354065170769999"/>
  </r>
  <r>
    <s v="06"/>
    <s v="06"/>
    <s v="Neurochirurgická klinika"/>
    <x v="5"/>
    <s v="0612"/>
    <s v="lůžkové oddělení 36A"/>
    <s v="0612 - lůžkové oddělení 36A"/>
    <s v="50115067     ostatní ZPr - rukavice (sk.Z_532)"/>
    <x v="15"/>
    <x v="1"/>
    <n v="17.687199999999997"/>
    <n v="17.806048492054"/>
  </r>
  <r>
    <s v="06"/>
    <s v="06"/>
    <s v="Neurochirurgická klinika"/>
    <x v="5"/>
    <s v="0612"/>
    <s v="lůžkové oddělení 36A"/>
    <s v="0612 - lůžkové oddělení 36A"/>
    <s v="50115067     ostatní ZPr - rukavice (sk.Z_532)"/>
    <x v="15"/>
    <x v="2"/>
    <n v="12.885999999999999"/>
    <n v="16.815842252612001"/>
  </r>
  <r>
    <s v="06"/>
    <s v="06"/>
    <s v="Neurochirurgická klinika"/>
    <x v="5"/>
    <s v="0612"/>
    <s v="lůžkové oddělení 36A"/>
    <s v="0612 - lůžkové oddělení 36A"/>
    <s v="50115079     ostatní ZPr - intenzivní péče (sk.Z_542)"/>
    <x v="18"/>
    <x v="2"/>
    <n v="1.476"/>
    <n v="0"/>
  </r>
  <r>
    <s v="06"/>
    <s v="06"/>
    <s v="Neurochirurgická klinika"/>
    <x v="5"/>
    <s v="0621"/>
    <s v="ambulance"/>
    <s v="0621 - ambulance"/>
    <s v="50113     Léky a léčiva"/>
    <x v="2"/>
    <x v="0"/>
    <n v="2.7037900000000001"/>
    <n v="1.887095754303"/>
  </r>
  <r>
    <s v="06"/>
    <s v="06"/>
    <s v="Neurochirurgická klinika"/>
    <x v="5"/>
    <s v="0621"/>
    <s v="ambulance"/>
    <s v="0621 - ambulance"/>
    <s v="50113     Léky a léčiva"/>
    <x v="2"/>
    <x v="1"/>
    <n v="2.8876400000000002"/>
    <n v="2.703942113603"/>
  </r>
  <r>
    <s v="06"/>
    <s v="06"/>
    <s v="Neurochirurgická klinika"/>
    <x v="5"/>
    <s v="0621"/>
    <s v="ambulance"/>
    <s v="0621 - ambulance"/>
    <s v="50113     Léky a léčiva"/>
    <x v="2"/>
    <x v="2"/>
    <n v="108.61994"/>
    <n v="402.65133919195603"/>
  </r>
  <r>
    <s v="06"/>
    <s v="06"/>
    <s v="Neurochirurgická klinika"/>
    <x v="5"/>
    <s v="0621"/>
    <s v="ambulance"/>
    <s v="0621 - ambulance"/>
    <s v="50113001     léky - paušál+TISS (LEK)"/>
    <x v="3"/>
    <x v="0"/>
    <n v="2.7037900000000001"/>
    <n v="1.887095754303"/>
  </r>
  <r>
    <s v="06"/>
    <s v="06"/>
    <s v="Neurochirurgická klinika"/>
    <x v="5"/>
    <s v="0621"/>
    <s v="ambulance"/>
    <s v="0621 - ambulance"/>
    <s v="50113001     léky - paušál+TISS (LEK)"/>
    <x v="3"/>
    <x v="1"/>
    <n v="2.8876400000000002"/>
    <n v="2.703942113603"/>
  </r>
  <r>
    <s v="06"/>
    <s v="06"/>
    <s v="Neurochirurgická klinika"/>
    <x v="5"/>
    <s v="0621"/>
    <s v="ambulance"/>
    <s v="0621 - ambulance"/>
    <s v="50113001     léky - paušál+TISS (LEK)"/>
    <x v="3"/>
    <x v="2"/>
    <n v="2.7903199999999999"/>
    <n v="2.6513391919560001"/>
  </r>
  <r>
    <s v="06"/>
    <s v="06"/>
    <s v="Neurochirurgická klinika"/>
    <x v="5"/>
    <s v="0621"/>
    <s v="ambulance"/>
    <s v="0621 - ambulance"/>
    <s v="50113017     léky - dle §16 (LEK)"/>
    <x v="40"/>
    <x v="2"/>
    <n v="105.82962000000001"/>
    <n v="400"/>
  </r>
  <r>
    <s v="06"/>
    <s v="06"/>
    <s v="Neurochirurgická klinika"/>
    <x v="5"/>
    <s v="0621"/>
    <s v="ambulance"/>
    <s v="0621 - ambulance"/>
    <s v="50115     Zdravotnické prostředky"/>
    <x v="0"/>
    <x v="0"/>
    <n v="14.965789999999998"/>
    <n v="15.413879034137"/>
  </r>
  <r>
    <s v="06"/>
    <s v="06"/>
    <s v="Neurochirurgická klinika"/>
    <x v="5"/>
    <s v="0621"/>
    <s v="ambulance"/>
    <s v="0621 - ambulance"/>
    <s v="50115     Zdravotnické prostředky"/>
    <x v="0"/>
    <x v="1"/>
    <n v="12.97945"/>
    <n v="15.065823239482"/>
  </r>
  <r>
    <s v="06"/>
    <s v="06"/>
    <s v="Neurochirurgická klinika"/>
    <x v="5"/>
    <s v="0621"/>
    <s v="ambulance"/>
    <s v="0621 - ambulance"/>
    <s v="50115     Zdravotnické prostředky"/>
    <x v="0"/>
    <x v="2"/>
    <n v="6.3242700000000003"/>
    <n v="10.58661001259"/>
  </r>
  <r>
    <s v="06"/>
    <s v="06"/>
    <s v="Neurochirurgická klinika"/>
    <x v="5"/>
    <s v="0621"/>
    <s v="ambulance"/>
    <s v="0621 - ambulance"/>
    <s v="50115050     obvazový materiál (sk.Z_502)"/>
    <x v="12"/>
    <x v="0"/>
    <n v="8.1628899999990008"/>
    <n v="2.098896985793"/>
  </r>
  <r>
    <s v="06"/>
    <s v="06"/>
    <s v="Neurochirurgická klinika"/>
    <x v="5"/>
    <s v="0621"/>
    <s v="ambulance"/>
    <s v="0621 - ambulance"/>
    <s v="50115050     obvazový materiál (sk.Z_502)"/>
    <x v="12"/>
    <x v="1"/>
    <n v="6.6182500000000006"/>
    <n v="8.1814528319490005"/>
  </r>
  <r>
    <s v="06"/>
    <s v="06"/>
    <s v="Neurochirurgická klinika"/>
    <x v="5"/>
    <s v="0621"/>
    <s v="ambulance"/>
    <s v="0621 - ambulance"/>
    <s v="50115050     obvazový materiál (sk.Z_502)"/>
    <x v="12"/>
    <x v="2"/>
    <n v="3.2812099999999997"/>
    <n v="3.2947360659089999"/>
  </r>
  <r>
    <s v="06"/>
    <s v="06"/>
    <s v="Neurochirurgická klinika"/>
    <x v="5"/>
    <s v="0621"/>
    <s v="ambulance"/>
    <s v="0621 - ambulance"/>
    <s v="50115060     ostatní ZPr - mimo níže uvedené (sk.Z_503)"/>
    <x v="1"/>
    <x v="0"/>
    <n v="1.2682"/>
    <n v="3.021901440313"/>
  </r>
  <r>
    <s v="06"/>
    <s v="06"/>
    <s v="Neurochirurgická klinika"/>
    <x v="5"/>
    <s v="0621"/>
    <s v="ambulance"/>
    <s v="0621 - ambulance"/>
    <s v="50115060     ostatní ZPr - mimo níže uvedené (sk.Z_503)"/>
    <x v="1"/>
    <x v="1"/>
    <n v="3.2816999999999998"/>
    <n v="1.2681904462169999"/>
  </r>
  <r>
    <s v="06"/>
    <s v="06"/>
    <s v="Neurochirurgická klinika"/>
    <x v="5"/>
    <s v="0621"/>
    <s v="ambulance"/>
    <s v="0621 - ambulance"/>
    <s v="50115060     ostatní ZPr - mimo níže uvedené (sk.Z_503)"/>
    <x v="1"/>
    <x v="2"/>
    <n v="1.4258600000000001"/>
    <n v="4.3709152125089998"/>
  </r>
  <r>
    <s v="06"/>
    <s v="06"/>
    <s v="Neurochirurgická klinika"/>
    <x v="5"/>
    <s v="0621"/>
    <s v="ambulance"/>
    <s v="0621 - ambulance"/>
    <s v="50115065     ostatní ZPr - vpichovací materiál (sk.Z_530)"/>
    <x v="14"/>
    <x v="0"/>
    <n v="0.27100000000000002"/>
    <n v="0"/>
  </r>
  <r>
    <s v="06"/>
    <s v="06"/>
    <s v="Neurochirurgická klinika"/>
    <x v="5"/>
    <s v="0621"/>
    <s v="ambulance"/>
    <s v="0621 - ambulance"/>
    <s v="50115065     ostatní ZPr - vpichovací materiál (sk.Z_530)"/>
    <x v="14"/>
    <x v="1"/>
    <n v="0.15000000000000002"/>
    <n v="0.277996072421"/>
  </r>
  <r>
    <s v="06"/>
    <s v="06"/>
    <s v="Neurochirurgická klinika"/>
    <x v="5"/>
    <s v="0621"/>
    <s v="ambulance"/>
    <s v="0621 - ambulance"/>
    <s v="50115065     ostatní ZPr - vpichovací materiál (sk.Z_530)"/>
    <x v="14"/>
    <x v="2"/>
    <n v="0.12"/>
    <n v="9.2911301587000006E-2"/>
  </r>
  <r>
    <s v="06"/>
    <s v="06"/>
    <s v="Neurochirurgická klinika"/>
    <x v="5"/>
    <s v="0621"/>
    <s v="ambulance"/>
    <s v="0621 - ambulance"/>
    <s v="50115067     ostatní ZPr - rukavice (sk.Z_532)"/>
    <x v="15"/>
    <x v="0"/>
    <n v="5.2637"/>
    <n v="10.293080608031"/>
  </r>
  <r>
    <s v="06"/>
    <s v="06"/>
    <s v="Neurochirurgická klinika"/>
    <x v="5"/>
    <s v="0621"/>
    <s v="ambulance"/>
    <s v="0621 - ambulance"/>
    <s v="50115067     ostatní ZPr - rukavice (sk.Z_532)"/>
    <x v="15"/>
    <x v="1"/>
    <n v="2.9295"/>
    <n v="5.338183888893"/>
  </r>
  <r>
    <s v="06"/>
    <s v="06"/>
    <s v="Neurochirurgická klinika"/>
    <x v="5"/>
    <s v="0621"/>
    <s v="ambulance"/>
    <s v="0621 - ambulance"/>
    <s v="50115067     ostatní ZPr - rukavice (sk.Z_532)"/>
    <x v="15"/>
    <x v="2"/>
    <n v="1.4972000000000001"/>
    <n v="2.8280474325829998"/>
  </r>
  <r>
    <s v="06"/>
    <s v="06"/>
    <s v="Neurochirurgická klinika"/>
    <x v="5"/>
    <s v="0631"/>
    <s v="JIP "/>
    <s v="0631 - JIP "/>
    <s v="50113     Léky a léčiva"/>
    <x v="2"/>
    <x v="0"/>
    <n v="4174.3129300000019"/>
    <n v="4298.2944175756102"/>
  </r>
  <r>
    <s v="06"/>
    <s v="06"/>
    <s v="Neurochirurgická klinika"/>
    <x v="5"/>
    <s v="0631"/>
    <s v="JIP "/>
    <s v="0631 - JIP "/>
    <s v="50113     Léky a léčiva"/>
    <x v="2"/>
    <x v="1"/>
    <n v="3836.0676500000009"/>
    <n v="3994.2142540483401"/>
  </r>
  <r>
    <s v="06"/>
    <s v="06"/>
    <s v="Neurochirurgická klinika"/>
    <x v="5"/>
    <s v="0631"/>
    <s v="JIP "/>
    <s v="0631 - JIP "/>
    <s v="50113     Léky a léčiva"/>
    <x v="2"/>
    <x v="2"/>
    <n v="2514.6712199999997"/>
    <n v="3584.8895492553202"/>
  </r>
  <r>
    <s v="06"/>
    <s v="06"/>
    <s v="Neurochirurgická klinika"/>
    <x v="5"/>
    <s v="0631"/>
    <s v="JIP "/>
    <s v="0631 - JIP "/>
    <s v="50113001     léky - paušál+TISS (LEK)"/>
    <x v="3"/>
    <x v="0"/>
    <n v="2711.198910000001"/>
    <n v="3077.8279118825299"/>
  </r>
  <r>
    <s v="06"/>
    <s v="06"/>
    <s v="Neurochirurgická klinika"/>
    <x v="5"/>
    <s v="0631"/>
    <s v="JIP "/>
    <s v="0631 - JIP "/>
    <s v="50113001     léky - paušál+TISS (LEK)"/>
    <x v="3"/>
    <x v="1"/>
    <n v="2627.526100000001"/>
    <n v="2653.94790498051"/>
  </r>
  <r>
    <s v="06"/>
    <s v="06"/>
    <s v="Neurochirurgická klinika"/>
    <x v="5"/>
    <s v="0631"/>
    <s v="JIP "/>
    <s v="0631 - JIP "/>
    <s v="50113001     léky - paušál+TISS (LEK)"/>
    <x v="3"/>
    <x v="2"/>
    <n v="1656.5765200000001"/>
    <n v="2474.3858100605198"/>
  </r>
  <r>
    <s v="06"/>
    <s v="06"/>
    <s v="Neurochirurgická klinika"/>
    <x v="5"/>
    <s v="0631"/>
    <s v="JIP "/>
    <s v="0631 - JIP "/>
    <s v="50113002     léky - parenterální výživa (LEK)"/>
    <x v="17"/>
    <x v="2"/>
    <n v="132.26077000000001"/>
    <n v="176"/>
  </r>
  <r>
    <s v="06"/>
    <s v="06"/>
    <s v="Neurochirurgická klinika"/>
    <x v="5"/>
    <s v="0631"/>
    <s v="JIP "/>
    <s v="0631 - JIP "/>
    <s v="50113006     léky - enterální výživa (LEK)"/>
    <x v="4"/>
    <x v="0"/>
    <n v="445.72645999999997"/>
    <n v="469.07488559907898"/>
  </r>
  <r>
    <s v="06"/>
    <s v="06"/>
    <s v="Neurochirurgická klinika"/>
    <x v="5"/>
    <s v="0631"/>
    <s v="JIP "/>
    <s v="0631 - JIP "/>
    <s v="50113006     léky - enterální výživa (LEK)"/>
    <x v="4"/>
    <x v="1"/>
    <n v="371.85485"/>
    <n v="445.060538042563"/>
  </r>
  <r>
    <s v="06"/>
    <s v="06"/>
    <s v="Neurochirurgická klinika"/>
    <x v="5"/>
    <s v="0631"/>
    <s v="JIP "/>
    <s v="0631 - JIP "/>
    <s v="50113006     léky - enterální výživa (LEK)"/>
    <x v="4"/>
    <x v="2"/>
    <n v="129.14261000000002"/>
    <n v="169"/>
  </r>
  <r>
    <s v="06"/>
    <s v="06"/>
    <s v="Neurochirurgická klinika"/>
    <x v="5"/>
    <s v="0631"/>
    <s v="JIP "/>
    <s v="0631 - JIP "/>
    <s v="50113007     léky - krev.deriváty ZUL (LEK)"/>
    <x v="45"/>
    <x v="0"/>
    <n v="7.6840799999999998"/>
    <n v="19.992697012707001"/>
  </r>
  <r>
    <s v="06"/>
    <s v="06"/>
    <s v="Neurochirurgická klinika"/>
    <x v="5"/>
    <s v="0631"/>
    <s v="JIP "/>
    <s v="0631 - JIP "/>
    <s v="50113007     léky - krev.deriváty ZUL (LEK)"/>
    <x v="45"/>
    <x v="1"/>
    <n v="0"/>
    <n v="7.4859190879800002"/>
  </r>
  <r>
    <s v="06"/>
    <s v="06"/>
    <s v="Neurochirurgická klinika"/>
    <x v="5"/>
    <s v="0631"/>
    <s v="JIP "/>
    <s v="0631 - JIP "/>
    <s v="50113008     léky - krev.deriváty ZUL (TO)"/>
    <x v="5"/>
    <x v="0"/>
    <n v="435.69243999999992"/>
    <n v="86.522020834185994"/>
  </r>
  <r>
    <s v="06"/>
    <s v="06"/>
    <s v="Neurochirurgická klinika"/>
    <x v="5"/>
    <s v="0631"/>
    <s v="JIP "/>
    <s v="0631 - JIP "/>
    <s v="50113008     léky - krev.deriváty ZUL (TO)"/>
    <x v="5"/>
    <x v="1"/>
    <n v="334.59685999999999"/>
    <n v="435.00381959075298"/>
  </r>
  <r>
    <s v="06"/>
    <s v="06"/>
    <s v="Neurochirurgická klinika"/>
    <x v="5"/>
    <s v="0631"/>
    <s v="JIP "/>
    <s v="0631 - JIP "/>
    <s v="50113008     léky - krev.deriváty ZUL (TO)"/>
    <x v="5"/>
    <x v="2"/>
    <n v="366.33123000000001"/>
    <n v="292.69428813318098"/>
  </r>
  <r>
    <s v="06"/>
    <s v="06"/>
    <s v="Neurochirurgická klinika"/>
    <x v="5"/>
    <s v="0631"/>
    <s v="JIP "/>
    <s v="0631 - JIP "/>
    <s v="50113011     léky - hemofilici ZUL (TO)"/>
    <x v="6"/>
    <x v="0"/>
    <n v="0"/>
    <n v="45.999521480380999"/>
  </r>
  <r>
    <s v="06"/>
    <s v="06"/>
    <s v="Neurochirurgická klinika"/>
    <x v="5"/>
    <s v="0631"/>
    <s v="JIP "/>
    <s v="0631 - JIP "/>
    <s v="50113013     léky (paušál) - antibiotika (LEK)"/>
    <x v="7"/>
    <x v="0"/>
    <n v="408.51423"/>
    <n v="400.33657828864699"/>
  </r>
  <r>
    <s v="06"/>
    <s v="06"/>
    <s v="Neurochirurgická klinika"/>
    <x v="5"/>
    <s v="0631"/>
    <s v="JIP "/>
    <s v="0631 - JIP "/>
    <s v="50113013     léky (paušál) - antibiotika (LEK)"/>
    <x v="7"/>
    <x v="1"/>
    <n v="374.97914000000003"/>
    <n v="310.97010390012599"/>
  </r>
  <r>
    <s v="06"/>
    <s v="06"/>
    <s v="Neurochirurgická klinika"/>
    <x v="5"/>
    <s v="0631"/>
    <s v="JIP "/>
    <s v="0631 - JIP "/>
    <s v="50113013     léky (paušál) - antibiotika (LEK)"/>
    <x v="7"/>
    <x v="2"/>
    <n v="147.23563999999999"/>
    <n v="349.091963319294"/>
  </r>
  <r>
    <s v="06"/>
    <s v="06"/>
    <s v="Neurochirurgická klinika"/>
    <x v="5"/>
    <s v="0631"/>
    <s v="JIP "/>
    <s v="0631 - JIP "/>
    <s v="50113014     léky (paušál) - antimykotika (LEK)"/>
    <x v="8"/>
    <x v="0"/>
    <n v="70.075079999999986"/>
    <n v="101.71930531628"/>
  </r>
  <r>
    <s v="06"/>
    <s v="06"/>
    <s v="Neurochirurgická klinika"/>
    <x v="5"/>
    <s v="0631"/>
    <s v="JIP "/>
    <s v="0631 - JIP "/>
    <s v="50113014     léky (paušál) - antimykotika (LEK)"/>
    <x v="8"/>
    <x v="1"/>
    <n v="23.962489999999999"/>
    <n v="50.453977818330003"/>
  </r>
  <r>
    <s v="06"/>
    <s v="06"/>
    <s v="Neurochirurgická klinika"/>
    <x v="5"/>
    <s v="0631"/>
    <s v="JIP "/>
    <s v="0631 - JIP "/>
    <s v="50113014     léky (paušál) - antimykotika (LEK)"/>
    <x v="8"/>
    <x v="2"/>
    <n v="4.1555999999999997"/>
    <n v="19.824984368949"/>
  </r>
  <r>
    <s v="06"/>
    <s v="06"/>
    <s v="Neurochirurgická klinika"/>
    <x v="5"/>
    <s v="0631"/>
    <s v="JIP "/>
    <s v="0631 - JIP "/>
    <s v="50113190     medicinální plyny"/>
    <x v="9"/>
    <x v="0"/>
    <n v="95.421729999999002"/>
    <n v="96.821497161807002"/>
  </r>
  <r>
    <s v="06"/>
    <s v="06"/>
    <s v="Neurochirurgická klinika"/>
    <x v="5"/>
    <s v="0631"/>
    <s v="JIP "/>
    <s v="0631 - JIP "/>
    <s v="50113190     medicinální plyny"/>
    <x v="9"/>
    <x v="1"/>
    <n v="103.14821000000001"/>
    <n v="91.291990628071005"/>
  </r>
  <r>
    <s v="06"/>
    <s v="06"/>
    <s v="Neurochirurgická klinika"/>
    <x v="5"/>
    <s v="0631"/>
    <s v="JIP "/>
    <s v="0631 - JIP "/>
    <s v="50113190     medicinální plyny"/>
    <x v="9"/>
    <x v="2"/>
    <n v="78.968850000000003"/>
    <n v="103.892503373377"/>
  </r>
  <r>
    <s v="06"/>
    <s v="06"/>
    <s v="Neurochirurgická klinika"/>
    <x v="5"/>
    <s v="0631"/>
    <s v="JIP "/>
    <s v="0631 - JIP "/>
    <s v="50115     Zdravotnické prostředky"/>
    <x v="0"/>
    <x v="0"/>
    <n v="2795.4891500000008"/>
    <n v="2829.9118336910901"/>
  </r>
  <r>
    <s v="06"/>
    <s v="06"/>
    <s v="Neurochirurgická klinika"/>
    <x v="5"/>
    <s v="0631"/>
    <s v="JIP "/>
    <s v="0631 - JIP "/>
    <s v="50115     Zdravotnické prostředky"/>
    <x v="0"/>
    <x v="1"/>
    <n v="3266.6162200000008"/>
    <n v="2852.5050684630901"/>
  </r>
  <r>
    <s v="06"/>
    <s v="06"/>
    <s v="Neurochirurgická klinika"/>
    <x v="5"/>
    <s v="0631"/>
    <s v="JIP "/>
    <s v="0631 - JIP "/>
    <s v="50115     Zdravotnické prostředky"/>
    <x v="0"/>
    <x v="2"/>
    <n v="2003.7478800000013"/>
    <n v="3003.2360875684799"/>
  </r>
  <r>
    <s v="06"/>
    <s v="06"/>
    <s v="Neurochirurgická klinika"/>
    <x v="5"/>
    <s v="0631"/>
    <s v="JIP "/>
    <s v="0631 - JIP "/>
    <s v="50115004     implant.umělé těl.náhr.-kovové (s.Z_506)"/>
    <x v="25"/>
    <x v="0"/>
    <n v="1.2720199999999999"/>
    <n v="0"/>
  </r>
  <r>
    <s v="06"/>
    <s v="06"/>
    <s v="Neurochirurgická klinika"/>
    <x v="5"/>
    <s v="0631"/>
    <s v="JIP "/>
    <s v="0631 - JIP "/>
    <s v="50115004     implant.umělé těl.náhr.-kovové (s.Z_506)"/>
    <x v="25"/>
    <x v="2"/>
    <n v="2.7091599999999998"/>
    <n v="0"/>
  </r>
  <r>
    <s v="06"/>
    <s v="06"/>
    <s v="Neurochirurgická klinika"/>
    <x v="5"/>
    <s v="0631"/>
    <s v="JIP "/>
    <s v="0631 - JIP "/>
    <s v="50115020     diagnostika laboratorní-LEK (sk.Z_501)"/>
    <x v="10"/>
    <x v="0"/>
    <n v="12.02153"/>
    <n v="17.451916284658001"/>
  </r>
  <r>
    <s v="06"/>
    <s v="06"/>
    <s v="Neurochirurgická klinika"/>
    <x v="5"/>
    <s v="0631"/>
    <s v="JIP "/>
    <s v="0631 - JIP "/>
    <s v="50115020     diagnostika laboratorní-LEK (sk.Z_501)"/>
    <x v="10"/>
    <x v="1"/>
    <n v="14.75806"/>
    <n v="12.021517267374"/>
  </r>
  <r>
    <s v="06"/>
    <s v="06"/>
    <s v="Neurochirurgická klinika"/>
    <x v="5"/>
    <s v="0631"/>
    <s v="JIP "/>
    <s v="0631 - JIP "/>
    <s v="50115020     diagnostika laboratorní-LEK (sk.Z_501)"/>
    <x v="10"/>
    <x v="2"/>
    <n v="8.9441400000000009"/>
    <n v="11.999999622029"/>
  </r>
  <r>
    <s v="06"/>
    <s v="06"/>
    <s v="Neurochirurgická klinika"/>
    <x v="5"/>
    <s v="0631"/>
    <s v="JIP "/>
    <s v="0631 - JIP "/>
    <s v="50115040     laboratorní materiál (sk.Z_505)"/>
    <x v="11"/>
    <x v="0"/>
    <n v="1.6200600000000001"/>
    <n v="1.899932860454"/>
  </r>
  <r>
    <s v="06"/>
    <s v="06"/>
    <s v="Neurochirurgická klinika"/>
    <x v="5"/>
    <s v="0631"/>
    <s v="JIP "/>
    <s v="0631 - JIP "/>
    <s v="50115040     laboratorní materiál (sk.Z_505)"/>
    <x v="11"/>
    <x v="1"/>
    <n v="1.52905"/>
    <n v="1.620162417313"/>
  </r>
  <r>
    <s v="06"/>
    <s v="06"/>
    <s v="Neurochirurgická klinika"/>
    <x v="5"/>
    <s v="0631"/>
    <s v="JIP "/>
    <s v="0631 - JIP "/>
    <s v="50115040     laboratorní materiál (sk.Z_505)"/>
    <x v="11"/>
    <x v="2"/>
    <n v="0"/>
    <n v="1.5290499518380001"/>
  </r>
  <r>
    <s v="06"/>
    <s v="06"/>
    <s v="Neurochirurgická klinika"/>
    <x v="5"/>
    <s v="0631"/>
    <s v="JIP "/>
    <s v="0631 - JIP "/>
    <s v="50115050     obvazový materiál (sk.Z_502)"/>
    <x v="12"/>
    <x v="0"/>
    <n v="215.96288999999899"/>
    <n v="225.642912654377"/>
  </r>
  <r>
    <s v="06"/>
    <s v="06"/>
    <s v="Neurochirurgická klinika"/>
    <x v="5"/>
    <s v="0631"/>
    <s v="JIP "/>
    <s v="0631 - JIP "/>
    <s v="50115050     obvazový materiál (sk.Z_502)"/>
    <x v="12"/>
    <x v="1"/>
    <n v="311.94254999999998"/>
    <n v="220.454011494832"/>
  </r>
  <r>
    <s v="06"/>
    <s v="06"/>
    <s v="Neurochirurgická klinika"/>
    <x v="5"/>
    <s v="0631"/>
    <s v="JIP "/>
    <s v="0631 - JIP "/>
    <s v="50115050     obvazový materiál (sk.Z_502)"/>
    <x v="12"/>
    <x v="2"/>
    <n v="176.08702"/>
    <n v="282.95234426595499"/>
  </r>
  <r>
    <s v="06"/>
    <s v="06"/>
    <s v="Neurochirurgická klinika"/>
    <x v="5"/>
    <s v="0631"/>
    <s v="JIP "/>
    <s v="0631 - JIP "/>
    <s v="50115060     ostatní ZPr - mimo níže uvedené (sk.Z_503)"/>
    <x v="1"/>
    <x v="0"/>
    <n v="1915.2716"/>
    <n v="1860.46698362343"/>
  </r>
  <r>
    <s v="06"/>
    <s v="06"/>
    <s v="Neurochirurgická klinika"/>
    <x v="5"/>
    <s v="0631"/>
    <s v="JIP "/>
    <s v="0631 - JIP "/>
    <s v="50115060     ostatní ZPr - mimo níže uvedené (sk.Z_503)"/>
    <x v="1"/>
    <x v="1"/>
    <n v="1887.1867000000011"/>
    <n v="2022.5481949032101"/>
  </r>
  <r>
    <s v="06"/>
    <s v="06"/>
    <s v="Neurochirurgická klinika"/>
    <x v="5"/>
    <s v="0631"/>
    <s v="JIP "/>
    <s v="0631 - JIP "/>
    <s v="50115060     ostatní ZPr - mimo níže uvedené (sk.Z_503)"/>
    <x v="1"/>
    <x v="2"/>
    <n v="1096.0945099999999"/>
    <n v="1712.6620300725499"/>
  </r>
  <r>
    <s v="06"/>
    <s v="06"/>
    <s v="Neurochirurgická klinika"/>
    <x v="5"/>
    <s v="0631"/>
    <s v="JIP "/>
    <s v="0631 - JIP "/>
    <s v="50115063     ostatní ZPr - vaky, sety (sk.Z_528)"/>
    <x v="13"/>
    <x v="0"/>
    <n v="108.77901000000001"/>
    <n v="125.401336941837"/>
  </r>
  <r>
    <s v="06"/>
    <s v="06"/>
    <s v="Neurochirurgická klinika"/>
    <x v="5"/>
    <s v="0631"/>
    <s v="JIP "/>
    <s v="0631 - JIP "/>
    <s v="50115063     ostatní ZPr - vaky, sety (sk.Z_528)"/>
    <x v="13"/>
    <x v="1"/>
    <n v="90.414209999999997"/>
    <n v="164.562574937671"/>
  </r>
  <r>
    <s v="06"/>
    <s v="06"/>
    <s v="Neurochirurgická klinika"/>
    <x v="5"/>
    <s v="0631"/>
    <s v="JIP "/>
    <s v="0631 - JIP "/>
    <s v="50115063     ostatní ZPr - vaky, sety (sk.Z_528)"/>
    <x v="13"/>
    <x v="2"/>
    <n v="39.728920000000002"/>
    <n v="90.363387153771995"/>
  </r>
  <r>
    <s v="06"/>
    <s v="06"/>
    <s v="Neurochirurgická klinika"/>
    <x v="5"/>
    <s v="0631"/>
    <s v="JIP "/>
    <s v="0631 - JIP "/>
    <s v="50115064     ostatní ZPr - šicí materiál (sk.Z_529)"/>
    <x v="21"/>
    <x v="0"/>
    <n v="0"/>
    <n v="79.069815201715002"/>
  </r>
  <r>
    <s v="06"/>
    <s v="06"/>
    <s v="Neurochirurgická klinika"/>
    <x v="5"/>
    <s v="0631"/>
    <s v="JIP "/>
    <s v="0631 - JIP "/>
    <s v="50115065     ostatní ZPr - vpichovací materiál (sk.Z_530)"/>
    <x v="14"/>
    <x v="0"/>
    <n v="7.3819999999990005"/>
    <n v="13.301954016062"/>
  </r>
  <r>
    <s v="06"/>
    <s v="06"/>
    <s v="Neurochirurgická klinika"/>
    <x v="5"/>
    <s v="0631"/>
    <s v="JIP "/>
    <s v="0631 - JIP "/>
    <s v="50115065     ostatní ZPr - vpichovací materiál (sk.Z_530)"/>
    <x v="14"/>
    <x v="1"/>
    <n v="17.295290000000001"/>
    <n v="7.5725719801410003"/>
  </r>
  <r>
    <s v="06"/>
    <s v="06"/>
    <s v="Neurochirurgická klinika"/>
    <x v="5"/>
    <s v="0631"/>
    <s v="JIP "/>
    <s v="0631 - JIP "/>
    <s v="50115065     ostatní ZPr - vpichovací materiál (sk.Z_530)"/>
    <x v="14"/>
    <x v="2"/>
    <n v="12.824379999999998"/>
    <n v="15.354710964125999"/>
  </r>
  <r>
    <s v="06"/>
    <s v="06"/>
    <s v="Neurochirurgická klinika"/>
    <x v="5"/>
    <s v="0631"/>
    <s v="JIP "/>
    <s v="0631 - JIP "/>
    <s v="50115067     ostatní ZPr - rukavice (sk.Z_532)"/>
    <x v="15"/>
    <x v="0"/>
    <n v="150.05839999999901"/>
    <n v="169.873127271361"/>
  </r>
  <r>
    <s v="06"/>
    <s v="06"/>
    <s v="Neurochirurgická klinika"/>
    <x v="5"/>
    <s v="0631"/>
    <s v="JIP "/>
    <s v="0631 - JIP "/>
    <s v="50115067     ostatní ZPr - rukavice (sk.Z_532)"/>
    <x v="15"/>
    <x v="1"/>
    <n v="210.30229"/>
    <n v="158.18180613478199"/>
  </r>
  <r>
    <s v="06"/>
    <s v="06"/>
    <s v="Neurochirurgická klinika"/>
    <x v="5"/>
    <s v="0631"/>
    <s v="JIP "/>
    <s v="0631 - JIP "/>
    <s v="50115067     ostatní ZPr - rukavice (sk.Z_532)"/>
    <x v="15"/>
    <x v="2"/>
    <n v="140.60679999999999"/>
    <n v="188.74022582455299"/>
  </r>
  <r>
    <s v="06"/>
    <s v="06"/>
    <s v="Neurochirurgická klinika"/>
    <x v="5"/>
    <s v="0631"/>
    <s v="JIP "/>
    <s v="0631 - JIP "/>
    <s v="50115068     ostatní ZPr - čidla (sk.Z_522)"/>
    <x v="46"/>
    <x v="1"/>
    <n v="383.30354"/>
    <n v="0"/>
  </r>
  <r>
    <s v="06"/>
    <s v="06"/>
    <s v="Neurochirurgická klinika"/>
    <x v="5"/>
    <s v="0631"/>
    <s v="JIP "/>
    <s v="0631 - JIP "/>
    <s v="50115068     ostatní ZPr - čidla (sk.Z_522)"/>
    <x v="46"/>
    <x v="2"/>
    <n v="165.161"/>
    <n v="335.999989416814"/>
  </r>
  <r>
    <s v="06"/>
    <s v="06"/>
    <s v="Neurochirurgická klinika"/>
    <x v="5"/>
    <s v="0631"/>
    <s v="JIP "/>
    <s v="0631 - JIP "/>
    <s v="50115070     ostatní ZPr - katetry (sk.Z_513)"/>
    <x v="16"/>
    <x v="0"/>
    <n v="383.12163999999996"/>
    <n v="336.80385483719499"/>
  </r>
  <r>
    <s v="06"/>
    <s v="06"/>
    <s v="Neurochirurgická klinika"/>
    <x v="5"/>
    <s v="0631"/>
    <s v="JIP "/>
    <s v="0631 - JIP "/>
    <s v="50115070     ostatní ZPr - katetry (sk.Z_513)"/>
    <x v="16"/>
    <x v="1"/>
    <n v="349.88453000000004"/>
    <n v="265.54422932776401"/>
  </r>
  <r>
    <s v="06"/>
    <s v="06"/>
    <s v="Neurochirurgická klinika"/>
    <x v="5"/>
    <s v="0631"/>
    <s v="JIP "/>
    <s v="0631 - JIP "/>
    <s v="50115070     ostatní ZPr - katetry (sk.Z_513)"/>
    <x v="16"/>
    <x v="2"/>
    <n v="184.11377000000002"/>
    <n v="363.634350296842"/>
  </r>
  <r>
    <s v="06"/>
    <s v="06"/>
    <s v="Neurochirurgická klinika"/>
    <x v="5"/>
    <s v="0631"/>
    <s v="JIP "/>
    <s v="0631 - JIP "/>
    <s v="50115079     ostatní ZPr - intenzivní péče (sk.Z_542)"/>
    <x v="18"/>
    <x v="2"/>
    <n v="177.47818000000001"/>
    <n v="0"/>
  </r>
  <r>
    <s v="06"/>
    <s v="06"/>
    <s v="Neurochirurgická klinika"/>
    <x v="5"/>
    <s v="0662"/>
    <s v="operační sál - lokální"/>
    <s v="0662 - operační sál - lokální"/>
    <s v="50113     Léky a léčiva"/>
    <x v="2"/>
    <x v="0"/>
    <n v="1211.7432700000002"/>
    <n v="1252.28982080476"/>
  </r>
  <r>
    <s v="06"/>
    <s v="06"/>
    <s v="Neurochirurgická klinika"/>
    <x v="5"/>
    <s v="0662"/>
    <s v="operační sál - lokální"/>
    <s v="0662 - operační sál - lokální"/>
    <s v="50113     Léky a léčiva"/>
    <x v="2"/>
    <x v="1"/>
    <n v="1446.909380000001"/>
    <n v="1204.65063230384"/>
  </r>
  <r>
    <s v="06"/>
    <s v="06"/>
    <s v="Neurochirurgická klinika"/>
    <x v="5"/>
    <s v="0662"/>
    <s v="operační sál - lokální"/>
    <s v="0662 - operační sál - lokální"/>
    <s v="50113     Léky a léčiva"/>
    <x v="2"/>
    <x v="2"/>
    <n v="1069.0545999999999"/>
    <n v="1446.4496603274599"/>
  </r>
  <r>
    <s v="06"/>
    <s v="06"/>
    <s v="Neurochirurgická klinika"/>
    <x v="5"/>
    <s v="0662"/>
    <s v="operační sál - lokální"/>
    <s v="0662 - operační sál - lokální"/>
    <s v="50113001     léky - paušál+TISS (LEK)"/>
    <x v="3"/>
    <x v="0"/>
    <n v="1048.9675500000001"/>
    <n v="1052.7148427002001"/>
  </r>
  <r>
    <s v="06"/>
    <s v="06"/>
    <s v="Neurochirurgická klinika"/>
    <x v="5"/>
    <s v="0662"/>
    <s v="operační sál - lokální"/>
    <s v="0662 - operační sál - lokální"/>
    <s v="50113001     léky - paušál+TISS (LEK)"/>
    <x v="3"/>
    <x v="1"/>
    <n v="1278.0952200000011"/>
    <n v="1049.0265642853001"/>
  </r>
  <r>
    <s v="06"/>
    <s v="06"/>
    <s v="Neurochirurgická klinika"/>
    <x v="5"/>
    <s v="0662"/>
    <s v="operační sál - lokální"/>
    <s v="0662 - operační sál - lokální"/>
    <s v="50113001     léky - paušál+TISS (LEK)"/>
    <x v="3"/>
    <x v="2"/>
    <n v="961.50837000000024"/>
    <n v="1270.0871812533701"/>
  </r>
  <r>
    <s v="06"/>
    <s v="06"/>
    <s v="Neurochirurgická klinika"/>
    <x v="5"/>
    <s v="0662"/>
    <s v="operační sál - lokální"/>
    <s v="0662 - operační sál - lokální"/>
    <s v="50113006     léky - enterální výživa (LEK)"/>
    <x v="4"/>
    <x v="0"/>
    <n v="0"/>
    <n v="3.5162142931189999"/>
  </r>
  <r>
    <s v="06"/>
    <s v="06"/>
    <s v="Neurochirurgická klinika"/>
    <x v="5"/>
    <s v="0662"/>
    <s v="operační sál - lokální"/>
    <s v="0662 - operační sál - lokální"/>
    <s v="50113007     léky - krev.deriváty ZUL (LEK)"/>
    <x v="45"/>
    <x v="2"/>
    <n v="0"/>
    <n v="7.6481479072500003"/>
  </r>
  <r>
    <s v="06"/>
    <s v="06"/>
    <s v="Neurochirurgická klinika"/>
    <x v="5"/>
    <s v="0662"/>
    <s v="operační sál - lokální"/>
    <s v="0662 - operační sál - lokální"/>
    <s v="50113009     léky - RTG diagnostika ZUL (LEK)"/>
    <x v="22"/>
    <x v="0"/>
    <n v="7.9175700000000004"/>
    <n v="1.8384578718090001"/>
  </r>
  <r>
    <s v="06"/>
    <s v="06"/>
    <s v="Neurochirurgická klinika"/>
    <x v="5"/>
    <s v="0662"/>
    <s v="operační sál - lokální"/>
    <s v="0662 - operační sál - lokální"/>
    <s v="50113009     léky - RTG diagnostika ZUL (LEK)"/>
    <x v="22"/>
    <x v="1"/>
    <n v="18.505330000000001"/>
    <n v="7.4152632684080002"/>
  </r>
  <r>
    <s v="06"/>
    <s v="06"/>
    <s v="Neurochirurgická klinika"/>
    <x v="5"/>
    <s v="0662"/>
    <s v="operační sál - lokální"/>
    <s v="0662 - operační sál - lokální"/>
    <s v="50113009     léky - RTG diagnostika ZUL (LEK)"/>
    <x v="22"/>
    <x v="2"/>
    <n v="9.6101299999999998"/>
    <n v="17.217727878074999"/>
  </r>
  <r>
    <s v="06"/>
    <s v="06"/>
    <s v="Neurochirurgická klinika"/>
    <x v="5"/>
    <s v="0662"/>
    <s v="operační sál - lokální"/>
    <s v="0662 - operační sál - lokální"/>
    <s v="50113013     léky (paušál) - antibiotika (LEK)"/>
    <x v="7"/>
    <x v="0"/>
    <n v="0.95119999999899996"/>
    <n v="3.8391791309180001"/>
  </r>
  <r>
    <s v="06"/>
    <s v="06"/>
    <s v="Neurochirurgická klinika"/>
    <x v="5"/>
    <s v="0662"/>
    <s v="operační sál - lokální"/>
    <s v="0662 - operační sál - lokální"/>
    <s v="50113013     léky (paušál) - antibiotika (LEK)"/>
    <x v="7"/>
    <x v="1"/>
    <n v="1.01227"/>
    <n v="0.96276512168299999"/>
  </r>
  <r>
    <s v="06"/>
    <s v="06"/>
    <s v="Neurochirurgická klinika"/>
    <x v="5"/>
    <s v="0662"/>
    <s v="operační sál - lokální"/>
    <s v="0662 - operační sál - lokální"/>
    <s v="50113013     léky (paušál) - antibiotika (LEK)"/>
    <x v="7"/>
    <x v="2"/>
    <n v="0.87280000000000002"/>
    <n v="1.1944356911209999"/>
  </r>
  <r>
    <s v="06"/>
    <s v="06"/>
    <s v="Neurochirurgická klinika"/>
    <x v="5"/>
    <s v="0662"/>
    <s v="operační sál - lokální"/>
    <s v="0662 - operační sál - lokální"/>
    <s v="50113190     medicinální plyny"/>
    <x v="9"/>
    <x v="0"/>
    <n v="153.90694999999999"/>
    <n v="190.38112680871799"/>
  </r>
  <r>
    <s v="06"/>
    <s v="06"/>
    <s v="Neurochirurgická klinika"/>
    <x v="5"/>
    <s v="0662"/>
    <s v="operační sál - lokální"/>
    <s v="0662 - operační sál - lokální"/>
    <s v="50113190     medicinální plyny"/>
    <x v="9"/>
    <x v="1"/>
    <n v="149.29656"/>
    <n v="147.24603962844799"/>
  </r>
  <r>
    <s v="06"/>
    <s v="06"/>
    <s v="Neurochirurgická klinika"/>
    <x v="5"/>
    <s v="0662"/>
    <s v="operační sál - lokální"/>
    <s v="0662 - operační sál - lokální"/>
    <s v="50113190     medicinální plyny"/>
    <x v="9"/>
    <x v="2"/>
    <n v="97.063299999999998"/>
    <n v="150.302167597634"/>
  </r>
  <r>
    <s v="06"/>
    <s v="06"/>
    <s v="Neurochirurgická klinika"/>
    <x v="5"/>
    <s v="0662"/>
    <s v="operační sál - lokální"/>
    <s v="0662 - operační sál - lokální"/>
    <s v="50115     Zdravotnické prostředky"/>
    <x v="0"/>
    <x v="0"/>
    <n v="52739.669240000032"/>
    <n v="53080.857149717202"/>
  </r>
  <r>
    <s v="06"/>
    <s v="06"/>
    <s v="Neurochirurgická klinika"/>
    <x v="5"/>
    <s v="0662"/>
    <s v="operační sál - lokální"/>
    <s v="0662 - operační sál - lokální"/>
    <s v="50115     Zdravotnické prostředky"/>
    <x v="0"/>
    <x v="1"/>
    <n v="58590.21610000002"/>
    <n v="57074.981815082901"/>
  </r>
  <r>
    <s v="06"/>
    <s v="06"/>
    <s v="Neurochirurgická klinika"/>
    <x v="5"/>
    <s v="0662"/>
    <s v="operační sál - lokální"/>
    <s v="0662 - operační sál - lokální"/>
    <s v="50115     Zdravotnické prostředky"/>
    <x v="0"/>
    <x v="2"/>
    <n v="42065.42128000001"/>
    <n v="59759.137584443801"/>
  </r>
  <r>
    <s v="06"/>
    <s v="06"/>
    <s v="Neurochirurgická klinika"/>
    <x v="5"/>
    <s v="0662"/>
    <s v="operační sál - lokální"/>
    <s v="0662 - operační sál - lokální"/>
    <s v="50115003     implant.umělé těl.náhr.-TEP (sk.Z_518)"/>
    <x v="47"/>
    <x v="0"/>
    <n v="0"/>
    <n v="0"/>
  </r>
  <r>
    <s v="06"/>
    <s v="06"/>
    <s v="Neurochirurgická klinika"/>
    <x v="5"/>
    <s v="0662"/>
    <s v="operační sál - lokální"/>
    <s v="0662 - operační sál - lokální"/>
    <s v="50115004     implant.umělé těl.náhr.-kovové (s.Z_506)"/>
    <x v="25"/>
    <x v="0"/>
    <n v="20436.745170000013"/>
    <n v="20507.421186591098"/>
  </r>
  <r>
    <s v="06"/>
    <s v="06"/>
    <s v="Neurochirurgická klinika"/>
    <x v="5"/>
    <s v="0662"/>
    <s v="operační sál - lokální"/>
    <s v="0662 - operační sál - lokální"/>
    <s v="50115004     implant.umělé těl.náhr.-kovové (s.Z_506)"/>
    <x v="25"/>
    <x v="1"/>
    <n v="19469.440590000013"/>
    <n v="22351.990053403701"/>
  </r>
  <r>
    <s v="06"/>
    <s v="06"/>
    <s v="Neurochirurgická klinika"/>
    <x v="5"/>
    <s v="0662"/>
    <s v="operační sál - lokální"/>
    <s v="0662 - operační sál - lokální"/>
    <s v="50115004     implant.umělé těl.náhr.-kovové (s.Z_506)"/>
    <x v="25"/>
    <x v="2"/>
    <n v="15163.778769999999"/>
    <n v="22151.9993022657"/>
  </r>
  <r>
    <s v="06"/>
    <s v="06"/>
    <s v="Neurochirurgická klinika"/>
    <x v="5"/>
    <s v="0662"/>
    <s v="operační sál - lokální"/>
    <s v="0662 - operační sál - lokální"/>
    <s v="50115005     implant.umělé těl.náhr.-neuromodulace-ostatní.(s.Z_511)"/>
    <x v="48"/>
    <x v="0"/>
    <n v="7839.671880000009"/>
    <n v="8274.9999248369204"/>
  </r>
  <r>
    <s v="06"/>
    <s v="06"/>
    <s v="Neurochirurgická klinika"/>
    <x v="5"/>
    <s v="0662"/>
    <s v="operační sál - lokální"/>
    <s v="0662 - operační sál - lokální"/>
    <s v="50115005     implant.umělé těl.náhr.-neuromodulace-ostatní.(s.Z_511)"/>
    <x v="48"/>
    <x v="1"/>
    <n v="7805.7580699999999"/>
    <n v="8000.39608392831"/>
  </r>
  <r>
    <s v="06"/>
    <s v="06"/>
    <s v="Neurochirurgická klinika"/>
    <x v="5"/>
    <s v="0662"/>
    <s v="operační sál - lokální"/>
    <s v="0662 - operační sál - lokální"/>
    <s v="50115005     implant.umělé těl.náhr.-neuromodulace-ostatní.(s.Z_511)"/>
    <x v="48"/>
    <x v="2"/>
    <n v="5690.0710899999995"/>
    <n v="8499.9997322706004"/>
  </r>
  <r>
    <s v="06"/>
    <s v="06"/>
    <s v="Neurochirurgická klinika"/>
    <x v="5"/>
    <s v="0662"/>
    <s v="operační sál - lokální"/>
    <s v="0662 - operační sál - lokální"/>
    <s v="50115006     implant.umělé těl.náhr.-neuromod.-DBS(s.Z_508)"/>
    <x v="49"/>
    <x v="0"/>
    <n v="18648.353449999999"/>
    <n v="18715"/>
  </r>
  <r>
    <s v="06"/>
    <s v="06"/>
    <s v="Neurochirurgická klinika"/>
    <x v="5"/>
    <s v="0662"/>
    <s v="operační sál - lokální"/>
    <s v="0662 - operační sál - lokální"/>
    <s v="50115006     implant.umělé těl.náhr.-neuromod.-DBS(s.Z_508)"/>
    <x v="49"/>
    <x v="1"/>
    <n v="23085.607330000013"/>
    <n v="20000.390210090001"/>
  </r>
  <r>
    <s v="06"/>
    <s v="06"/>
    <s v="Neurochirurgická klinika"/>
    <x v="5"/>
    <s v="0662"/>
    <s v="operační sál - lokální"/>
    <s v="0662 - operační sál - lokální"/>
    <s v="50115006     implant.umělé těl.náhr.-neuromod.-DBS(s.Z_508)"/>
    <x v="49"/>
    <x v="2"/>
    <n v="15308.845520000003"/>
    <n v="20499.999422554902"/>
  </r>
  <r>
    <s v="06"/>
    <s v="06"/>
    <s v="Neurochirurgická klinika"/>
    <x v="5"/>
    <s v="0662"/>
    <s v="operační sál - lokální"/>
    <s v="0662 - operační sál - lokální"/>
    <s v="50115011     implant.umělé těl.náhr.-ostat.nákl.PZT(s.Z_515)"/>
    <x v="26"/>
    <x v="1"/>
    <n v="2323.1187200000013"/>
    <n v="491.999734549236"/>
  </r>
  <r>
    <s v="06"/>
    <s v="06"/>
    <s v="Neurochirurgická klinika"/>
    <x v="5"/>
    <s v="0662"/>
    <s v="operační sál - lokální"/>
    <s v="0662 - operační sál - lokální"/>
    <s v="50115011     implant.umělé těl.náhr.-ostat.nákl.PZT(s.Z_515)"/>
    <x v="26"/>
    <x v="2"/>
    <n v="1576.05744"/>
    <n v="2399.9999244058199"/>
  </r>
  <r>
    <s v="06"/>
    <s v="06"/>
    <s v="Neurochirurgická klinika"/>
    <x v="5"/>
    <s v="0662"/>
    <s v="operační sál - lokální"/>
    <s v="0662 - operační sál - lokální"/>
    <s v="50115050     obvazový materiál (sk.Z_502)"/>
    <x v="12"/>
    <x v="0"/>
    <n v="472.242469999999"/>
    <n v="436.766230810651"/>
  </r>
  <r>
    <s v="06"/>
    <s v="06"/>
    <s v="Neurochirurgická klinika"/>
    <x v="5"/>
    <s v="0662"/>
    <s v="operační sál - lokální"/>
    <s v="0662 - operační sál - lokální"/>
    <s v="50115050     obvazový materiál (sk.Z_502)"/>
    <x v="12"/>
    <x v="1"/>
    <n v="893.5333599999999"/>
    <n v="614.31644098492905"/>
  </r>
  <r>
    <s v="06"/>
    <s v="06"/>
    <s v="Neurochirurgická klinika"/>
    <x v="5"/>
    <s v="0662"/>
    <s v="operační sál - lokální"/>
    <s v="0662 - operační sál - lokální"/>
    <s v="50115050     obvazový materiál (sk.Z_502)"/>
    <x v="12"/>
    <x v="2"/>
    <n v="709.19807999999989"/>
    <n v="935.33696504023101"/>
  </r>
  <r>
    <s v="06"/>
    <s v="06"/>
    <s v="Neurochirurgická klinika"/>
    <x v="5"/>
    <s v="0662"/>
    <s v="operační sál - lokální"/>
    <s v="0662 - operační sál - lokální"/>
    <s v="50115060     ostatní ZPr - mimo níže uvedené (sk.Z_503)"/>
    <x v="1"/>
    <x v="0"/>
    <n v="2771.2859000000012"/>
    <n v="2675.2508810415802"/>
  </r>
  <r>
    <s v="06"/>
    <s v="06"/>
    <s v="Neurochirurgická klinika"/>
    <x v="5"/>
    <s v="0662"/>
    <s v="operační sál - lokální"/>
    <s v="0662 - operační sál - lokální"/>
    <s v="50115060     ostatní ZPr - mimo níže uvedené (sk.Z_503)"/>
    <x v="1"/>
    <x v="1"/>
    <n v="2298.4337500000011"/>
    <n v="2637.2743907493"/>
  </r>
  <r>
    <s v="06"/>
    <s v="06"/>
    <s v="Neurochirurgická klinika"/>
    <x v="5"/>
    <s v="0662"/>
    <s v="operační sál - lokální"/>
    <s v="0662 - operační sál - lokální"/>
    <s v="50115060     ostatní ZPr - mimo níže uvedené (sk.Z_503)"/>
    <x v="1"/>
    <x v="2"/>
    <n v="1673.9589700000001"/>
    <n v="2467.0143076037998"/>
  </r>
  <r>
    <s v="06"/>
    <s v="06"/>
    <s v="Neurochirurgická klinika"/>
    <x v="5"/>
    <s v="0662"/>
    <s v="operační sál - lokální"/>
    <s v="0662 - operační sál - lokální"/>
    <s v="50115063     ostatní ZPr - vaky, sety (sk.Z_528)"/>
    <x v="13"/>
    <x v="0"/>
    <n v="0"/>
    <n v="0.48333563690100001"/>
  </r>
  <r>
    <s v="06"/>
    <s v="06"/>
    <s v="Neurochirurgická klinika"/>
    <x v="5"/>
    <s v="0662"/>
    <s v="operační sál - lokální"/>
    <s v="0662 - operační sál - lokální"/>
    <s v="50115064     ostatní ZPr - šicí materiál (sk.Z_529)"/>
    <x v="21"/>
    <x v="0"/>
    <n v="717.123909999999"/>
    <n v="696.90874851716399"/>
  </r>
  <r>
    <s v="06"/>
    <s v="06"/>
    <s v="Neurochirurgická klinika"/>
    <x v="5"/>
    <s v="0662"/>
    <s v="operační sál - lokální"/>
    <s v="0662 - operační sál - lokální"/>
    <s v="50115064     ostatní ZPr - šicí materiál (sk.Z_529)"/>
    <x v="21"/>
    <x v="1"/>
    <n v="784.93235000000004"/>
    <n v="711.08033054041005"/>
  </r>
  <r>
    <s v="06"/>
    <s v="06"/>
    <s v="Neurochirurgická klinika"/>
    <x v="5"/>
    <s v="0662"/>
    <s v="operační sál - lokální"/>
    <s v="0662 - operační sál - lokální"/>
    <s v="50115064     ostatní ZPr - šicí materiál (sk.Z_529)"/>
    <x v="21"/>
    <x v="2"/>
    <n v="558.65009999999995"/>
    <n v="736.99997678628597"/>
  </r>
  <r>
    <s v="06"/>
    <s v="06"/>
    <s v="Neurochirurgická klinika"/>
    <x v="5"/>
    <s v="0662"/>
    <s v="operační sál - lokální"/>
    <s v="0662 - operační sál - lokální"/>
    <s v="50115065     ostatní ZPr - vpichovací materiál (sk.Z_530)"/>
    <x v="14"/>
    <x v="0"/>
    <n v="40.034889999999997"/>
    <n v="74.450538058231999"/>
  </r>
  <r>
    <s v="06"/>
    <s v="06"/>
    <s v="Neurochirurgická klinika"/>
    <x v="5"/>
    <s v="0662"/>
    <s v="operační sál - lokální"/>
    <s v="0662 - operační sál - lokální"/>
    <s v="50115065     ostatní ZPr - vpichovací materiál (sk.Z_530)"/>
    <x v="14"/>
    <x v="1"/>
    <n v="51.974100000000007"/>
    <n v="44.068423481589001"/>
  </r>
  <r>
    <s v="06"/>
    <s v="06"/>
    <s v="Neurochirurgická klinika"/>
    <x v="5"/>
    <s v="0662"/>
    <s v="operační sál - lokální"/>
    <s v="0662 - operační sál - lokální"/>
    <s v="50115065     ostatní ZPr - vpichovací materiál (sk.Z_530)"/>
    <x v="14"/>
    <x v="2"/>
    <n v="62.998280000000008"/>
    <n v="50.73108095341"/>
  </r>
  <r>
    <s v="06"/>
    <s v="06"/>
    <s v="Neurochirurgická klinika"/>
    <x v="5"/>
    <s v="0662"/>
    <s v="operační sál - lokální"/>
    <s v="0662 - operační sál - lokální"/>
    <s v="50115067     ostatní ZPr - rukavice (sk.Z_532)"/>
    <x v="15"/>
    <x v="0"/>
    <n v="89.226229999999006"/>
    <n v="84.738588996253"/>
  </r>
  <r>
    <s v="06"/>
    <s v="06"/>
    <s v="Neurochirurgická klinika"/>
    <x v="5"/>
    <s v="0662"/>
    <s v="operační sál - lokální"/>
    <s v="0662 - operační sál - lokální"/>
    <s v="50115067     ostatní ZPr - rukavice (sk.Z_532)"/>
    <x v="15"/>
    <x v="1"/>
    <n v="124.25747"/>
    <n v="91.488828414639997"/>
  </r>
  <r>
    <s v="06"/>
    <s v="06"/>
    <s v="Neurochirurgická klinika"/>
    <x v="5"/>
    <s v="0662"/>
    <s v="operační sál - lokální"/>
    <s v="0662 - operační sál - lokální"/>
    <s v="50115067     ostatní ZPr - rukavice (sk.Z_532)"/>
    <x v="15"/>
    <x v="2"/>
    <n v="94.729669999999984"/>
    <n v="122.691293981462"/>
  </r>
  <r>
    <s v="06"/>
    <s v="06"/>
    <s v="Neurochirurgická klinika"/>
    <x v="5"/>
    <s v="0662"/>
    <s v="operační sál - lokální"/>
    <s v="0662 - operační sál - lokální"/>
    <s v="50115068     ostatní ZPr - čidla (sk.Z_522)"/>
    <x v="46"/>
    <x v="1"/>
    <n v="0"/>
    <n v="396"/>
  </r>
  <r>
    <s v="06"/>
    <s v="06"/>
    <s v="Neurochirurgická klinika"/>
    <x v="5"/>
    <s v="0662"/>
    <s v="operační sál - lokální"/>
    <s v="0662 - operační sál - lokální"/>
    <s v="50115070     ostatní ZPr - katetry (sk.Z_513)"/>
    <x v="16"/>
    <x v="0"/>
    <n v="1724.9853400000006"/>
    <n v="1614.8377152283199"/>
  </r>
  <r>
    <s v="06"/>
    <s v="06"/>
    <s v="Neurochirurgická klinika"/>
    <x v="5"/>
    <s v="0662"/>
    <s v="operační sál - lokální"/>
    <s v="0662 - operační sál - lokální"/>
    <s v="50115070     ostatní ZPr - katetry (sk.Z_513)"/>
    <x v="16"/>
    <x v="1"/>
    <n v="1753.1603599999999"/>
    <n v="1735.9773189407699"/>
  </r>
  <r>
    <s v="06"/>
    <s v="06"/>
    <s v="Neurochirurgická klinika"/>
    <x v="5"/>
    <s v="0662"/>
    <s v="operační sál - lokální"/>
    <s v="0662 - operační sál - lokální"/>
    <s v="50115070     ostatní ZPr - katetry (sk.Z_513)"/>
    <x v="16"/>
    <x v="2"/>
    <n v="1170.77756"/>
    <n v="1894.36557858163"/>
  </r>
  <r>
    <s v="06"/>
    <s v="06"/>
    <s v="Neurochirurgická klinika"/>
    <x v="5"/>
    <s v="0662"/>
    <s v="operační sál - lokální"/>
    <s v="0662 - operační sál - lokální"/>
    <s v="50115079     ostatní ZPr - intenzivní péče (sk.Z_542)"/>
    <x v="18"/>
    <x v="2"/>
    <n v="56.355799999999995"/>
    <n v="0"/>
  </r>
  <r>
    <s v="06"/>
    <s v="06"/>
    <s v="Neurochirurgická klinika"/>
    <x v="5"/>
    <s v="0666"/>
    <s v="pracoviště DK COS"/>
    <s v="0666 - pracoviště DK COS"/>
    <s v="50115     Zdravotnické prostředky"/>
    <x v="0"/>
    <x v="0"/>
    <n v="0"/>
    <n v="10.293080608031"/>
  </r>
  <r>
    <s v="06"/>
    <s v="06"/>
    <s v="Neurochirurgická klinika"/>
    <x v="5"/>
    <s v="0666"/>
    <s v="pracoviště DK COS"/>
    <s v="0666 - pracoviště DK COS"/>
    <s v="50115067     ostatní ZPr - rukavice (sk.Z_532)"/>
    <x v="15"/>
    <x v="0"/>
    <n v="0"/>
    <n v="10.293080608031"/>
  </r>
  <r>
    <s v="07"/>
    <s v="07"/>
    <s v="Klinika anesteziologie, resuscitace a intenzivní medicíny"/>
    <x v="6"/>
    <s v="0701"/>
    <s v="vedení klinického pracoviště"/>
    <s v="0701 - vedení klinického pracoviště"/>
    <s v="50113     Léky a léčiva"/>
    <x v="2"/>
    <x v="0"/>
    <n v="0.42659999999999998"/>
    <n v="0"/>
  </r>
  <r>
    <s v="07"/>
    <s v="07"/>
    <s v="Klinika anesteziologie, resuscitace a intenzivní medicíny"/>
    <x v="6"/>
    <s v="0701"/>
    <s v="vedení klinického pracoviště"/>
    <s v="0701 - vedení klinického pracoviště"/>
    <s v="50113     Léky a léčiva"/>
    <x v="2"/>
    <x v="1"/>
    <n v="0"/>
    <n v="0.42659426514299997"/>
  </r>
  <r>
    <s v="07"/>
    <s v="07"/>
    <s v="Klinika anesteziologie, resuscitace a intenzivní medicíny"/>
    <x v="6"/>
    <s v="0701"/>
    <s v="vedení klinického pracoviště"/>
    <s v="0701 - vedení klinického pracoviště"/>
    <s v="50113001     léky - paušál+TISS (LEK)"/>
    <x v="3"/>
    <x v="0"/>
    <n v="0.42659999999999998"/>
    <n v="0"/>
  </r>
  <r>
    <s v="07"/>
    <s v="07"/>
    <s v="Klinika anesteziologie, resuscitace a intenzivní medicíny"/>
    <x v="6"/>
    <s v="0701"/>
    <s v="vedení klinického pracoviště"/>
    <s v="0701 - vedení klinického pracoviště"/>
    <s v="50113001     léky - paušál+TISS (LEK)"/>
    <x v="3"/>
    <x v="1"/>
    <n v="0"/>
    <n v="0.42659426514299997"/>
  </r>
  <r>
    <s v="07"/>
    <s v="07"/>
    <s v="Klinika anesteziologie, resuscitace a intenzivní medicíny"/>
    <x v="6"/>
    <s v="0721"/>
    <s v="ambulance"/>
    <s v="0721 - ambulance"/>
    <s v="50113     Léky a léčiva"/>
    <x v="2"/>
    <x v="0"/>
    <n v="29.657970000000006"/>
    <n v="30.64989081681"/>
  </r>
  <r>
    <s v="07"/>
    <s v="07"/>
    <s v="Klinika anesteziologie, resuscitace a intenzivní medicíny"/>
    <x v="6"/>
    <s v="0721"/>
    <s v="ambulance"/>
    <s v="0721 - ambulance"/>
    <s v="50113     Léky a léčiva"/>
    <x v="2"/>
    <x v="1"/>
    <n v="46.216890000000006"/>
    <n v="29.657571302861001"/>
  </r>
  <r>
    <s v="07"/>
    <s v="07"/>
    <s v="Klinika anesteziologie, resuscitace a intenzivní medicíny"/>
    <x v="6"/>
    <s v="0721"/>
    <s v="ambulance"/>
    <s v="0721 - ambulance"/>
    <s v="50113     Léky a léčiva"/>
    <x v="2"/>
    <x v="2"/>
    <n v="27.874560000000002"/>
    <n v="59.566426998445998"/>
  </r>
  <r>
    <s v="07"/>
    <s v="07"/>
    <s v="Klinika anesteziologie, resuscitace a intenzivní medicíny"/>
    <x v="6"/>
    <s v="0721"/>
    <s v="ambulance"/>
    <s v="0721 - ambulance"/>
    <s v="50113001     léky - paušál+TISS (LEK)"/>
    <x v="3"/>
    <x v="0"/>
    <n v="29.657970000000006"/>
    <n v="30.64989081681"/>
  </r>
  <r>
    <s v="07"/>
    <s v="07"/>
    <s v="Klinika anesteziologie, resuscitace a intenzivní medicíny"/>
    <x v="6"/>
    <s v="0721"/>
    <s v="ambulance"/>
    <s v="0721 - ambulance"/>
    <s v="50113001     léky - paušál+TISS (LEK)"/>
    <x v="3"/>
    <x v="1"/>
    <n v="27.559350000000002"/>
    <n v="29.657571302861001"/>
  </r>
  <r>
    <s v="07"/>
    <s v="07"/>
    <s v="Klinika anesteziologie, resuscitace a intenzivní medicíny"/>
    <x v="6"/>
    <s v="0721"/>
    <s v="ambulance"/>
    <s v="0721 - ambulance"/>
    <s v="50113001     léky - paušál+TISS (LEK)"/>
    <x v="3"/>
    <x v="2"/>
    <n v="14.958359999999999"/>
    <n v="19.843304487451999"/>
  </r>
  <r>
    <s v="07"/>
    <s v="07"/>
    <s v="Klinika anesteziologie, resuscitace a intenzivní medicíny"/>
    <x v="6"/>
    <s v="0721"/>
    <s v="ambulance"/>
    <s v="0721 - ambulance"/>
    <s v="50113008     léky - krev.deriváty ZUL (TO)"/>
    <x v="5"/>
    <x v="1"/>
    <n v="18.657540000000001"/>
    <n v="0"/>
  </r>
  <r>
    <s v="07"/>
    <s v="07"/>
    <s v="Klinika anesteziologie, resuscitace a intenzivní medicíny"/>
    <x v="6"/>
    <s v="0721"/>
    <s v="ambulance"/>
    <s v="0721 - ambulance"/>
    <s v="50113008     léky - krev.deriváty ZUL (TO)"/>
    <x v="5"/>
    <x v="2"/>
    <n v="12.9162"/>
    <n v="39.723122510994003"/>
  </r>
  <r>
    <s v="07"/>
    <s v="07"/>
    <s v="Klinika anesteziologie, resuscitace a intenzivní medicíny"/>
    <x v="6"/>
    <s v="0721"/>
    <s v="ambulance"/>
    <s v="0721 - ambulance"/>
    <s v="50115     Zdravotnické prostředky"/>
    <x v="0"/>
    <x v="0"/>
    <n v="49.522949999999994"/>
    <n v="65.232854442730002"/>
  </r>
  <r>
    <s v="07"/>
    <s v="07"/>
    <s v="Klinika anesteziologie, resuscitace a intenzivní medicíny"/>
    <x v="6"/>
    <s v="0721"/>
    <s v="ambulance"/>
    <s v="0721 - ambulance"/>
    <s v="50115     Zdravotnické prostředky"/>
    <x v="0"/>
    <x v="1"/>
    <n v="41.671659999999996"/>
    <n v="50.396037278130002"/>
  </r>
  <r>
    <s v="07"/>
    <s v="07"/>
    <s v="Klinika anesteziologie, resuscitace a intenzivní medicíny"/>
    <x v="6"/>
    <s v="0721"/>
    <s v="ambulance"/>
    <s v="0721 - ambulance"/>
    <s v="50115     Zdravotnické prostředky"/>
    <x v="0"/>
    <x v="2"/>
    <n v="63.704490000000007"/>
    <n v="44.769318060370999"/>
  </r>
  <r>
    <s v="07"/>
    <s v="07"/>
    <s v="Klinika anesteziologie, resuscitace a intenzivní medicíny"/>
    <x v="6"/>
    <s v="0721"/>
    <s v="ambulance"/>
    <s v="0721 - ambulance"/>
    <s v="50115020     diagnostika laboratorní-LEK (sk.Z_501)"/>
    <x v="10"/>
    <x v="0"/>
    <n v="0.114"/>
    <n v="0"/>
  </r>
  <r>
    <s v="07"/>
    <s v="07"/>
    <s v="Klinika anesteziologie, resuscitace a intenzivní medicíny"/>
    <x v="6"/>
    <s v="0721"/>
    <s v="ambulance"/>
    <s v="0721 - ambulance"/>
    <s v="50115020     diagnostika laboratorní-LEK (sk.Z_501)"/>
    <x v="10"/>
    <x v="1"/>
    <n v="0"/>
    <n v="0.113999879256"/>
  </r>
  <r>
    <s v="07"/>
    <s v="07"/>
    <s v="Klinika anesteziologie, resuscitace a intenzivní medicíny"/>
    <x v="6"/>
    <s v="0721"/>
    <s v="ambulance"/>
    <s v="0721 - ambulance"/>
    <s v="50115050     obvazový materiál (sk.Z_502)"/>
    <x v="12"/>
    <x v="0"/>
    <n v="6.4376999999999995"/>
    <n v="9.4452074395730001"/>
  </r>
  <r>
    <s v="07"/>
    <s v="07"/>
    <s v="Klinika anesteziologie, resuscitace a intenzivní medicíny"/>
    <x v="6"/>
    <s v="0721"/>
    <s v="ambulance"/>
    <s v="0721 - ambulance"/>
    <s v="50115050     obvazový materiál (sk.Z_502)"/>
    <x v="12"/>
    <x v="1"/>
    <n v="5.4215600000000004"/>
    <n v="6.4523396611050003"/>
  </r>
  <r>
    <s v="07"/>
    <s v="07"/>
    <s v="Klinika anesteziologie, resuscitace a intenzivní medicíny"/>
    <x v="6"/>
    <s v="0721"/>
    <s v="ambulance"/>
    <s v="0721 - ambulance"/>
    <s v="50115050     obvazový materiál (sk.Z_502)"/>
    <x v="12"/>
    <x v="2"/>
    <n v="6.0513199999999987"/>
    <n v="4.8921105044719999"/>
  </r>
  <r>
    <s v="07"/>
    <s v="07"/>
    <s v="Klinika anesteziologie, resuscitace a intenzivní medicíny"/>
    <x v="6"/>
    <s v="0721"/>
    <s v="ambulance"/>
    <s v="0721 - ambulance"/>
    <s v="50115060     ostatní ZPr - mimo níže uvedené (sk.Z_503)"/>
    <x v="1"/>
    <x v="0"/>
    <n v="8.9119299999999999"/>
    <n v="8.9933576004150009"/>
  </r>
  <r>
    <s v="07"/>
    <s v="07"/>
    <s v="Klinika anesteziologie, resuscitace a intenzivní medicíny"/>
    <x v="6"/>
    <s v="0721"/>
    <s v="ambulance"/>
    <s v="0721 - ambulance"/>
    <s v="50115060     ostatní ZPr - mimo níže uvedené (sk.Z_503)"/>
    <x v="1"/>
    <x v="1"/>
    <n v="5.7440000000000007"/>
    <n v="8.9118628633989996"/>
  </r>
  <r>
    <s v="07"/>
    <s v="07"/>
    <s v="Klinika anesteziologie, resuscitace a intenzivní medicíny"/>
    <x v="6"/>
    <s v="0721"/>
    <s v="ambulance"/>
    <s v="0721 - ambulance"/>
    <s v="50115060     ostatní ZPr - mimo níže uvedené (sk.Z_503)"/>
    <x v="1"/>
    <x v="2"/>
    <n v="3.0564000000000004"/>
    <n v="5.4811277563580001"/>
  </r>
  <r>
    <s v="07"/>
    <s v="07"/>
    <s v="Klinika anesteziologie, resuscitace a intenzivní medicíny"/>
    <x v="6"/>
    <s v="0721"/>
    <s v="ambulance"/>
    <s v="0721 - ambulance"/>
    <s v="50115065     ostatní ZPr - vpichovací materiál (sk.Z_530)"/>
    <x v="14"/>
    <x v="0"/>
    <n v="32.280319999999001"/>
    <n v="44.893995039838998"/>
  </r>
  <r>
    <s v="07"/>
    <s v="07"/>
    <s v="Klinika anesteziologie, resuscitace a intenzivní medicíny"/>
    <x v="6"/>
    <s v="0721"/>
    <s v="ambulance"/>
    <s v="0721 - ambulance"/>
    <s v="50115065     ostatní ZPr - vpichovací materiál (sk.Z_530)"/>
    <x v="14"/>
    <x v="1"/>
    <n v="27.70215"/>
    <n v="33.113661167975998"/>
  </r>
  <r>
    <s v="07"/>
    <s v="07"/>
    <s v="Klinika anesteziologie, resuscitace a intenzivní medicíny"/>
    <x v="6"/>
    <s v="0721"/>
    <s v="ambulance"/>
    <s v="0721 - ambulance"/>
    <s v="50115065     ostatní ZPr - vpichovací materiál (sk.Z_530)"/>
    <x v="14"/>
    <x v="2"/>
    <n v="46.459380000000003"/>
    <n v="31.319410582168999"/>
  </r>
  <r>
    <s v="07"/>
    <s v="07"/>
    <s v="Klinika anesteziologie, resuscitace a intenzivní medicíny"/>
    <x v="6"/>
    <s v="0721"/>
    <s v="ambulance"/>
    <s v="0721 - ambulance"/>
    <s v="50115067     ostatní ZPr - rukavice (sk.Z_532)"/>
    <x v="15"/>
    <x v="0"/>
    <n v="1.7790000000000001"/>
    <n v="1.9002943629010001"/>
  </r>
  <r>
    <s v="07"/>
    <s v="07"/>
    <s v="Klinika anesteziologie, resuscitace a intenzivní medicíny"/>
    <x v="6"/>
    <s v="0721"/>
    <s v="ambulance"/>
    <s v="0721 - ambulance"/>
    <s v="50115067     ostatní ZPr - rukavice (sk.Z_532)"/>
    <x v="15"/>
    <x v="1"/>
    <n v="2.8039499999999999"/>
    <n v="1.804173706392"/>
  </r>
  <r>
    <s v="07"/>
    <s v="07"/>
    <s v="Klinika anesteziologie, resuscitace a intenzivní medicíny"/>
    <x v="6"/>
    <s v="0721"/>
    <s v="ambulance"/>
    <s v="0721 - ambulance"/>
    <s v="50115067     ostatní ZPr - rukavice (sk.Z_532)"/>
    <x v="15"/>
    <x v="2"/>
    <n v="2.9078899999999996"/>
    <n v="3.0766692173710002"/>
  </r>
  <r>
    <s v="07"/>
    <s v="07"/>
    <s v="Klinika anesteziologie, resuscitace a intenzivní medicíny"/>
    <x v="6"/>
    <s v="0721"/>
    <s v="ambulance"/>
    <s v="0721 - ambulance"/>
    <s v="50115070     ostatní ZPr - katetry (sk.Z_513)"/>
    <x v="16"/>
    <x v="2"/>
    <n v="5.2294999999999998"/>
    <n v="0"/>
  </r>
  <r>
    <s v="07"/>
    <s v="07"/>
    <s v="Klinika anesteziologie, resuscitace a intenzivní medicíny"/>
    <x v="6"/>
    <s v="0731"/>
    <s v="JIP"/>
    <s v="0731 - JIP"/>
    <s v="50113     Léky a léčiva"/>
    <x v="2"/>
    <x v="0"/>
    <n v="12620.93330000001"/>
    <n v="13166.937812976599"/>
  </r>
  <r>
    <s v="07"/>
    <s v="07"/>
    <s v="Klinika anesteziologie, resuscitace a intenzivní medicíny"/>
    <x v="6"/>
    <s v="0731"/>
    <s v="JIP"/>
    <s v="0731 - JIP"/>
    <s v="50113     Léky a léčiva"/>
    <x v="2"/>
    <x v="1"/>
    <n v="14996.717440000002"/>
    <n v="13595.767488511499"/>
  </r>
  <r>
    <s v="07"/>
    <s v="07"/>
    <s v="Klinika anesteziologie, resuscitace a intenzivní medicíny"/>
    <x v="6"/>
    <s v="0731"/>
    <s v="JIP"/>
    <s v="0731 - JIP"/>
    <s v="50113     Léky a léčiva"/>
    <x v="2"/>
    <x v="2"/>
    <n v="10927.39327"/>
    <n v="14778.7974057504"/>
  </r>
  <r>
    <s v="07"/>
    <s v="07"/>
    <s v="Klinika anesteziologie, resuscitace a intenzivní medicíny"/>
    <x v="6"/>
    <s v="0731"/>
    <s v="JIP"/>
    <s v="0731 - JIP"/>
    <s v="50113001     léky - paušál+TISS (LEK)"/>
    <x v="3"/>
    <x v="0"/>
    <n v="7080.0829800000092"/>
    <n v="7209.2743779408802"/>
  </r>
  <r>
    <s v="07"/>
    <s v="07"/>
    <s v="Klinika anesteziologie, resuscitace a intenzivní medicíny"/>
    <x v="6"/>
    <s v="0731"/>
    <s v="JIP"/>
    <s v="0731 - JIP"/>
    <s v="50113001     léky - paušál+TISS (LEK)"/>
    <x v="3"/>
    <x v="1"/>
    <n v="7871.0850100000025"/>
    <n v="8063.60431320523"/>
  </r>
  <r>
    <s v="07"/>
    <s v="07"/>
    <s v="Klinika anesteziologie, resuscitace a intenzivní medicíny"/>
    <x v="6"/>
    <s v="0731"/>
    <s v="JIP"/>
    <s v="0731 - JIP"/>
    <s v="50113001     léky - paušál+TISS (LEK)"/>
    <x v="3"/>
    <x v="2"/>
    <n v="5904.7515400000011"/>
    <n v="8553.9997885882603"/>
  </r>
  <r>
    <s v="07"/>
    <s v="07"/>
    <s v="Klinika anesteziologie, resuscitace a intenzivní medicíny"/>
    <x v="6"/>
    <s v="0731"/>
    <s v="JIP"/>
    <s v="0731 - JIP"/>
    <s v="50113002     léky - parenterální výživa (LEK)"/>
    <x v="17"/>
    <x v="2"/>
    <n v="820.28483000000006"/>
    <n v="1094"/>
  </r>
  <r>
    <s v="07"/>
    <s v="07"/>
    <s v="Klinika anesteziologie, resuscitace a intenzivní medicíny"/>
    <x v="6"/>
    <s v="0731"/>
    <s v="JIP"/>
    <s v="0731 - JIP"/>
    <s v="50113006     léky - enterální výživa (LEK)"/>
    <x v="4"/>
    <x v="0"/>
    <n v="1665.4458900000022"/>
    <n v="1692.3277861246199"/>
  </r>
  <r>
    <s v="07"/>
    <s v="07"/>
    <s v="Klinika anesteziologie, resuscitace a intenzivní medicíny"/>
    <x v="6"/>
    <s v="0731"/>
    <s v="JIP"/>
    <s v="0731 - JIP"/>
    <s v="50113006     léky - enterální výživa (LEK)"/>
    <x v="4"/>
    <x v="1"/>
    <n v="1422.9354499999999"/>
    <n v="1602.95768908172"/>
  </r>
  <r>
    <s v="07"/>
    <s v="07"/>
    <s v="Klinika anesteziologie, resuscitace a intenzivní medicíny"/>
    <x v="6"/>
    <s v="0731"/>
    <s v="JIP"/>
    <s v="0731 - JIP"/>
    <s v="50113006     léky - enterální výživa (LEK)"/>
    <x v="4"/>
    <x v="2"/>
    <n v="353.89191000000005"/>
    <n v="215"/>
  </r>
  <r>
    <s v="07"/>
    <s v="07"/>
    <s v="Klinika anesteziologie, resuscitace a intenzivní medicíny"/>
    <x v="6"/>
    <s v="0731"/>
    <s v="JIP"/>
    <s v="0731 - JIP"/>
    <s v="50113007     léky - krev.deriváty ZUL (LEK)"/>
    <x v="45"/>
    <x v="0"/>
    <n v="20.297070000000001"/>
    <n v="122.955086628153"/>
  </r>
  <r>
    <s v="07"/>
    <s v="07"/>
    <s v="Klinika anesteziologie, resuscitace a intenzivní medicíny"/>
    <x v="6"/>
    <s v="0731"/>
    <s v="JIP"/>
    <s v="0731 - JIP"/>
    <s v="50113007     léky - krev.deriváty ZUL (LEK)"/>
    <x v="45"/>
    <x v="1"/>
    <n v="40.94"/>
    <n v="109.773638970844"/>
  </r>
  <r>
    <s v="07"/>
    <s v="07"/>
    <s v="Klinika anesteziologie, resuscitace a intenzivní medicíny"/>
    <x v="6"/>
    <s v="0731"/>
    <s v="JIP"/>
    <s v="0731 - JIP"/>
    <s v="50113007     léky - krev.deriváty ZUL (LEK)"/>
    <x v="45"/>
    <x v="2"/>
    <n v="0"/>
    <n v="19.120369768124998"/>
  </r>
  <r>
    <s v="07"/>
    <s v="07"/>
    <s v="Klinika anesteziologie, resuscitace a intenzivní medicíny"/>
    <x v="6"/>
    <s v="0731"/>
    <s v="JIP"/>
    <s v="0731 - JIP"/>
    <s v="50113008     léky - krev.deriváty ZUL (TO)"/>
    <x v="5"/>
    <x v="0"/>
    <n v="879.97077999999897"/>
    <n v="801.97536830655702"/>
  </r>
  <r>
    <s v="07"/>
    <s v="07"/>
    <s v="Klinika anesteziologie, resuscitace a intenzivní medicíny"/>
    <x v="6"/>
    <s v="0731"/>
    <s v="JIP"/>
    <s v="0731 - JIP"/>
    <s v="50113008     léky - krev.deriváty ZUL (TO)"/>
    <x v="5"/>
    <x v="1"/>
    <n v="1083.2339399999998"/>
    <n v="880.00772698819105"/>
  </r>
  <r>
    <s v="07"/>
    <s v="07"/>
    <s v="Klinika anesteziologie, resuscitace a intenzivní medicíny"/>
    <x v="6"/>
    <s v="0731"/>
    <s v="JIP"/>
    <s v="0731 - JIP"/>
    <s v="50113008     léky - krev.deriváty ZUL (TO)"/>
    <x v="5"/>
    <x v="2"/>
    <n v="986.78304000000003"/>
    <n v="897.66381334036998"/>
  </r>
  <r>
    <s v="07"/>
    <s v="07"/>
    <s v="Klinika anesteziologie, resuscitace a intenzivní medicíny"/>
    <x v="6"/>
    <s v="0731"/>
    <s v="JIP"/>
    <s v="0731 - JIP"/>
    <s v="50113012     léky - trombolýza (LEK)"/>
    <x v="19"/>
    <x v="0"/>
    <n v="43.56156"/>
    <n v="77.155502903682006"/>
  </r>
  <r>
    <s v="07"/>
    <s v="07"/>
    <s v="Klinika anesteziologie, resuscitace a intenzivní medicíny"/>
    <x v="6"/>
    <s v="0731"/>
    <s v="JIP"/>
    <s v="0731 - JIP"/>
    <s v="50113012     léky - trombolýza (LEK)"/>
    <x v="19"/>
    <x v="1"/>
    <n v="76.530100000000004"/>
    <n v="57.001991688032"/>
  </r>
  <r>
    <s v="07"/>
    <s v="07"/>
    <s v="Klinika anesteziologie, resuscitace a intenzivní medicíny"/>
    <x v="6"/>
    <s v="0731"/>
    <s v="JIP"/>
    <s v="0731 - JIP"/>
    <s v="50113012     léky - trombolýza (LEK)"/>
    <x v="19"/>
    <x v="2"/>
    <n v="32.468809999999998"/>
    <n v="42.079836292990002"/>
  </r>
  <r>
    <s v="07"/>
    <s v="07"/>
    <s v="Klinika anesteziologie, resuscitace a intenzivní medicíny"/>
    <x v="6"/>
    <s v="0731"/>
    <s v="JIP"/>
    <s v="0731 - JIP"/>
    <s v="50113013     léky (paušál) - antibiotika (LEK)"/>
    <x v="7"/>
    <x v="0"/>
    <n v="1823.7484600000012"/>
    <n v="1725.0256010021899"/>
  </r>
  <r>
    <s v="07"/>
    <s v="07"/>
    <s v="Klinika anesteziologie, resuscitace a intenzivní medicíny"/>
    <x v="6"/>
    <s v="0731"/>
    <s v="JIP"/>
    <s v="0731 - JIP"/>
    <s v="50113013     léky (paušál) - antibiotika (LEK)"/>
    <x v="7"/>
    <x v="1"/>
    <n v="1855.5075100000013"/>
    <n v="1462.87186012498"/>
  </r>
  <r>
    <s v="07"/>
    <s v="07"/>
    <s v="Klinika anesteziologie, resuscitace a intenzivní medicíny"/>
    <x v="6"/>
    <s v="0731"/>
    <s v="JIP"/>
    <s v="0731 - JIP"/>
    <s v="50113013     léky (paušál) - antibiotika (LEK)"/>
    <x v="7"/>
    <x v="2"/>
    <n v="1096.2636"/>
    <n v="1744.64465182553"/>
  </r>
  <r>
    <s v="07"/>
    <s v="07"/>
    <s v="Klinika anesteziologie, resuscitace a intenzivní medicíny"/>
    <x v="6"/>
    <s v="0731"/>
    <s v="JIP"/>
    <s v="0731 - JIP"/>
    <s v="50113014     léky (paušál) - antimykotika (LEK)"/>
    <x v="8"/>
    <x v="0"/>
    <n v="917.60031000000004"/>
    <n v="1339.68541755602"/>
  </r>
  <r>
    <s v="07"/>
    <s v="07"/>
    <s v="Klinika anesteziologie, resuscitace a intenzivní medicíny"/>
    <x v="6"/>
    <s v="0731"/>
    <s v="JIP"/>
    <s v="0731 - JIP"/>
    <s v="50113014     léky (paušál) - antimykotika (LEK)"/>
    <x v="8"/>
    <x v="1"/>
    <n v="2468.774730000001"/>
    <n v="1237.5567850790901"/>
  </r>
  <r>
    <s v="07"/>
    <s v="07"/>
    <s v="Klinika anesteziologie, resuscitace a intenzivní medicíny"/>
    <x v="6"/>
    <s v="0731"/>
    <s v="JIP"/>
    <s v="0731 - JIP"/>
    <s v="50113014     léky (paušál) - antimykotika (LEK)"/>
    <x v="8"/>
    <x v="2"/>
    <n v="1588.4257400000001"/>
    <n v="2025.91649015396"/>
  </r>
  <r>
    <s v="07"/>
    <s v="07"/>
    <s v="Klinika anesteziologie, resuscitace a intenzivní medicíny"/>
    <x v="6"/>
    <s v="0731"/>
    <s v="JIP"/>
    <s v="0731 - JIP"/>
    <s v="50113190     medicinální plyny"/>
    <x v="9"/>
    <x v="0"/>
    <n v="190.22624999999999"/>
    <n v="198.538672514507"/>
  </r>
  <r>
    <s v="07"/>
    <s v="07"/>
    <s v="Klinika anesteziologie, resuscitace a intenzivní medicíny"/>
    <x v="6"/>
    <s v="0731"/>
    <s v="JIP"/>
    <s v="0731 - JIP"/>
    <s v="50113190     medicinální plyny"/>
    <x v="9"/>
    <x v="1"/>
    <n v="177.7107"/>
    <n v="181.99348337337"/>
  </r>
  <r>
    <s v="07"/>
    <s v="07"/>
    <s v="Klinika anesteziologie, resuscitace a intenzivní medicíny"/>
    <x v="6"/>
    <s v="0731"/>
    <s v="JIP"/>
    <s v="0731 - JIP"/>
    <s v="50113190     medicinální plyny"/>
    <x v="9"/>
    <x v="2"/>
    <n v="144.52379999999999"/>
    <n v="186.37245578117299"/>
  </r>
  <r>
    <s v="07"/>
    <s v="07"/>
    <s v="Klinika anesteziologie, resuscitace a intenzivní medicíny"/>
    <x v="6"/>
    <s v="0731"/>
    <s v="JIP"/>
    <s v="0731 - JIP"/>
    <s v="50115     Zdravotnické prostředky"/>
    <x v="0"/>
    <x v="0"/>
    <n v="6437.9345100000019"/>
    <n v="6541.8394597301703"/>
  </r>
  <r>
    <s v="07"/>
    <s v="07"/>
    <s v="Klinika anesteziologie, resuscitace a intenzivní medicíny"/>
    <x v="6"/>
    <s v="0731"/>
    <s v="JIP"/>
    <s v="0731 - JIP"/>
    <s v="50115     Zdravotnické prostředky"/>
    <x v="0"/>
    <x v="1"/>
    <n v="6642.3410300000014"/>
    <n v="6658.1113976565903"/>
  </r>
  <r>
    <s v="07"/>
    <s v="07"/>
    <s v="Klinika anesteziologie, resuscitace a intenzivní medicíny"/>
    <x v="6"/>
    <s v="0731"/>
    <s v="JIP"/>
    <s v="0731 - JIP"/>
    <s v="50115     Zdravotnické prostředky"/>
    <x v="0"/>
    <x v="2"/>
    <n v="5288.7978900000007"/>
    <n v="6858.0378987902004"/>
  </r>
  <r>
    <s v="07"/>
    <s v="07"/>
    <s v="Klinika anesteziologie, resuscitace a intenzivní medicíny"/>
    <x v="6"/>
    <s v="0731"/>
    <s v="JIP"/>
    <s v="0731 - JIP"/>
    <s v="50115020     diagnostika laboratorní-LEK (sk.Z_501)"/>
    <x v="10"/>
    <x v="0"/>
    <n v="667.67665"/>
    <n v="711.35179808151395"/>
  </r>
  <r>
    <s v="07"/>
    <s v="07"/>
    <s v="Klinika anesteziologie, resuscitace a intenzivní medicíny"/>
    <x v="6"/>
    <s v="0731"/>
    <s v="JIP"/>
    <s v="0731 - JIP"/>
    <s v="50115020     diagnostika laboratorní-LEK (sk.Z_501)"/>
    <x v="10"/>
    <x v="1"/>
    <n v="412.82394000000102"/>
    <n v="837.66221684440495"/>
  </r>
  <r>
    <s v="07"/>
    <s v="07"/>
    <s v="Klinika anesteziologie, resuscitace a intenzivní medicíny"/>
    <x v="6"/>
    <s v="0731"/>
    <s v="JIP"/>
    <s v="0731 - JIP"/>
    <s v="50115020     diagnostika laboratorní-LEK (sk.Z_501)"/>
    <x v="10"/>
    <x v="2"/>
    <n v="311.39034999999996"/>
    <n v="440.08600245441801"/>
  </r>
  <r>
    <s v="07"/>
    <s v="07"/>
    <s v="Klinika anesteziologie, resuscitace a intenzivní medicíny"/>
    <x v="6"/>
    <s v="0731"/>
    <s v="JIP"/>
    <s v="0731 - JIP"/>
    <s v="50115040     laboratorní materiál (sk.Z_505)"/>
    <x v="11"/>
    <x v="0"/>
    <n v="2.8090199999989993"/>
    <n v="4.7497751542910001"/>
  </r>
  <r>
    <s v="07"/>
    <s v="07"/>
    <s v="Klinika anesteziologie, resuscitace a intenzivní medicíny"/>
    <x v="6"/>
    <s v="0731"/>
    <s v="JIP"/>
    <s v="0731 - JIP"/>
    <s v="50115040     laboratorní materiál (sk.Z_505)"/>
    <x v="11"/>
    <x v="1"/>
    <n v="2.3058000000000001"/>
    <n v="2.8091975812499999"/>
  </r>
  <r>
    <s v="07"/>
    <s v="07"/>
    <s v="Klinika anesteziologie, resuscitace a intenzivní medicíny"/>
    <x v="6"/>
    <s v="0731"/>
    <s v="JIP"/>
    <s v="0731 - JIP"/>
    <s v="50115040     laboratorní materiál (sk.Z_505)"/>
    <x v="11"/>
    <x v="2"/>
    <n v="2.9117600000000001"/>
    <n v="2.8037699116880002"/>
  </r>
  <r>
    <s v="07"/>
    <s v="07"/>
    <s v="Klinika anesteziologie, resuscitace a intenzivní medicíny"/>
    <x v="6"/>
    <s v="0731"/>
    <s v="JIP"/>
    <s v="0731 - JIP"/>
    <s v="50115050     obvazový materiál (sk.Z_502)"/>
    <x v="12"/>
    <x v="0"/>
    <n v="492.08922999999896"/>
    <n v="535.34008583022603"/>
  </r>
  <r>
    <s v="07"/>
    <s v="07"/>
    <s v="Klinika anesteziologie, resuscitace a intenzivní medicíny"/>
    <x v="6"/>
    <s v="0731"/>
    <s v="JIP"/>
    <s v="0731 - JIP"/>
    <s v="50115050     obvazový materiál (sk.Z_502)"/>
    <x v="12"/>
    <x v="1"/>
    <n v="571.77821000000006"/>
    <n v="511.20833892294701"/>
  </r>
  <r>
    <s v="07"/>
    <s v="07"/>
    <s v="Klinika anesteziologie, resuscitace a intenzivní medicíny"/>
    <x v="6"/>
    <s v="0731"/>
    <s v="JIP"/>
    <s v="0731 - JIP"/>
    <s v="50115050     obvazový materiál (sk.Z_502)"/>
    <x v="12"/>
    <x v="2"/>
    <n v="473.68886000000003"/>
    <n v="578.99998176290296"/>
  </r>
  <r>
    <s v="07"/>
    <s v="07"/>
    <s v="Klinika anesteziologie, resuscitace a intenzivní medicíny"/>
    <x v="6"/>
    <s v="0731"/>
    <s v="JIP"/>
    <s v="0731 - JIP"/>
    <s v="50115060     ostatní ZPr - mimo níže uvedené (sk.Z_503)"/>
    <x v="1"/>
    <x v="0"/>
    <n v="4096.113580000002"/>
    <n v="4075.2459302589"/>
  </r>
  <r>
    <s v="07"/>
    <s v="07"/>
    <s v="Klinika anesteziologie, resuscitace a intenzivní medicíny"/>
    <x v="6"/>
    <s v="0731"/>
    <s v="JIP"/>
    <s v="0731 - JIP"/>
    <s v="50115060     ostatní ZPr - mimo níže uvedené (sk.Z_503)"/>
    <x v="1"/>
    <x v="1"/>
    <n v="4453.7048400000022"/>
    <n v="4081.0894457571098"/>
  </r>
  <r>
    <s v="07"/>
    <s v="07"/>
    <s v="Klinika anesteziologie, resuscitace a intenzivní medicíny"/>
    <x v="6"/>
    <s v="0731"/>
    <s v="JIP"/>
    <s v="0731 - JIP"/>
    <s v="50115060     ostatní ZPr - mimo níže uvedené (sk.Z_503)"/>
    <x v="1"/>
    <x v="2"/>
    <n v="3098.589950000001"/>
    <n v="4646.9998716158798"/>
  </r>
  <r>
    <s v="07"/>
    <s v="07"/>
    <s v="Klinika anesteziologie, resuscitace a intenzivní medicíny"/>
    <x v="6"/>
    <s v="0731"/>
    <s v="JIP"/>
    <s v="0731 - JIP"/>
    <s v="50115062     ostatní ZPr - materiál pro hemodialýzu (sk.Z_525)"/>
    <x v="20"/>
    <x v="0"/>
    <n v="0"/>
    <n v="1"/>
  </r>
  <r>
    <s v="07"/>
    <s v="07"/>
    <s v="Klinika anesteziologie, resuscitace a intenzivní medicíny"/>
    <x v="6"/>
    <s v="0731"/>
    <s v="JIP"/>
    <s v="0731 - JIP"/>
    <s v="50115062     ostatní ZPr - materiál pro hemodialýzu (sk.Z_525)"/>
    <x v="20"/>
    <x v="1"/>
    <n v="0"/>
    <n v="2"/>
  </r>
  <r>
    <s v="07"/>
    <s v="07"/>
    <s v="Klinika anesteziologie, resuscitace a intenzivní medicíny"/>
    <x v="6"/>
    <s v="0731"/>
    <s v="JIP"/>
    <s v="0731 - JIP"/>
    <s v="50115063     ostatní ZPr - vaky, sety (sk.Z_528)"/>
    <x v="13"/>
    <x v="0"/>
    <n v="337.91773999999998"/>
    <n v="380.71655893515901"/>
  </r>
  <r>
    <s v="07"/>
    <s v="07"/>
    <s v="Klinika anesteziologie, resuscitace a intenzivní medicíny"/>
    <x v="6"/>
    <s v="0731"/>
    <s v="JIP"/>
    <s v="0731 - JIP"/>
    <s v="50115063     ostatní ZPr - vaky, sety (sk.Z_528)"/>
    <x v="13"/>
    <x v="1"/>
    <n v="281.35892000000007"/>
    <n v="305.03248674805297"/>
  </r>
  <r>
    <s v="07"/>
    <s v="07"/>
    <s v="Klinika anesteziologie, resuscitace a intenzivní medicíny"/>
    <x v="6"/>
    <s v="0731"/>
    <s v="JIP"/>
    <s v="0731 - JIP"/>
    <s v="50115063     ostatní ZPr - vaky, sety (sk.Z_528)"/>
    <x v="13"/>
    <x v="2"/>
    <n v="198.14234999999999"/>
    <n v="278.14611903672801"/>
  </r>
  <r>
    <s v="07"/>
    <s v="07"/>
    <s v="Klinika anesteziologie, resuscitace a intenzivní medicíny"/>
    <x v="6"/>
    <s v="0731"/>
    <s v="JIP"/>
    <s v="0731 - JIP"/>
    <s v="50115064     ostatní ZPr - šicí materiál (sk.Z_529)"/>
    <x v="21"/>
    <x v="0"/>
    <n v="51.076349999999998"/>
    <n v="53.671810915770003"/>
  </r>
  <r>
    <s v="07"/>
    <s v="07"/>
    <s v="Klinika anesteziologie, resuscitace a intenzivní medicíny"/>
    <x v="6"/>
    <s v="0731"/>
    <s v="JIP"/>
    <s v="0731 - JIP"/>
    <s v="50115064     ostatní ZPr - šicí materiál (sk.Z_529)"/>
    <x v="21"/>
    <x v="1"/>
    <n v="54.138460000000009"/>
    <n v="50.076263581117999"/>
  </r>
  <r>
    <s v="07"/>
    <s v="07"/>
    <s v="Klinika anesteziologie, resuscitace a intenzivní medicíny"/>
    <x v="6"/>
    <s v="0731"/>
    <s v="JIP"/>
    <s v="0731 - JIP"/>
    <s v="50115064     ostatní ZPr - šicí materiál (sk.Z_529)"/>
    <x v="21"/>
    <x v="2"/>
    <n v="34.532209999999999"/>
    <n v="48.255530410760997"/>
  </r>
  <r>
    <s v="07"/>
    <s v="07"/>
    <s v="Klinika anesteziologie, resuscitace a intenzivní medicíny"/>
    <x v="6"/>
    <s v="0731"/>
    <s v="JIP"/>
    <s v="0731 - JIP"/>
    <s v="50115065     ostatní ZPr - vpichovací materiál (sk.Z_530)"/>
    <x v="14"/>
    <x v="0"/>
    <n v="26.822970000000002"/>
    <n v="34.257839644169003"/>
  </r>
  <r>
    <s v="07"/>
    <s v="07"/>
    <s v="Klinika anesteziologie, resuscitace a intenzivní medicíny"/>
    <x v="6"/>
    <s v="0731"/>
    <s v="JIP"/>
    <s v="0731 - JIP"/>
    <s v="50115065     ostatní ZPr - vpichovací materiál (sk.Z_530)"/>
    <x v="14"/>
    <x v="1"/>
    <n v="33.513549999999995"/>
    <n v="27.515425500700001"/>
  </r>
  <r>
    <s v="07"/>
    <s v="07"/>
    <s v="Klinika anesteziologie, resuscitace a intenzivní medicíny"/>
    <x v="6"/>
    <s v="0731"/>
    <s v="JIP"/>
    <s v="0731 - JIP"/>
    <s v="50115065     ostatní ZPr - vpichovací materiál (sk.Z_530)"/>
    <x v="14"/>
    <x v="2"/>
    <n v="30.445259999999998"/>
    <n v="28.740366605742"/>
  </r>
  <r>
    <s v="07"/>
    <s v="07"/>
    <s v="Klinika anesteziologie, resuscitace a intenzivní medicíny"/>
    <x v="6"/>
    <s v="0731"/>
    <s v="JIP"/>
    <s v="0731 - JIP"/>
    <s v="50115067     ostatní ZPr - rukavice (sk.Z_532)"/>
    <x v="15"/>
    <x v="0"/>
    <n v="232.60499999999999"/>
    <n v="204.59164853143699"/>
  </r>
  <r>
    <s v="07"/>
    <s v="07"/>
    <s v="Klinika anesteziologie, resuscitace a intenzivní medicíny"/>
    <x v="6"/>
    <s v="0731"/>
    <s v="JIP"/>
    <s v="0731 - JIP"/>
    <s v="50115067     ostatní ZPr - rukavice (sk.Z_532)"/>
    <x v="15"/>
    <x v="1"/>
    <n v="278.37580000000003"/>
    <n v="243.89649533820901"/>
  </r>
  <r>
    <s v="07"/>
    <s v="07"/>
    <s v="Klinika anesteziologie, resuscitace a intenzivní medicíny"/>
    <x v="6"/>
    <s v="0731"/>
    <s v="JIP"/>
    <s v="0731 - JIP"/>
    <s v="50115067     ostatní ZPr - rukavice (sk.Z_532)"/>
    <x v="15"/>
    <x v="2"/>
    <n v="227.25585000000001"/>
    <n v="290.99999083420499"/>
  </r>
  <r>
    <s v="07"/>
    <s v="07"/>
    <s v="Klinika anesteziologie, resuscitace a intenzivní medicíny"/>
    <x v="6"/>
    <s v="0731"/>
    <s v="JIP"/>
    <s v="0731 - JIP"/>
    <s v="50115068     ostatní ZPr - čidla (sk.Z_522)"/>
    <x v="46"/>
    <x v="1"/>
    <n v="116.39972"/>
    <n v="58"/>
  </r>
  <r>
    <s v="07"/>
    <s v="07"/>
    <s v="Klinika anesteziologie, resuscitace a intenzivní medicíny"/>
    <x v="6"/>
    <s v="0731"/>
    <s v="JIP"/>
    <s v="0731 - JIP"/>
    <s v="50115068     ostatní ZPr - čidla (sk.Z_522)"/>
    <x v="46"/>
    <x v="2"/>
    <n v="48.099000000000004"/>
    <n v="139.99999559033901"/>
  </r>
  <r>
    <s v="07"/>
    <s v="07"/>
    <s v="Klinika anesteziologie, resuscitace a intenzivní medicíny"/>
    <x v="6"/>
    <s v="0731"/>
    <s v="JIP"/>
    <s v="0731 - JIP"/>
    <s v="50115070     ostatní ZPr - katetry (sk.Z_513)"/>
    <x v="16"/>
    <x v="0"/>
    <n v="530.82396999999889"/>
    <n v="540.91401237870298"/>
  </r>
  <r>
    <s v="07"/>
    <s v="07"/>
    <s v="Klinika anesteziologie, resuscitace a intenzivní medicíny"/>
    <x v="6"/>
    <s v="0731"/>
    <s v="JIP"/>
    <s v="0731 - JIP"/>
    <s v="50115070     ostatní ZPr - katetry (sk.Z_513)"/>
    <x v="16"/>
    <x v="1"/>
    <n v="437.94179000000003"/>
    <n v="538.82152738279501"/>
  </r>
  <r>
    <s v="07"/>
    <s v="07"/>
    <s v="Klinika anesteziologie, resuscitace a intenzivní medicíny"/>
    <x v="6"/>
    <s v="0731"/>
    <s v="JIP"/>
    <s v="0731 - JIP"/>
    <s v="50115070     ostatní ZPr - katetry (sk.Z_513)"/>
    <x v="16"/>
    <x v="2"/>
    <n v="357.85093000000001"/>
    <n v="403.006270567537"/>
  </r>
  <r>
    <s v="07"/>
    <s v="07"/>
    <s v="Klinika anesteziologie, resuscitace a intenzivní medicíny"/>
    <x v="6"/>
    <s v="0731"/>
    <s v="JIP"/>
    <s v="0731 - JIP"/>
    <s v="50115079     ostatní ZPr - intenzivní péče (sk.Z_542)"/>
    <x v="18"/>
    <x v="2"/>
    <n v="505.89136999999999"/>
    <n v="0"/>
  </r>
  <r>
    <s v="07"/>
    <s v="07"/>
    <s v="Klinika anesteziologie, resuscitace a intenzivní medicíny"/>
    <x v="6"/>
    <s v="0762"/>
    <s v="operační sál - lok. prac. anesteziologů"/>
    <s v="0762 - operační sál - lok. prac. anesteziologů"/>
    <s v="50113     Léky a léčiva"/>
    <x v="2"/>
    <x v="0"/>
    <n v="4303.5318700000025"/>
    <n v="5073.2288259774195"/>
  </r>
  <r>
    <s v="07"/>
    <s v="07"/>
    <s v="Klinika anesteziologie, resuscitace a intenzivní medicíny"/>
    <x v="6"/>
    <s v="0762"/>
    <s v="operační sál - lok. prac. anesteziologů"/>
    <s v="0762 - operační sál - lok. prac. anesteziologů"/>
    <s v="50113     Léky a léčiva"/>
    <x v="2"/>
    <x v="1"/>
    <n v="3712.145050000001"/>
    <n v="4020.0162896655002"/>
  </r>
  <r>
    <s v="07"/>
    <s v="07"/>
    <s v="Klinika anesteziologie, resuscitace a intenzivní medicíny"/>
    <x v="6"/>
    <s v="0762"/>
    <s v="operační sál - lok. prac. anesteziologů"/>
    <s v="0762 - operační sál - lok. prac. anesteziologů"/>
    <s v="50113     Léky a léčiva"/>
    <x v="2"/>
    <x v="2"/>
    <n v="2636.9157000000009"/>
    <n v="3371.29426151895"/>
  </r>
  <r>
    <s v="07"/>
    <s v="07"/>
    <s v="Klinika anesteziologie, resuscitace a intenzivní medicíny"/>
    <x v="6"/>
    <s v="0762"/>
    <s v="operační sál - lok. prac. anesteziologů"/>
    <s v="0762 - operační sál - lok. prac. anesteziologů"/>
    <s v="50113001     léky - paušál+TISS (LEK)"/>
    <x v="3"/>
    <x v="0"/>
    <n v="3796.9736100000018"/>
    <n v="4386.0913170694203"/>
  </r>
  <r>
    <s v="07"/>
    <s v="07"/>
    <s v="Klinika anesteziologie, resuscitace a intenzivní medicíny"/>
    <x v="6"/>
    <s v="0762"/>
    <s v="operační sál - lok. prac. anesteziologů"/>
    <s v="0762 - operační sál - lok. prac. anesteziologů"/>
    <s v="50113001     léky - paušál+TISS (LEK)"/>
    <x v="3"/>
    <x v="1"/>
    <n v="3167.3264700000013"/>
    <n v="3556.9220327101102"/>
  </r>
  <r>
    <s v="07"/>
    <s v="07"/>
    <s v="Klinika anesteziologie, resuscitace a intenzivní medicíny"/>
    <x v="6"/>
    <s v="0762"/>
    <s v="operační sál - lok. prac. anesteziologů"/>
    <s v="0762 - operační sál - lok. prac. anesteziologů"/>
    <s v="50113001     léky - paušál+TISS (LEK)"/>
    <x v="3"/>
    <x v="2"/>
    <n v="2230.2697000000012"/>
    <n v="2843.8340005615701"/>
  </r>
  <r>
    <s v="07"/>
    <s v="07"/>
    <s v="Klinika anesteziologie, resuscitace a intenzivní medicíny"/>
    <x v="6"/>
    <s v="0762"/>
    <s v="operační sál - lok. prac. anesteziologů"/>
    <s v="0762 - operační sál - lok. prac. anesteziologů"/>
    <s v="50113006     léky - enterální výživa (LEK)"/>
    <x v="4"/>
    <x v="0"/>
    <n v="34.922699999999999"/>
    <n v="104.59386808824701"/>
  </r>
  <r>
    <s v="07"/>
    <s v="07"/>
    <s v="Klinika anesteziologie, resuscitace a intenzivní medicíny"/>
    <x v="6"/>
    <s v="0762"/>
    <s v="operační sál - lok. prac. anesteziologů"/>
    <s v="0762 - operační sál - lok. prac. anesteziologů"/>
    <s v="50113006     léky - enterální výživa (LEK)"/>
    <x v="4"/>
    <x v="1"/>
    <n v="0"/>
    <n v="11.870524967036999"/>
  </r>
  <r>
    <s v="07"/>
    <s v="07"/>
    <s v="Klinika anesteziologie, resuscitace a intenzivní medicíny"/>
    <x v="6"/>
    <s v="0762"/>
    <s v="operační sál - lok. prac. anesteziologů"/>
    <s v="0762 - operační sál - lok. prac. anesteziologů"/>
    <s v="50113190     medicinální plyny"/>
    <x v="9"/>
    <x v="0"/>
    <n v="471.63555999999892"/>
    <n v="582.54364081975598"/>
  </r>
  <r>
    <s v="07"/>
    <s v="07"/>
    <s v="Klinika anesteziologie, resuscitace a intenzivní medicíny"/>
    <x v="6"/>
    <s v="0762"/>
    <s v="operační sál - lok. prac. anesteziologů"/>
    <s v="0762 - operační sál - lok. prac. anesteziologů"/>
    <s v="50113190     medicinální plyny"/>
    <x v="9"/>
    <x v="1"/>
    <n v="544.81858"/>
    <n v="451.22373198835601"/>
  </r>
  <r>
    <s v="07"/>
    <s v="07"/>
    <s v="Klinika anesteziologie, resuscitace a intenzivní medicíny"/>
    <x v="6"/>
    <s v="0762"/>
    <s v="operační sál - lok. prac. anesteziologů"/>
    <s v="0762 - operační sál - lok. prac. anesteziologů"/>
    <s v="50113190     medicinální plyny"/>
    <x v="9"/>
    <x v="2"/>
    <n v="406.64600000000002"/>
    <n v="527.46026095737602"/>
  </r>
  <r>
    <s v="07"/>
    <s v="07"/>
    <s v="Klinika anesteziologie, resuscitace a intenzivní medicíny"/>
    <x v="6"/>
    <s v="0762"/>
    <s v="operační sál - lok. prac. anesteziologů"/>
    <s v="0762 - operační sál - lok. prac. anesteziologů"/>
    <s v="50115     Zdravotnické prostředky"/>
    <x v="0"/>
    <x v="0"/>
    <n v="1701.7043500000009"/>
    <n v="2026.36191123306"/>
  </r>
  <r>
    <s v="07"/>
    <s v="07"/>
    <s v="Klinika anesteziologie, resuscitace a intenzivní medicíny"/>
    <x v="6"/>
    <s v="0762"/>
    <s v="operační sál - lok. prac. anesteziologů"/>
    <s v="0762 - operační sál - lok. prac. anesteziologů"/>
    <s v="50115     Zdravotnické prostředky"/>
    <x v="0"/>
    <x v="1"/>
    <n v="2007.6255800000013"/>
    <n v="1984.2362910543"/>
  </r>
  <r>
    <s v="07"/>
    <s v="07"/>
    <s v="Klinika anesteziologie, resuscitace a intenzivní medicíny"/>
    <x v="6"/>
    <s v="0762"/>
    <s v="operační sál - lok. prac. anesteziologů"/>
    <s v="0762 - operační sál - lok. prac. anesteziologů"/>
    <s v="50115     Zdravotnické prostředky"/>
    <x v="0"/>
    <x v="2"/>
    <n v="1571.8747900000001"/>
    <n v="1857.84355208179"/>
  </r>
  <r>
    <s v="07"/>
    <s v="07"/>
    <s v="Klinika anesteziologie, resuscitace a intenzivní medicíny"/>
    <x v="6"/>
    <s v="0762"/>
    <s v="operační sál - lok. prac. anesteziologů"/>
    <s v="0762 - operační sál - lok. prac. anesteziologů"/>
    <s v="50115020     diagnostika laboratorní-LEK (sk.Z_501)"/>
    <x v="10"/>
    <x v="0"/>
    <n v="6.0807599999990005"/>
    <n v="6.4297133680260004"/>
  </r>
  <r>
    <s v="07"/>
    <s v="07"/>
    <s v="Klinika anesteziologie, resuscitace a intenzivní medicíny"/>
    <x v="6"/>
    <s v="0762"/>
    <s v="operační sál - lok. prac. anesteziologů"/>
    <s v="0762 - operační sál - lok. prac. anesteziologů"/>
    <s v="50115020     diagnostika laboratorní-LEK (sk.Z_501)"/>
    <x v="10"/>
    <x v="1"/>
    <n v="5.7934799999999997"/>
    <n v="6.0807535595509998"/>
  </r>
  <r>
    <s v="07"/>
    <s v="07"/>
    <s v="Klinika anesteziologie, resuscitace a intenzivní medicíny"/>
    <x v="6"/>
    <s v="0762"/>
    <s v="operační sál - lok. prac. anesteziologů"/>
    <s v="0762 - operační sál - lok. prac. anesteziologů"/>
    <s v="50115020     diagnostika laboratorní-LEK (sk.Z_501)"/>
    <x v="10"/>
    <x v="2"/>
    <n v="5.9939900000000002"/>
    <n v="3.7713006705719998"/>
  </r>
  <r>
    <s v="07"/>
    <s v="07"/>
    <s v="Klinika anesteziologie, resuscitace a intenzivní medicíny"/>
    <x v="6"/>
    <s v="0762"/>
    <s v="operační sál - lok. prac. anesteziologů"/>
    <s v="0762 - operační sál - lok. prac. anesteziologů"/>
    <s v="50115050     obvazový materiál (sk.Z_502)"/>
    <x v="12"/>
    <x v="0"/>
    <n v="104.74230999999899"/>
    <n v="116.20495489869801"/>
  </r>
  <r>
    <s v="07"/>
    <s v="07"/>
    <s v="Klinika anesteziologie, resuscitace a intenzivní medicíny"/>
    <x v="6"/>
    <s v="0762"/>
    <s v="operační sál - lok. prac. anesteziologů"/>
    <s v="0762 - operační sál - lok. prac. anesteziologů"/>
    <s v="50115050     obvazový materiál (sk.Z_502)"/>
    <x v="12"/>
    <x v="1"/>
    <n v="122.94544000000002"/>
    <n v="154.99994669447099"/>
  </r>
  <r>
    <s v="07"/>
    <s v="07"/>
    <s v="Klinika anesteziologie, resuscitace a intenzivní medicíny"/>
    <x v="6"/>
    <s v="0762"/>
    <s v="operační sál - lok. prac. anesteziologů"/>
    <s v="0762 - operační sál - lok. prac. anesteziologů"/>
    <s v="50115050     obvazový materiál (sk.Z_502)"/>
    <x v="12"/>
    <x v="2"/>
    <n v="100.64651000000001"/>
    <n v="110.126942741972"/>
  </r>
  <r>
    <s v="07"/>
    <s v="07"/>
    <s v="Klinika anesteziologie, resuscitace a intenzivní medicíny"/>
    <x v="6"/>
    <s v="0762"/>
    <s v="operační sál - lok. prac. anesteziologů"/>
    <s v="0762 - operační sál - lok. prac. anesteziologů"/>
    <s v="50115060     ostatní ZPr - mimo níže uvedené (sk.Z_503)"/>
    <x v="1"/>
    <x v="0"/>
    <n v="1359.633700000001"/>
    <n v="1532.0853259066901"/>
  </r>
  <r>
    <s v="07"/>
    <s v="07"/>
    <s v="Klinika anesteziologie, resuscitace a intenzivní medicíny"/>
    <x v="6"/>
    <s v="0762"/>
    <s v="operační sál - lok. prac. anesteziologů"/>
    <s v="0762 - operační sál - lok. prac. anesteziologů"/>
    <s v="50115060     ostatní ZPr - mimo níže uvedené (sk.Z_503)"/>
    <x v="1"/>
    <x v="1"/>
    <n v="1598.6563100000008"/>
    <n v="1584.99227313642"/>
  </r>
  <r>
    <s v="07"/>
    <s v="07"/>
    <s v="Klinika anesteziologie, resuscitace a intenzivní medicíny"/>
    <x v="6"/>
    <s v="0762"/>
    <s v="operační sál - lok. prac. anesteziologů"/>
    <s v="0762 - operační sál - lok. prac. anesteziologů"/>
    <s v="50115060     ostatní ZPr - mimo níže uvedené (sk.Z_503)"/>
    <x v="1"/>
    <x v="2"/>
    <n v="951.26112000000001"/>
    <n v="1468.48962444989"/>
  </r>
  <r>
    <s v="07"/>
    <s v="07"/>
    <s v="Klinika anesteziologie, resuscitace a intenzivní medicíny"/>
    <x v="6"/>
    <s v="0762"/>
    <s v="operační sál - lok. prac. anesteziologů"/>
    <s v="0762 - operační sál - lok. prac. anesteziologů"/>
    <s v="50115063     ostatní ZPr - vaky, sety (sk.Z_528)"/>
    <x v="13"/>
    <x v="0"/>
    <n v="76.534699999998992"/>
    <n v="148.20158002217099"/>
  </r>
  <r>
    <s v="07"/>
    <s v="07"/>
    <s v="Klinika anesteziologie, resuscitace a intenzivní medicíny"/>
    <x v="6"/>
    <s v="0762"/>
    <s v="operační sál - lok. prac. anesteziologů"/>
    <s v="0762 - operační sál - lok. prac. anesteziologů"/>
    <s v="50115063     ostatní ZPr - vaky, sety (sk.Z_528)"/>
    <x v="13"/>
    <x v="1"/>
    <n v="92.920579999999987"/>
    <n v="79.975254868877997"/>
  </r>
  <r>
    <s v="07"/>
    <s v="07"/>
    <s v="Klinika anesteziologie, resuscitace a intenzivní medicíny"/>
    <x v="6"/>
    <s v="0762"/>
    <s v="operační sál - lok. prac. anesteziologů"/>
    <s v="0762 - operační sál - lok. prac. anesteziologů"/>
    <s v="50115063     ostatní ZPr - vaky, sety (sk.Z_528)"/>
    <x v="13"/>
    <x v="2"/>
    <n v="70.956270000000004"/>
    <n v="92.897222599420999"/>
  </r>
  <r>
    <s v="07"/>
    <s v="07"/>
    <s v="Klinika anesteziologie, resuscitace a intenzivní medicíny"/>
    <x v="6"/>
    <s v="0762"/>
    <s v="operační sál - lok. prac. anesteziologů"/>
    <s v="0762 - operační sál - lok. prac. anesteziologů"/>
    <s v="50115065     ostatní ZPr - vpichovací materiál (sk.Z_530)"/>
    <x v="14"/>
    <x v="0"/>
    <n v="110.23486999999901"/>
    <n v="171.97473327426701"/>
  </r>
  <r>
    <s v="07"/>
    <s v="07"/>
    <s v="Klinika anesteziologie, resuscitace a intenzivní medicíny"/>
    <x v="6"/>
    <s v="0762"/>
    <s v="operační sál - lok. prac. anesteziologů"/>
    <s v="0762 - operační sál - lok. prac. anesteziologů"/>
    <s v="50115065     ostatní ZPr - vpichovací materiál (sk.Z_530)"/>
    <x v="14"/>
    <x v="1"/>
    <n v="123.35040000000001"/>
    <n v="113.08066754220199"/>
  </r>
  <r>
    <s v="07"/>
    <s v="07"/>
    <s v="Klinika anesteziologie, resuscitace a intenzivní medicíny"/>
    <x v="6"/>
    <s v="0762"/>
    <s v="operační sál - lok. prac. anesteziologů"/>
    <s v="0762 - operační sál - lok. prac. anesteziologů"/>
    <s v="50115065     ostatní ZPr - vpichovací materiál (sk.Z_530)"/>
    <x v="14"/>
    <x v="2"/>
    <n v="121.17306000000001"/>
    <n v="119.020674470519"/>
  </r>
  <r>
    <s v="07"/>
    <s v="07"/>
    <s v="Klinika anesteziologie, resuscitace a intenzivní medicíny"/>
    <x v="6"/>
    <s v="0762"/>
    <s v="operační sál - lok. prac. anesteziologů"/>
    <s v="0762 - operační sál - lok. prac. anesteziologů"/>
    <s v="50115067     ostatní ZPr - rukavice (sk.Z_532)"/>
    <x v="15"/>
    <x v="0"/>
    <n v="44.478010000000005"/>
    <n v="42.914154417351"/>
  </r>
  <r>
    <s v="07"/>
    <s v="07"/>
    <s v="Klinika anesteziologie, resuscitace a intenzivní medicíny"/>
    <x v="6"/>
    <s v="0762"/>
    <s v="operační sál - lok. prac. anesteziologů"/>
    <s v="0762 - operační sál - lok. prac. anesteziologů"/>
    <s v="50115067     ostatní ZPr - rukavice (sk.Z_532)"/>
    <x v="15"/>
    <x v="1"/>
    <n v="63.959370000000007"/>
    <n v="45.107395252773003"/>
  </r>
  <r>
    <s v="07"/>
    <s v="07"/>
    <s v="Klinika anesteziologie, resuscitace a intenzivní medicíny"/>
    <x v="6"/>
    <s v="0762"/>
    <s v="operační sál - lok. prac. anesteziologů"/>
    <s v="0762 - operační sál - lok. prac. anesteziologů"/>
    <s v="50115067     ostatní ZPr - rukavice (sk.Z_532)"/>
    <x v="15"/>
    <x v="2"/>
    <n v="51.081520000000005"/>
    <n v="63.537787149411997"/>
  </r>
  <r>
    <s v="07"/>
    <s v="07"/>
    <s v="Klinika anesteziologie, resuscitace a intenzivní medicíny"/>
    <x v="6"/>
    <s v="0762"/>
    <s v="operační sál - lok. prac. anesteziologů"/>
    <s v="0762 - operační sál - lok. prac. anesteziologů"/>
    <s v="50115070     ostatní ZPr - katetry (sk.Z_513)"/>
    <x v="16"/>
    <x v="0"/>
    <n v="0"/>
    <n v="8.5514493458620002"/>
  </r>
  <r>
    <s v="07"/>
    <s v="07"/>
    <s v="Klinika anesteziologie, resuscitace a intenzivní medicíny"/>
    <x v="6"/>
    <s v="0762"/>
    <s v="operační sál - lok. prac. anesteziologů"/>
    <s v="0762 - operační sál - lok. prac. anesteziologů"/>
    <s v="50115079     ostatní ZPr - intenzivní péče (sk.Z_542)"/>
    <x v="18"/>
    <x v="2"/>
    <n v="270.76231999999999"/>
    <n v="0"/>
  </r>
  <r>
    <s v="07"/>
    <s v="07"/>
    <s v="Klinika anesteziologie, resuscitace a intenzivní medicíny"/>
    <x v="6"/>
    <s v="0764"/>
    <s v="pracoviště COS"/>
    <s v="0764 - pracoviště COS"/>
    <s v="50113     Léky a léčiva"/>
    <x v="2"/>
    <x v="0"/>
    <n v="3365.3364900000033"/>
    <n v="3465.0689544748302"/>
  </r>
  <r>
    <s v="07"/>
    <s v="07"/>
    <s v="Klinika anesteziologie, resuscitace a intenzivní medicíny"/>
    <x v="6"/>
    <s v="0764"/>
    <s v="pracoviště COS"/>
    <s v="0764 - pracoviště COS"/>
    <s v="50113     Léky a léčiva"/>
    <x v="2"/>
    <x v="1"/>
    <n v="2961.9742400000009"/>
    <n v="3313.17543524857"/>
  </r>
  <r>
    <s v="07"/>
    <s v="07"/>
    <s v="Klinika anesteziologie, resuscitace a intenzivní medicíny"/>
    <x v="6"/>
    <s v="0764"/>
    <s v="pracoviště COS"/>
    <s v="0764 - pracoviště COS"/>
    <s v="50113     Léky a léčiva"/>
    <x v="2"/>
    <x v="2"/>
    <n v="2095.2627100000013"/>
    <n v="2541.7152801155398"/>
  </r>
  <r>
    <s v="07"/>
    <s v="07"/>
    <s v="Klinika anesteziologie, resuscitace a intenzivní medicíny"/>
    <x v="6"/>
    <s v="0764"/>
    <s v="pracoviště COS"/>
    <s v="0764 - pracoviště COS"/>
    <s v="50113001     léky - paušál+TISS (LEK)"/>
    <x v="3"/>
    <x v="0"/>
    <n v="3287.1140300000034"/>
    <n v="3315.9871622035898"/>
  </r>
  <r>
    <s v="07"/>
    <s v="07"/>
    <s v="Klinika anesteziologie, resuscitace a intenzivní medicíny"/>
    <x v="6"/>
    <s v="0764"/>
    <s v="pracoviště COS"/>
    <s v="0764 - pracoviště COS"/>
    <s v="50113001     léky - paušál+TISS (LEK)"/>
    <x v="3"/>
    <x v="1"/>
    <n v="2954.2810200000013"/>
    <n v="3287.06984076667"/>
  </r>
  <r>
    <s v="07"/>
    <s v="07"/>
    <s v="Klinika anesteziologie, resuscitace a intenzivní medicíny"/>
    <x v="6"/>
    <s v="0764"/>
    <s v="pracoviště COS"/>
    <s v="0764 - pracoviště COS"/>
    <s v="50113001     léky - paušál+TISS (LEK)"/>
    <x v="3"/>
    <x v="2"/>
    <n v="2093.5908400000012"/>
    <n v="2523.11621411751"/>
  </r>
  <r>
    <s v="07"/>
    <s v="07"/>
    <s v="Klinika anesteziologie, resuscitace a intenzivní medicíny"/>
    <x v="6"/>
    <s v="0764"/>
    <s v="pracoviště COS"/>
    <s v="0764 - pracoviště COS"/>
    <s v="50113002     léky - parenterální výživa (LEK)"/>
    <x v="17"/>
    <x v="2"/>
    <n v="1.67187"/>
    <n v="2"/>
  </r>
  <r>
    <s v="07"/>
    <s v="07"/>
    <s v="Klinika anesteziologie, resuscitace a intenzivní medicíny"/>
    <x v="6"/>
    <s v="0764"/>
    <s v="pracoviště COS"/>
    <s v="0764 - pracoviště COS"/>
    <s v="50113006     léky - enterální výživa (LEK)"/>
    <x v="4"/>
    <x v="0"/>
    <n v="78.222460000000012"/>
    <n v="149.08179227123799"/>
  </r>
  <r>
    <s v="07"/>
    <s v="07"/>
    <s v="Klinika anesteziologie, resuscitace a intenzivní medicíny"/>
    <x v="6"/>
    <s v="0764"/>
    <s v="pracoviště COS"/>
    <s v="0764 - pracoviště COS"/>
    <s v="50113006     léky - enterální výživa (LEK)"/>
    <x v="4"/>
    <x v="1"/>
    <n v="3.4957199999999999"/>
    <n v="26.105594481899999"/>
  </r>
  <r>
    <s v="07"/>
    <s v="07"/>
    <s v="Klinika anesteziologie, resuscitace a intenzivní medicíny"/>
    <x v="6"/>
    <s v="0764"/>
    <s v="pracoviště COS"/>
    <s v="0764 - pracoviště COS"/>
    <s v="50113006     léky - enterální výživa (LEK)"/>
    <x v="4"/>
    <x v="2"/>
    <n v="0"/>
    <n v="8"/>
  </r>
  <r>
    <s v="07"/>
    <s v="07"/>
    <s v="Klinika anesteziologie, resuscitace a intenzivní medicíny"/>
    <x v="6"/>
    <s v="0764"/>
    <s v="pracoviště COS"/>
    <s v="0764 - pracoviště COS"/>
    <s v="50113190     medicinální plyny"/>
    <x v="9"/>
    <x v="1"/>
    <n v="4.1974999999999998"/>
    <n v="0"/>
  </r>
  <r>
    <s v="07"/>
    <s v="07"/>
    <s v="Klinika anesteziologie, resuscitace a intenzivní medicíny"/>
    <x v="6"/>
    <s v="0764"/>
    <s v="pracoviště COS"/>
    <s v="0764 - pracoviště COS"/>
    <s v="50113190     medicinální plyny"/>
    <x v="9"/>
    <x v="2"/>
    <n v="0"/>
    <n v="8.5990659980319997"/>
  </r>
  <r>
    <s v="07"/>
    <s v="07"/>
    <s v="Klinika anesteziologie, resuscitace a intenzivní medicíny"/>
    <x v="6"/>
    <s v="0764"/>
    <s v="pracoviště COS"/>
    <s v="0764 - pracoviště COS"/>
    <s v="50115     Zdravotnické prostředky"/>
    <x v="0"/>
    <x v="0"/>
    <n v="2293.943060000001"/>
    <n v="3067.9160025030501"/>
  </r>
  <r>
    <s v="07"/>
    <s v="07"/>
    <s v="Klinika anesteziologie, resuscitace a intenzivní medicíny"/>
    <x v="6"/>
    <s v="0764"/>
    <s v="pracoviště COS"/>
    <s v="0764 - pracoviště COS"/>
    <s v="50115     Zdravotnické prostředky"/>
    <x v="0"/>
    <x v="1"/>
    <n v="2179.6517900000008"/>
    <n v="2265.4277235223899"/>
  </r>
  <r>
    <s v="07"/>
    <s v="07"/>
    <s v="Klinika anesteziologie, resuscitace a intenzivní medicíny"/>
    <x v="6"/>
    <s v="0764"/>
    <s v="pracoviště COS"/>
    <s v="0764 - pracoviště COS"/>
    <s v="50115     Zdravotnické prostředky"/>
    <x v="0"/>
    <x v="2"/>
    <n v="1830.5128399999999"/>
    <n v="2195.9461370753202"/>
  </r>
  <r>
    <s v="07"/>
    <s v="07"/>
    <s v="Klinika anesteziologie, resuscitace a intenzivní medicíny"/>
    <x v="6"/>
    <s v="0764"/>
    <s v="pracoviště COS"/>
    <s v="0764 - pracoviště COS"/>
    <s v="50115020     diagnostika laboratorní-LEK (sk.Z_501)"/>
    <x v="10"/>
    <x v="0"/>
    <n v="5.3360999999990009"/>
    <n v="182.827786029929"/>
  </r>
  <r>
    <s v="07"/>
    <s v="07"/>
    <s v="Klinika anesteziologie, resuscitace a intenzivní medicíny"/>
    <x v="6"/>
    <s v="0764"/>
    <s v="pracoviště COS"/>
    <s v="0764 - pracoviště COS"/>
    <s v="50115020     diagnostika laboratorní-LEK (sk.Z_501)"/>
    <x v="10"/>
    <x v="1"/>
    <n v="3.9639600000000002"/>
    <n v="5.3360943482590004"/>
  </r>
  <r>
    <s v="07"/>
    <s v="07"/>
    <s v="Klinika anesteziologie, resuscitace a intenzivní medicíny"/>
    <x v="6"/>
    <s v="0764"/>
    <s v="pracoviště COS"/>
    <s v="0764 - pracoviště COS"/>
    <s v="50115020     diagnostika laboratorní-LEK (sk.Z_501)"/>
    <x v="10"/>
    <x v="2"/>
    <n v="5.2368800000000002"/>
    <n v="5.1426827325979998"/>
  </r>
  <r>
    <s v="07"/>
    <s v="07"/>
    <s v="Klinika anesteziologie, resuscitace a intenzivní medicíny"/>
    <x v="6"/>
    <s v="0764"/>
    <s v="pracoviště COS"/>
    <s v="0764 - pracoviště COS"/>
    <s v="50115050     obvazový materiál (sk.Z_502)"/>
    <x v="12"/>
    <x v="0"/>
    <n v="173.23000999999999"/>
    <n v="196.25068724991499"/>
  </r>
  <r>
    <s v="07"/>
    <s v="07"/>
    <s v="Klinika anesteziologie, resuscitace a intenzivní medicíny"/>
    <x v="6"/>
    <s v="0764"/>
    <s v="pracoviště COS"/>
    <s v="0764 - pracoviště COS"/>
    <s v="50115050     obvazový materiál (sk.Z_502)"/>
    <x v="12"/>
    <x v="1"/>
    <n v="155.01304999999999"/>
    <n v="173.62394395774001"/>
  </r>
  <r>
    <s v="07"/>
    <s v="07"/>
    <s v="Klinika anesteziologie, resuscitace a intenzivní medicíny"/>
    <x v="6"/>
    <s v="0764"/>
    <s v="pracoviště COS"/>
    <s v="0764 - pracoviště COS"/>
    <s v="50115050     obvazový materiál (sk.Z_502)"/>
    <x v="12"/>
    <x v="2"/>
    <n v="110.88491"/>
    <n v="135.31371315255899"/>
  </r>
  <r>
    <s v="07"/>
    <s v="07"/>
    <s v="Klinika anesteziologie, resuscitace a intenzivní medicíny"/>
    <x v="6"/>
    <s v="0764"/>
    <s v="pracoviště COS"/>
    <s v="0764 - pracoviště COS"/>
    <s v="50115060     ostatní ZPr - mimo níže uvedené (sk.Z_503)"/>
    <x v="1"/>
    <x v="0"/>
    <n v="1715.1322300000011"/>
    <n v="2087.1482447293301"/>
  </r>
  <r>
    <s v="07"/>
    <s v="07"/>
    <s v="Klinika anesteziologie, resuscitace a intenzivní medicíny"/>
    <x v="6"/>
    <s v="0764"/>
    <s v="pracoviště COS"/>
    <s v="0764 - pracoviště COS"/>
    <s v="50115060     ostatní ZPr - mimo níže uvedené (sk.Z_503)"/>
    <x v="1"/>
    <x v="1"/>
    <n v="1687.4441000000011"/>
    <n v="1687.1212270552001"/>
  </r>
  <r>
    <s v="07"/>
    <s v="07"/>
    <s v="Klinika anesteziologie, resuscitace a intenzivní medicíny"/>
    <x v="6"/>
    <s v="0764"/>
    <s v="pracoviště COS"/>
    <s v="0764 - pracoviště COS"/>
    <s v="50115060     ostatní ZPr - mimo níže uvedené (sk.Z_503)"/>
    <x v="1"/>
    <x v="2"/>
    <n v="998.87934000000007"/>
    <n v="1722.6662302541199"/>
  </r>
  <r>
    <s v="07"/>
    <s v="07"/>
    <s v="Klinika anesteziologie, resuscitace a intenzivní medicíny"/>
    <x v="6"/>
    <s v="0764"/>
    <s v="pracoviště COS"/>
    <s v="0764 - pracoviště COS"/>
    <s v="50115063     ostatní ZPr - vaky, sety (sk.Z_528)"/>
    <x v="13"/>
    <x v="0"/>
    <n v="111.06214999999899"/>
    <n v="216.602309263172"/>
  </r>
  <r>
    <s v="07"/>
    <s v="07"/>
    <s v="Klinika anesteziologie, resuscitace a intenzivní medicíny"/>
    <x v="6"/>
    <s v="0764"/>
    <s v="pracoviště COS"/>
    <s v="0764 - pracoviště COS"/>
    <s v="50115063     ostatní ZPr - vaky, sety (sk.Z_528)"/>
    <x v="13"/>
    <x v="1"/>
    <n v="102.56277999999999"/>
    <n v="108.79918914606"/>
  </r>
  <r>
    <s v="07"/>
    <s v="07"/>
    <s v="Klinika anesteziologie, resuscitace a intenzivní medicíny"/>
    <x v="6"/>
    <s v="0764"/>
    <s v="pracoviště COS"/>
    <s v="0764 - pracoviště COS"/>
    <s v="50115063     ostatní ZPr - vaky, sety (sk.Z_528)"/>
    <x v="13"/>
    <x v="2"/>
    <n v="78.182019999999994"/>
    <n v="106.973261774299"/>
  </r>
  <r>
    <s v="07"/>
    <s v="07"/>
    <s v="Klinika anesteziologie, resuscitace a intenzivní medicíny"/>
    <x v="6"/>
    <s v="0764"/>
    <s v="pracoviště COS"/>
    <s v="0764 - pracoviště COS"/>
    <s v="50115064     ostatní ZPr - šicí materiál (sk.Z_529)"/>
    <x v="21"/>
    <x v="0"/>
    <n v="28.880260000000003"/>
    <n v="30.40075927729"/>
  </r>
  <r>
    <s v="07"/>
    <s v="07"/>
    <s v="Klinika anesteziologie, resuscitace a intenzivní medicíny"/>
    <x v="6"/>
    <s v="0764"/>
    <s v="pracoviště COS"/>
    <s v="0764 - pracoviště COS"/>
    <s v="50115064     ostatní ZPr - šicí materiál (sk.Z_529)"/>
    <x v="21"/>
    <x v="1"/>
    <n v="30.136000000000003"/>
    <n v="31.314744701618"/>
  </r>
  <r>
    <s v="07"/>
    <s v="07"/>
    <s v="Klinika anesteziologie, resuscitace a intenzivní medicíny"/>
    <x v="6"/>
    <s v="0764"/>
    <s v="pracoviště COS"/>
    <s v="0764 - pracoviště COS"/>
    <s v="50115064     ostatní ZPr - šicí materiál (sk.Z_529)"/>
    <x v="21"/>
    <x v="2"/>
    <n v="25.977279999999997"/>
    <n v="31.744467069432002"/>
  </r>
  <r>
    <s v="07"/>
    <s v="07"/>
    <s v="Klinika anesteziologie, resuscitace a intenzivní medicíny"/>
    <x v="6"/>
    <s v="0764"/>
    <s v="pracoviště COS"/>
    <s v="0764 - pracoviště COS"/>
    <s v="50115065     ostatní ZPr - vpichovací materiál (sk.Z_530)"/>
    <x v="14"/>
    <x v="0"/>
    <n v="125.92977"/>
    <n v="177.67555442166099"/>
  </r>
  <r>
    <s v="07"/>
    <s v="07"/>
    <s v="Klinika anesteziologie, resuscitace a intenzivní medicíny"/>
    <x v="6"/>
    <s v="0764"/>
    <s v="pracoviště COS"/>
    <s v="0764 - pracoviště COS"/>
    <s v="50115065     ostatní ZPr - vpichovací materiál (sk.Z_530)"/>
    <x v="14"/>
    <x v="1"/>
    <n v="74.350100000000012"/>
    <n v="124.180746090689"/>
  </r>
  <r>
    <s v="07"/>
    <s v="07"/>
    <s v="Klinika anesteziologie, resuscitace a intenzivní medicíny"/>
    <x v="6"/>
    <s v="0764"/>
    <s v="pracoviště COS"/>
    <s v="0764 - pracoviště COS"/>
    <s v="50115065     ostatní ZPr - vpichovací materiál (sk.Z_530)"/>
    <x v="14"/>
    <x v="2"/>
    <n v="101.24374"/>
    <n v="68.158006041914007"/>
  </r>
  <r>
    <s v="07"/>
    <s v="07"/>
    <s v="Klinika anesteziologie, resuscitace a intenzivní medicíny"/>
    <x v="6"/>
    <s v="0764"/>
    <s v="pracoviště COS"/>
    <s v="0764 - pracoviště COS"/>
    <s v="50115067     ostatní ZPr - rukavice (sk.Z_532)"/>
    <x v="15"/>
    <x v="0"/>
    <n v="48.029739999999002"/>
    <n v="48.060685220084999"/>
  </r>
  <r>
    <s v="07"/>
    <s v="07"/>
    <s v="Klinika anesteziologie, resuscitace a intenzivní medicíny"/>
    <x v="6"/>
    <s v="0764"/>
    <s v="pracoviště COS"/>
    <s v="0764 - pracoviště COS"/>
    <s v="50115067     ostatní ZPr - rukavice (sk.Z_532)"/>
    <x v="15"/>
    <x v="1"/>
    <n v="51.632300000000008"/>
    <n v="48.709383942039999"/>
  </r>
  <r>
    <s v="07"/>
    <s v="07"/>
    <s v="Klinika anesteziologie, resuscitace a intenzivní medicíny"/>
    <x v="6"/>
    <s v="0764"/>
    <s v="pracoviště COS"/>
    <s v="0764 - pracoviště COS"/>
    <s v="50115067     ostatní ZPr - rukavice (sk.Z_532)"/>
    <x v="15"/>
    <x v="2"/>
    <n v="44.688209999999991"/>
    <n v="51.954061642272002"/>
  </r>
  <r>
    <s v="07"/>
    <s v="07"/>
    <s v="Klinika anesteziologie, resuscitace a intenzivní medicíny"/>
    <x v="6"/>
    <s v="0764"/>
    <s v="pracoviště COS"/>
    <s v="0764 - pracoviště COS"/>
    <s v="50115070     ostatní ZPr - katetry (sk.Z_513)"/>
    <x v="16"/>
    <x v="0"/>
    <n v="86.342799999999997"/>
    <n v="128.94997631166299"/>
  </r>
  <r>
    <s v="07"/>
    <s v="07"/>
    <s v="Klinika anesteziologie, resuscitace a intenzivní medicíny"/>
    <x v="6"/>
    <s v="0764"/>
    <s v="pracoviště COS"/>
    <s v="0764 - pracoviště COS"/>
    <s v="50115070     ostatní ZPr - katetry (sk.Z_513)"/>
    <x v="16"/>
    <x v="1"/>
    <n v="74.549499999999995"/>
    <n v="86.342394280780994"/>
  </r>
  <r>
    <s v="07"/>
    <s v="07"/>
    <s v="Klinika anesteziologie, resuscitace a intenzivní medicíny"/>
    <x v="6"/>
    <s v="0764"/>
    <s v="pracoviště COS"/>
    <s v="0764 - pracoviště COS"/>
    <s v="50115070     ostatní ZPr - katetry (sk.Z_513)"/>
    <x v="16"/>
    <x v="2"/>
    <n v="66.660290000000003"/>
    <n v="73.993714408119004"/>
  </r>
  <r>
    <s v="07"/>
    <s v="07"/>
    <s v="Klinika anesteziologie, resuscitace a intenzivní medicíny"/>
    <x v="6"/>
    <s v="0764"/>
    <s v="pracoviště COS"/>
    <s v="0764 - pracoviště COS"/>
    <s v="50115079     ostatní ZPr - intenzivní péče (sk.Z_542)"/>
    <x v="18"/>
    <x v="2"/>
    <n v="398.76016999999996"/>
    <n v="0"/>
  </r>
  <r>
    <s v="07"/>
    <s v="07"/>
    <s v="Klinika anesteziologie, resuscitace a intenzivní medicíny"/>
    <x v="6"/>
    <s v="0765"/>
    <s v="dospávací hala KAR"/>
    <s v="0765 - dospávací hala KAR"/>
    <s v="50113     Léky a léčiva"/>
    <x v="2"/>
    <x v="0"/>
    <n v="156.10486999999898"/>
    <n v="183.51083876540901"/>
  </r>
  <r>
    <s v="07"/>
    <s v="07"/>
    <s v="Klinika anesteziologie, resuscitace a intenzivní medicíny"/>
    <x v="6"/>
    <s v="0765"/>
    <s v="dospávací hala KAR"/>
    <s v="0765 - dospávací hala KAR"/>
    <s v="50113     Léky a léčiva"/>
    <x v="2"/>
    <x v="1"/>
    <n v="140.34469999999999"/>
    <n v="156.07072912150301"/>
  </r>
  <r>
    <s v="07"/>
    <s v="07"/>
    <s v="Klinika anesteziologie, resuscitace a intenzivní medicíny"/>
    <x v="6"/>
    <s v="0765"/>
    <s v="dospávací hala KAR"/>
    <s v="0765 - dospávací hala KAR"/>
    <s v="50113     Léky a léčiva"/>
    <x v="2"/>
    <x v="2"/>
    <n v="129.22825"/>
    <n v="138.00830594024799"/>
  </r>
  <r>
    <s v="07"/>
    <s v="07"/>
    <s v="Klinika anesteziologie, resuscitace a intenzivní medicíny"/>
    <x v="6"/>
    <s v="0765"/>
    <s v="dospávací hala KAR"/>
    <s v="0765 - dospávací hala KAR"/>
    <s v="50113001     léky - paušál+TISS (LEK)"/>
    <x v="3"/>
    <x v="0"/>
    <n v="155.36426999999898"/>
    <n v="177.169606698411"/>
  </r>
  <r>
    <s v="07"/>
    <s v="07"/>
    <s v="Klinika anesteziologie, resuscitace a intenzivní medicíny"/>
    <x v="6"/>
    <s v="0765"/>
    <s v="dospávací hala KAR"/>
    <s v="0765 - dospávací hala KAR"/>
    <s v="50113001     léky - paušál+TISS (LEK)"/>
    <x v="3"/>
    <x v="1"/>
    <n v="140.34469999999999"/>
    <n v="155.362181411677"/>
  </r>
  <r>
    <s v="07"/>
    <s v="07"/>
    <s v="Klinika anesteziologie, resuscitace a intenzivní medicíny"/>
    <x v="6"/>
    <s v="0765"/>
    <s v="dospávací hala KAR"/>
    <s v="0765 - dospávací hala KAR"/>
    <s v="50113001     léky - paušál+TISS (LEK)"/>
    <x v="3"/>
    <x v="2"/>
    <n v="126.74424999999999"/>
    <n v="138.00830594024799"/>
  </r>
  <r>
    <s v="07"/>
    <s v="07"/>
    <s v="Klinika anesteziologie, resuscitace a intenzivní medicíny"/>
    <x v="6"/>
    <s v="0765"/>
    <s v="dospávací hala KAR"/>
    <s v="0765 - dospávací hala KAR"/>
    <s v="50113006     léky - enterální výživa (LEK)"/>
    <x v="4"/>
    <x v="0"/>
    <n v="0"/>
    <n v="4.0475538805060003"/>
  </r>
  <r>
    <s v="07"/>
    <s v="07"/>
    <s v="Klinika anesteziologie, resuscitace a intenzivní medicíny"/>
    <x v="6"/>
    <s v="0765"/>
    <s v="dospávací hala KAR"/>
    <s v="0765 - dospávací hala KAR"/>
    <s v="50113190     medicinální plyny"/>
    <x v="9"/>
    <x v="0"/>
    <n v="0.74060000000000004"/>
    <n v="2.2936781864909999"/>
  </r>
  <r>
    <s v="07"/>
    <s v="07"/>
    <s v="Klinika anesteziologie, resuscitace a intenzivní medicíny"/>
    <x v="6"/>
    <s v="0765"/>
    <s v="dospávací hala KAR"/>
    <s v="0765 - dospávací hala KAR"/>
    <s v="50113190     medicinální plyny"/>
    <x v="9"/>
    <x v="1"/>
    <n v="0"/>
    <n v="0.70854770982600002"/>
  </r>
  <r>
    <s v="07"/>
    <s v="07"/>
    <s v="Klinika anesteziologie, resuscitace a intenzivní medicíny"/>
    <x v="6"/>
    <s v="0765"/>
    <s v="dospávací hala KAR"/>
    <s v="0765 - dospávací hala KAR"/>
    <s v="50113190     medicinální plyny"/>
    <x v="9"/>
    <x v="2"/>
    <n v="2.484"/>
    <n v="0"/>
  </r>
  <r>
    <s v="07"/>
    <s v="07"/>
    <s v="Klinika anesteziologie, resuscitace a intenzivní medicíny"/>
    <x v="6"/>
    <s v="0765"/>
    <s v="dospávací hala KAR"/>
    <s v="0765 - dospávací hala KAR"/>
    <s v="50115     Zdravotnické prostředky"/>
    <x v="0"/>
    <x v="0"/>
    <n v="69.241019999998997"/>
    <n v="94.471287685237996"/>
  </r>
  <r>
    <s v="07"/>
    <s v="07"/>
    <s v="Klinika anesteziologie, resuscitace a intenzivní medicíny"/>
    <x v="6"/>
    <s v="0765"/>
    <s v="dospávací hala KAR"/>
    <s v="0765 - dospávací hala KAR"/>
    <s v="50115     Zdravotnické prostředky"/>
    <x v="0"/>
    <x v="1"/>
    <n v="64.953519999999997"/>
    <n v="69.422489897437003"/>
  </r>
  <r>
    <s v="07"/>
    <s v="07"/>
    <s v="Klinika anesteziologie, resuscitace a intenzivní medicíny"/>
    <x v="6"/>
    <s v="0765"/>
    <s v="dospávací hala KAR"/>
    <s v="0765 - dospávací hala KAR"/>
    <s v="50115     Zdravotnické prostředky"/>
    <x v="0"/>
    <x v="2"/>
    <n v="50.060829999999996"/>
    <n v="64.847821753158001"/>
  </r>
  <r>
    <s v="07"/>
    <s v="07"/>
    <s v="Klinika anesteziologie, resuscitace a intenzivní medicíny"/>
    <x v="6"/>
    <s v="0765"/>
    <s v="dospávací hala KAR"/>
    <s v="0765 - dospávací hala KAR"/>
    <s v="50115050     obvazový materiál (sk.Z_502)"/>
    <x v="12"/>
    <x v="0"/>
    <n v="1.4225999999999999"/>
    <n v="5.2472994656510004"/>
  </r>
  <r>
    <s v="07"/>
    <s v="07"/>
    <s v="Klinika anesteziologie, resuscitace a intenzivní medicíny"/>
    <x v="6"/>
    <s v="0765"/>
    <s v="dospávací hala KAR"/>
    <s v="0765 - dospávací hala KAR"/>
    <s v="50115050     obvazový materiál (sk.Z_502)"/>
    <x v="12"/>
    <x v="1"/>
    <n v="1.3229500000000003"/>
    <n v="1.4258350656109999"/>
  </r>
  <r>
    <s v="07"/>
    <s v="07"/>
    <s v="Klinika anesteziologie, resuscitace a intenzivní medicíny"/>
    <x v="6"/>
    <s v="0765"/>
    <s v="dospávací hala KAR"/>
    <s v="0765 - dospávací hala KAR"/>
    <s v="50115050     obvazový materiál (sk.Z_502)"/>
    <x v="12"/>
    <x v="2"/>
    <n v="2.9767399999999999"/>
    <n v="1.225560206051"/>
  </r>
  <r>
    <s v="07"/>
    <s v="07"/>
    <s v="Klinika anesteziologie, resuscitace a intenzivní medicíny"/>
    <x v="6"/>
    <s v="0765"/>
    <s v="dospávací hala KAR"/>
    <s v="0765 - dospávací hala KAR"/>
    <s v="50115060     ostatní ZPr - mimo níže uvedené (sk.Z_503)"/>
    <x v="1"/>
    <x v="0"/>
    <n v="52.921260000000004"/>
    <n v="64.599984848212998"/>
  </r>
  <r>
    <s v="07"/>
    <s v="07"/>
    <s v="Klinika anesteziologie, resuscitace a intenzivní medicíny"/>
    <x v="6"/>
    <s v="0765"/>
    <s v="dospávací hala KAR"/>
    <s v="0765 - dospávací hala KAR"/>
    <s v="50115060     ostatní ZPr - mimo níže uvedené (sk.Z_503)"/>
    <x v="1"/>
    <x v="1"/>
    <n v="49.537270000000007"/>
    <n v="52.920861326143999"/>
  </r>
  <r>
    <s v="07"/>
    <s v="07"/>
    <s v="Klinika anesteziologie, resuscitace a intenzivní medicíny"/>
    <x v="6"/>
    <s v="0765"/>
    <s v="dospávací hala KAR"/>
    <s v="0765 - dospávací hala KAR"/>
    <s v="50115060     ostatní ZPr - mimo níže uvedené (sk.Z_503)"/>
    <x v="1"/>
    <x v="2"/>
    <n v="26.73649"/>
    <n v="49.367372458318997"/>
  </r>
  <r>
    <s v="07"/>
    <s v="07"/>
    <s v="Klinika anesteziologie, resuscitace a intenzivní medicíny"/>
    <x v="6"/>
    <s v="0765"/>
    <s v="dospávací hala KAR"/>
    <s v="0765 - dospávací hala KAR"/>
    <s v="50115063     ostatní ZPr - vaky, sety (sk.Z_528)"/>
    <x v="13"/>
    <x v="0"/>
    <n v="1.3066"/>
    <n v="2.2167251331809998"/>
  </r>
  <r>
    <s v="07"/>
    <s v="07"/>
    <s v="Klinika anesteziologie, resuscitace a intenzivní medicíny"/>
    <x v="6"/>
    <s v="0765"/>
    <s v="dospávací hala KAR"/>
    <s v="0765 - dospávací hala KAR"/>
    <s v="50115063     ostatní ZPr - vaky, sety (sk.Z_528)"/>
    <x v="13"/>
    <x v="1"/>
    <n v="0.1633"/>
    <n v="1.2799772067999999"/>
  </r>
  <r>
    <s v="07"/>
    <s v="07"/>
    <s v="Klinika anesteziologie, resuscitace a intenzivní medicíny"/>
    <x v="6"/>
    <s v="0765"/>
    <s v="dospávací hala KAR"/>
    <s v="0765 - dospávací hala KAR"/>
    <s v="50115063     ostatní ZPr - vaky, sety (sk.Z_528)"/>
    <x v="13"/>
    <x v="2"/>
    <n v="0.73509999999999998"/>
    <n v="0.34494968848200003"/>
  </r>
  <r>
    <s v="07"/>
    <s v="07"/>
    <s v="Klinika anesteziologie, resuscitace a intenzivní medicíny"/>
    <x v="6"/>
    <s v="0765"/>
    <s v="dospávací hala KAR"/>
    <s v="0765 - dospávací hala KAR"/>
    <s v="50115065     ostatní ZPr - vpichovací materiál (sk.Z_530)"/>
    <x v="14"/>
    <x v="0"/>
    <n v="1.109559999999"/>
    <n v="10.055649917783001"/>
  </r>
  <r>
    <s v="07"/>
    <s v="07"/>
    <s v="Klinika anesteziologie, resuscitace a intenzivní medicíny"/>
    <x v="6"/>
    <s v="0765"/>
    <s v="dospávací hala KAR"/>
    <s v="0765 - dospávací hala KAR"/>
    <s v="50115065     ostatní ZPr - vpichovací materiál (sk.Z_530)"/>
    <x v="14"/>
    <x v="1"/>
    <n v="1.0109999999999999"/>
    <n v="1.138204140651"/>
  </r>
  <r>
    <s v="07"/>
    <s v="07"/>
    <s v="Klinika anesteziologie, resuscitace a intenzivní medicíny"/>
    <x v="6"/>
    <s v="0765"/>
    <s v="dospávací hala KAR"/>
    <s v="0765 - dospávací hala KAR"/>
    <s v="50115065     ostatní ZPr - vpichovací materiál (sk.Z_530)"/>
    <x v="14"/>
    <x v="2"/>
    <n v="0.66699999999999993"/>
    <n v="0.86150461566699998"/>
  </r>
  <r>
    <s v="07"/>
    <s v="07"/>
    <s v="Klinika anesteziologie, resuscitace a intenzivní medicíny"/>
    <x v="6"/>
    <s v="0765"/>
    <s v="dospávací hala KAR"/>
    <s v="0765 - dospávací hala KAR"/>
    <s v="50115067     ostatní ZPr - rukavice (sk.Z_532)"/>
    <x v="15"/>
    <x v="0"/>
    <n v="12.481"/>
    <n v="12.351628320408"/>
  </r>
  <r>
    <s v="07"/>
    <s v="07"/>
    <s v="Klinika anesteziologie, resuscitace a intenzivní medicíny"/>
    <x v="6"/>
    <s v="0765"/>
    <s v="dospávací hala KAR"/>
    <s v="0765 - dospávací hala KAR"/>
    <s v="50115067     ostatní ZPr - rukavice (sk.Z_532)"/>
    <x v="15"/>
    <x v="1"/>
    <n v="12.919"/>
    <n v="12.657612158229"/>
  </r>
  <r>
    <s v="07"/>
    <s v="07"/>
    <s v="Klinika anesteziologie, resuscitace a intenzivní medicíny"/>
    <x v="6"/>
    <s v="0765"/>
    <s v="dospávací hala KAR"/>
    <s v="0765 - dospávací hala KAR"/>
    <s v="50115067     ostatní ZPr - rukavice (sk.Z_532)"/>
    <x v="15"/>
    <x v="2"/>
    <n v="10.791999999999998"/>
    <n v="13.048434784636999"/>
  </r>
  <r>
    <s v="07"/>
    <s v="07"/>
    <s v="Klinika anesteziologie, resuscitace a intenzivní medicíny"/>
    <x v="6"/>
    <s v="0765"/>
    <s v="dospávací hala KAR"/>
    <s v="0765 - dospávací hala KAR"/>
    <s v="50115079     ostatní ZPr - intenzivní péče (sk.Z_542)"/>
    <x v="18"/>
    <x v="2"/>
    <n v="8.1534999999999993"/>
    <n v="0"/>
  </r>
  <r>
    <s v="07"/>
    <s v="07"/>
    <s v="Klinika anesteziologie, resuscitace a intenzivní medicíny"/>
    <x v="6"/>
    <s v="0766"/>
    <s v="pracoviště DK COS"/>
    <s v="0766 - pracoviště DK COS"/>
    <s v="50113     Léky a léčiva"/>
    <x v="2"/>
    <x v="0"/>
    <n v="320.41413000000006"/>
    <n v="405.79784553050303"/>
  </r>
  <r>
    <s v="07"/>
    <s v="07"/>
    <s v="Klinika anesteziologie, resuscitace a intenzivní medicíny"/>
    <x v="6"/>
    <s v="0766"/>
    <s v="pracoviště DK COS"/>
    <s v="0766 - pracoviště DK COS"/>
    <s v="50113     Léky a léčiva"/>
    <x v="2"/>
    <x v="1"/>
    <n v="291.12973"/>
    <n v="320.40982261831999"/>
  </r>
  <r>
    <s v="07"/>
    <s v="07"/>
    <s v="Klinika anesteziologie, resuscitace a intenzivní medicíny"/>
    <x v="6"/>
    <s v="0766"/>
    <s v="pracoviště DK COS"/>
    <s v="0766 - pracoviště DK COS"/>
    <s v="50113     Léky a léčiva"/>
    <x v="2"/>
    <x v="2"/>
    <n v="354.31179999999995"/>
    <n v="292.51218453903499"/>
  </r>
  <r>
    <s v="07"/>
    <s v="07"/>
    <s v="Klinika anesteziologie, resuscitace a intenzivní medicíny"/>
    <x v="6"/>
    <s v="0766"/>
    <s v="pracoviště DK COS"/>
    <s v="0766 - pracoviště DK COS"/>
    <s v="50113001     léky - paušál+TISS (LEK)"/>
    <x v="3"/>
    <x v="0"/>
    <n v="320.41413000000006"/>
    <n v="405.79784553050303"/>
  </r>
  <r>
    <s v="07"/>
    <s v="07"/>
    <s v="Klinika anesteziologie, resuscitace a intenzivní medicíny"/>
    <x v="6"/>
    <s v="0766"/>
    <s v="pracoviště DK COS"/>
    <s v="0766 - pracoviště DK COS"/>
    <s v="50113001     léky - paušál+TISS (LEK)"/>
    <x v="3"/>
    <x v="1"/>
    <n v="291.12973"/>
    <n v="320.40982261831999"/>
  </r>
  <r>
    <s v="07"/>
    <s v="07"/>
    <s v="Klinika anesteziologie, resuscitace a intenzivní medicíny"/>
    <x v="6"/>
    <s v="0766"/>
    <s v="pracoviště DK COS"/>
    <s v="0766 - pracoviště DK COS"/>
    <s v="50113001     léky - paušál+TISS (LEK)"/>
    <x v="3"/>
    <x v="2"/>
    <n v="354.31179999999995"/>
    <n v="292.51218453903499"/>
  </r>
  <r>
    <s v="07"/>
    <s v="07"/>
    <s v="Klinika anesteziologie, resuscitace a intenzivní medicíny"/>
    <x v="6"/>
    <s v="0766"/>
    <s v="pracoviště DK COS"/>
    <s v="0766 - pracoviště DK COS"/>
    <s v="50115     Zdravotnické prostředky"/>
    <x v="0"/>
    <x v="0"/>
    <n v="101.996049999999"/>
    <n v="106.691899269258"/>
  </r>
  <r>
    <s v="07"/>
    <s v="07"/>
    <s v="Klinika anesteziologie, resuscitace a intenzivní medicíny"/>
    <x v="6"/>
    <s v="0766"/>
    <s v="pracoviště DK COS"/>
    <s v="0766 - pracoviště DK COS"/>
    <s v="50115     Zdravotnické prostředky"/>
    <x v="0"/>
    <x v="1"/>
    <n v="130.31574000000001"/>
    <n v="119.170928089724"/>
  </r>
  <r>
    <s v="07"/>
    <s v="07"/>
    <s v="Klinika anesteziologie, resuscitace a intenzivní medicíny"/>
    <x v="6"/>
    <s v="0766"/>
    <s v="pracoviště DK COS"/>
    <s v="0766 - pracoviště DK COS"/>
    <s v="50115     Zdravotnické prostředky"/>
    <x v="0"/>
    <x v="2"/>
    <n v="174.95474000000002"/>
    <n v="127.962641912607"/>
  </r>
  <r>
    <s v="07"/>
    <s v="07"/>
    <s v="Klinika anesteziologie, resuscitace a intenzivní medicíny"/>
    <x v="6"/>
    <s v="0766"/>
    <s v="pracoviště DK COS"/>
    <s v="0766 - pracoviště DK COS"/>
    <s v="50115050     obvazový materiál (sk.Z_502)"/>
    <x v="12"/>
    <x v="0"/>
    <n v="3.4238100000000005"/>
    <n v="0"/>
  </r>
  <r>
    <s v="07"/>
    <s v="07"/>
    <s v="Klinika anesteziologie, resuscitace a intenzivní medicíny"/>
    <x v="6"/>
    <s v="0766"/>
    <s v="pracoviště DK COS"/>
    <s v="0766 - pracoviště DK COS"/>
    <s v="50115050     obvazový materiál (sk.Z_502)"/>
    <x v="12"/>
    <x v="1"/>
    <n v="5.9711900000000009"/>
    <n v="6.431594304821"/>
  </r>
  <r>
    <s v="07"/>
    <s v="07"/>
    <s v="Klinika anesteziologie, resuscitace a intenzivní medicíny"/>
    <x v="6"/>
    <s v="0766"/>
    <s v="pracoviště DK COS"/>
    <s v="0766 - pracoviště DK COS"/>
    <s v="50115050     obvazový materiál (sk.Z_502)"/>
    <x v="12"/>
    <x v="2"/>
    <n v="5.3015500000000007"/>
    <n v="5.7106858259340001"/>
  </r>
  <r>
    <s v="07"/>
    <s v="07"/>
    <s v="Klinika anesteziologie, resuscitace a intenzivní medicíny"/>
    <x v="6"/>
    <s v="0766"/>
    <s v="pracoviště DK COS"/>
    <s v="0766 - pracoviště DK COS"/>
    <s v="50115060     ostatní ZPr - mimo níže uvedené (sk.Z_503)"/>
    <x v="1"/>
    <x v="0"/>
    <n v="89.830169999999001"/>
    <n v="102.791604906356"/>
  </r>
  <r>
    <s v="07"/>
    <s v="07"/>
    <s v="Klinika anesteziologie, resuscitace a intenzivní medicíny"/>
    <x v="6"/>
    <s v="0766"/>
    <s v="pracoviště DK COS"/>
    <s v="0766 - pracoviště DK COS"/>
    <s v="50115060     ostatní ZPr - mimo níže uvedené (sk.Z_503)"/>
    <x v="1"/>
    <x v="1"/>
    <n v="114.24598999999998"/>
    <n v="99.829534568018005"/>
  </r>
  <r>
    <s v="07"/>
    <s v="07"/>
    <s v="Klinika anesteziologie, resuscitace a intenzivní medicíny"/>
    <x v="6"/>
    <s v="0766"/>
    <s v="pracoviště DK COS"/>
    <s v="0766 - pracoviště DK COS"/>
    <s v="50115060     ostatní ZPr - mimo níže uvedené (sk.Z_503)"/>
    <x v="1"/>
    <x v="2"/>
    <n v="100.95633000000001"/>
    <n v="112.872311289612"/>
  </r>
  <r>
    <s v="07"/>
    <s v="07"/>
    <s v="Klinika anesteziologie, resuscitace a intenzivní medicíny"/>
    <x v="6"/>
    <s v="0766"/>
    <s v="pracoviště DK COS"/>
    <s v="0766 - pracoviště DK COS"/>
    <s v="50115063     ostatní ZPr - vaky, sety (sk.Z_528)"/>
    <x v="13"/>
    <x v="0"/>
    <n v="0.81599999999999995"/>
    <n v="1"/>
  </r>
  <r>
    <s v="07"/>
    <s v="07"/>
    <s v="Klinika anesteziologie, resuscitace a intenzivní medicíny"/>
    <x v="6"/>
    <s v="0766"/>
    <s v="pracoviště DK COS"/>
    <s v="0766 - pracoviště DK COS"/>
    <s v="50115063     ostatní ZPr - vaky, sety (sk.Z_528)"/>
    <x v="13"/>
    <x v="1"/>
    <n v="1.9593000000000003"/>
    <n v="1.7993729505760001"/>
  </r>
  <r>
    <s v="07"/>
    <s v="07"/>
    <s v="Klinika anesteziologie, resuscitace a intenzivní medicíny"/>
    <x v="6"/>
    <s v="0766"/>
    <s v="pracoviště DK COS"/>
    <s v="0766 - pracoviště DK COS"/>
    <s v="50115063     ostatní ZPr - vaky, sety (sk.Z_528)"/>
    <x v="13"/>
    <x v="2"/>
    <n v="2.8048999999999999"/>
    <n v="1.638431782232"/>
  </r>
  <r>
    <s v="07"/>
    <s v="07"/>
    <s v="Klinika anesteziologie, resuscitace a intenzivní medicíny"/>
    <x v="6"/>
    <s v="0766"/>
    <s v="pracoviště DK COS"/>
    <s v="0766 - pracoviště DK COS"/>
    <s v="50115065     ostatní ZPr - vpichovací materiál (sk.Z_530)"/>
    <x v="14"/>
    <x v="0"/>
    <n v="6.1893199999990003"/>
    <n v="1"/>
  </r>
  <r>
    <s v="07"/>
    <s v="07"/>
    <s v="Klinika anesteziologie, resuscitace a intenzivní medicíny"/>
    <x v="6"/>
    <s v="0766"/>
    <s v="pracoviště DK COS"/>
    <s v="0766 - pracoviště DK COS"/>
    <s v="50115065     ostatní ZPr - vpichovací materiál (sk.Z_530)"/>
    <x v="14"/>
    <x v="1"/>
    <n v="5.20526"/>
    <n v="8.3491009561910001"/>
  </r>
  <r>
    <s v="07"/>
    <s v="07"/>
    <s v="Klinika anesteziologie, resuscitace a intenzivní medicíny"/>
    <x v="6"/>
    <s v="0766"/>
    <s v="pracoviště DK COS"/>
    <s v="0766 - pracoviště DK COS"/>
    <s v="50115065     ostatní ZPr - vpichovací materiál (sk.Z_530)"/>
    <x v="14"/>
    <x v="2"/>
    <n v="8.3455399999999997"/>
    <n v="4.9000297150999996"/>
  </r>
  <r>
    <s v="07"/>
    <s v="07"/>
    <s v="Klinika anesteziologie, resuscitace a intenzivní medicíny"/>
    <x v="6"/>
    <s v="0766"/>
    <s v="pracoviště DK COS"/>
    <s v="0766 - pracoviště DK COS"/>
    <s v="50115067     ostatní ZPr - rukavice (sk.Z_532)"/>
    <x v="15"/>
    <x v="0"/>
    <n v="1.73675"/>
    <n v="1.9002943629010001"/>
  </r>
  <r>
    <s v="07"/>
    <s v="07"/>
    <s v="Klinika anesteziologie, resuscitace a intenzivní medicíny"/>
    <x v="6"/>
    <s v="0766"/>
    <s v="pracoviště DK COS"/>
    <s v="0766 - pracoviště DK COS"/>
    <s v="50115067     ostatní ZPr - rukavice (sk.Z_532)"/>
    <x v="15"/>
    <x v="1"/>
    <n v="2.9340000000000002"/>
    <n v="2.7613253101140001"/>
  </r>
  <r>
    <s v="07"/>
    <s v="07"/>
    <s v="Klinika anesteziologie, resuscitace a intenzivní medicíny"/>
    <x v="6"/>
    <s v="0766"/>
    <s v="pracoviště DK COS"/>
    <s v="0766 - pracoviště DK COS"/>
    <s v="50115067     ostatní ZPr - rukavice (sk.Z_532)"/>
    <x v="15"/>
    <x v="2"/>
    <n v="3.1245099999999995"/>
    <n v="2.8411832997270001"/>
  </r>
  <r>
    <s v="07"/>
    <s v="07"/>
    <s v="Klinika anesteziologie, resuscitace a intenzivní medicíny"/>
    <x v="6"/>
    <s v="0766"/>
    <s v="pracoviště DK COS"/>
    <s v="0766 - pracoviště DK COS"/>
    <s v="50115079     ostatní ZPr - intenzivní péče (sk.Z_542)"/>
    <x v="18"/>
    <x v="2"/>
    <n v="54.421909999999997"/>
    <n v="0"/>
  </r>
  <r>
    <s v="08"/>
    <s v="08"/>
    <s v="Porodnicko-gynekologická klinika"/>
    <x v="7"/>
    <s v="0811"/>
    <s v="lůžkové oddělení 19B (šestinedělí)"/>
    <s v="0811 - lůžkové oddělení 19B (šestinedělí)"/>
    <s v="50113     Léky a léčiva"/>
    <x v="2"/>
    <x v="0"/>
    <n v="406.00697999999994"/>
    <n v="399.54139727125698"/>
  </r>
  <r>
    <s v="08"/>
    <s v="08"/>
    <s v="Porodnicko-gynekologická klinika"/>
    <x v="7"/>
    <s v="0811"/>
    <s v="lůžkové oddělení 19B (šestinedělí)"/>
    <s v="0811 - lůžkové oddělení 19B (šestinedělí)"/>
    <s v="50113     Léky a léčiva"/>
    <x v="2"/>
    <x v="1"/>
    <n v="382.82692000000003"/>
    <n v="399.915833258509"/>
  </r>
  <r>
    <s v="08"/>
    <s v="08"/>
    <s v="Porodnicko-gynekologická klinika"/>
    <x v="7"/>
    <s v="0811"/>
    <s v="lůžkové oddělení 19B (šestinedělí)"/>
    <s v="0811 - lůžkové oddělení 19B (šestinedělí)"/>
    <s v="50113     Léky a léčiva"/>
    <x v="2"/>
    <x v="2"/>
    <n v="235.14539000000002"/>
    <n v="381.02060596295001"/>
  </r>
  <r>
    <s v="08"/>
    <s v="08"/>
    <s v="Porodnicko-gynekologická klinika"/>
    <x v="7"/>
    <s v="0811"/>
    <s v="lůžkové oddělení 19B (šestinedělí)"/>
    <s v="0811 - lůžkové oddělení 19B (šestinedělí)"/>
    <s v="50113001     léky - paušál+TISS (LEK)"/>
    <x v="3"/>
    <x v="0"/>
    <n v="369.01477999999997"/>
    <n v="369.94259290759697"/>
  </r>
  <r>
    <s v="08"/>
    <s v="08"/>
    <s v="Porodnicko-gynekologická klinika"/>
    <x v="7"/>
    <s v="0811"/>
    <s v="lůžkové oddělení 19B (šestinedělí)"/>
    <s v="0811 - lůžkové oddělení 19B (šestinedělí)"/>
    <s v="50113001     léky - paušál+TISS (LEK)"/>
    <x v="3"/>
    <x v="1"/>
    <n v="360.84184999999997"/>
    <n v="369.00663518907999"/>
  </r>
  <r>
    <s v="08"/>
    <s v="08"/>
    <s v="Porodnicko-gynekologická klinika"/>
    <x v="7"/>
    <s v="0811"/>
    <s v="lůžkové oddělení 19B (šestinedělí)"/>
    <s v="0811 - lůžkové oddělení 19B (šestinedělí)"/>
    <s v="50113001     léky - paušál+TISS (LEK)"/>
    <x v="3"/>
    <x v="2"/>
    <n v="224.36472000000001"/>
    <n v="359.99998866087202"/>
  </r>
  <r>
    <s v="08"/>
    <s v="08"/>
    <s v="Porodnicko-gynekologická klinika"/>
    <x v="7"/>
    <s v="0811"/>
    <s v="lůžkové oddělení 19B (šestinedělí)"/>
    <s v="0811 - lůžkové oddělení 19B (šestinedělí)"/>
    <s v="50113006     léky - enterální výživa (LEK)"/>
    <x v="4"/>
    <x v="0"/>
    <n v="1.3993799999999998"/>
    <n v="0.65116089586500003"/>
  </r>
  <r>
    <s v="08"/>
    <s v="08"/>
    <s v="Porodnicko-gynekologická klinika"/>
    <x v="7"/>
    <s v="0811"/>
    <s v="lůžkové oddělení 19B (šestinedělí)"/>
    <s v="0811 - lůžkové oddělení 19B (šestinedělí)"/>
    <s v="50113006     léky - enterální výživa (LEK)"/>
    <x v="4"/>
    <x v="1"/>
    <n v="0"/>
    <n v="1.3972893054760001"/>
  </r>
  <r>
    <s v="08"/>
    <s v="08"/>
    <s v="Porodnicko-gynekologická klinika"/>
    <x v="7"/>
    <s v="0811"/>
    <s v="lůžkové oddělení 19B (šestinedělí)"/>
    <s v="0811 - lůžkové oddělení 19B (šestinedělí)"/>
    <s v="50113008     léky - krev.deriváty ZUL (TO)"/>
    <x v="5"/>
    <x v="0"/>
    <n v="0"/>
    <n v="8.8041785093470004"/>
  </r>
  <r>
    <s v="08"/>
    <s v="08"/>
    <s v="Porodnicko-gynekologická klinika"/>
    <x v="7"/>
    <s v="0811"/>
    <s v="lůžkové oddělení 19B (šestinedělí)"/>
    <s v="0811 - lůžkové oddělení 19B (šestinedělí)"/>
    <s v="50113011     léky - hemofilici ZUL (TO)"/>
    <x v="6"/>
    <x v="0"/>
    <n v="0"/>
    <n v="0.93433799938399997"/>
  </r>
  <r>
    <s v="08"/>
    <s v="08"/>
    <s v="Porodnicko-gynekologická klinika"/>
    <x v="7"/>
    <s v="0811"/>
    <s v="lůžkové oddělení 19B (šestinedělí)"/>
    <s v="0811 - lůžkové oddělení 19B (šestinedělí)"/>
    <s v="50113013     léky (paušál) - antibiotika (LEK)"/>
    <x v="7"/>
    <x v="0"/>
    <n v="34.313159999999996"/>
    <n v="18.897965432184002"/>
  </r>
  <r>
    <s v="08"/>
    <s v="08"/>
    <s v="Porodnicko-gynekologická klinika"/>
    <x v="7"/>
    <s v="0811"/>
    <s v="lůžkové oddělení 19B (šestinedělí)"/>
    <s v="0811 - lůžkové oddělení 19B (šestinedělí)"/>
    <s v="50113013     léky (paušál) - antibiotika (LEK)"/>
    <x v="7"/>
    <x v="1"/>
    <n v="21.67493"/>
    <n v="27.997308389720999"/>
  </r>
  <r>
    <s v="08"/>
    <s v="08"/>
    <s v="Porodnicko-gynekologická klinika"/>
    <x v="7"/>
    <s v="0811"/>
    <s v="lůžkové oddělení 19B (šestinedělí)"/>
    <s v="0811 - lůžkové oddělení 19B (šestinedělí)"/>
    <s v="50113013     léky (paušál) - antibiotika (LEK)"/>
    <x v="7"/>
    <x v="2"/>
    <n v="10.780670000000001"/>
    <n v="20.549623769795001"/>
  </r>
  <r>
    <s v="08"/>
    <s v="08"/>
    <s v="Porodnicko-gynekologická klinika"/>
    <x v="7"/>
    <s v="0811"/>
    <s v="lůžkové oddělení 19B (šestinedělí)"/>
    <s v="0811 - lůžkové oddělení 19B (šestinedělí)"/>
    <s v="50113014     léky (paušál) - antimykotika (LEK)"/>
    <x v="8"/>
    <x v="0"/>
    <n v="0.90935999999999995"/>
    <n v="0"/>
  </r>
  <r>
    <s v="08"/>
    <s v="08"/>
    <s v="Porodnicko-gynekologická klinika"/>
    <x v="7"/>
    <s v="0811"/>
    <s v="lůžkové oddělení 19B (šestinedělí)"/>
    <s v="0811 - lůžkové oddělení 19B (šestinedělí)"/>
    <s v="50113014     léky (paušál) - antimykotika (LEK)"/>
    <x v="8"/>
    <x v="1"/>
    <n v="0.31013999999999997"/>
    <n v="0.91080323280300002"/>
  </r>
  <r>
    <s v="08"/>
    <s v="08"/>
    <s v="Porodnicko-gynekologická klinika"/>
    <x v="7"/>
    <s v="0811"/>
    <s v="lůžkové oddělení 19B (šestinedělí)"/>
    <s v="0811 - lůžkové oddělení 19B (šestinedělí)"/>
    <s v="50113014     léky (paušál) - antimykotika (LEK)"/>
    <x v="8"/>
    <x v="2"/>
    <n v="0"/>
    <n v="0.47099353228200003"/>
  </r>
  <r>
    <s v="08"/>
    <s v="08"/>
    <s v="Porodnicko-gynekologická klinika"/>
    <x v="7"/>
    <s v="0811"/>
    <s v="lůžkové oddělení 19B (šestinedělí)"/>
    <s v="0811 - lůžkové oddělení 19B (šestinedělí)"/>
    <s v="50113190     medicinální plyny"/>
    <x v="9"/>
    <x v="0"/>
    <n v="0.37030000000000002"/>
    <n v="0.31116152687900001"/>
  </r>
  <r>
    <s v="08"/>
    <s v="08"/>
    <s v="Porodnicko-gynekologická klinika"/>
    <x v="7"/>
    <s v="0811"/>
    <s v="lůžkové oddělení 19B (šestinedělí)"/>
    <s v="0811 - lůžkové oddělení 19B (šestinedělí)"/>
    <s v="50113190     medicinální plyny"/>
    <x v="9"/>
    <x v="1"/>
    <n v="0"/>
    <n v="0.60379714142700003"/>
  </r>
  <r>
    <s v="08"/>
    <s v="08"/>
    <s v="Porodnicko-gynekologická klinika"/>
    <x v="7"/>
    <s v="0811"/>
    <s v="lůžkové oddělení 19B (šestinedělí)"/>
    <s v="0811 - lůžkové oddělení 19B (šestinedělí)"/>
    <s v="50115     Zdravotnické prostředky"/>
    <x v="0"/>
    <x v="0"/>
    <n v="36.874400000000001"/>
    <n v="50.714730244686997"/>
  </r>
  <r>
    <s v="08"/>
    <s v="08"/>
    <s v="Porodnicko-gynekologická klinika"/>
    <x v="7"/>
    <s v="0811"/>
    <s v="lůžkové oddělení 19B (šestinedělí)"/>
    <s v="0811 - lůžkové oddělení 19B (šestinedělí)"/>
    <s v="50115     Zdravotnické prostředky"/>
    <x v="0"/>
    <x v="1"/>
    <n v="43.397579999999998"/>
    <n v="44.107383986565999"/>
  </r>
  <r>
    <s v="08"/>
    <s v="08"/>
    <s v="Porodnicko-gynekologická klinika"/>
    <x v="7"/>
    <s v="0811"/>
    <s v="lůžkové oddělení 19B (šestinedělí)"/>
    <s v="0811 - lůžkové oddělení 19B (šestinedělí)"/>
    <s v="50115     Zdravotnické prostředky"/>
    <x v="0"/>
    <x v="2"/>
    <n v="26.96256"/>
    <n v="45.181844264638997"/>
  </r>
  <r>
    <s v="08"/>
    <s v="08"/>
    <s v="Porodnicko-gynekologická klinika"/>
    <x v="7"/>
    <s v="0811"/>
    <s v="lůžkové oddělení 19B (šestinedělí)"/>
    <s v="0811 - lůžkové oddělení 19B (šestinedělí)"/>
    <s v="50115020     diagnostika laboratorní-LEK (sk.Z_501)"/>
    <x v="10"/>
    <x v="0"/>
    <n v="0.84294000000000002"/>
    <n v="0.92363145043899997"/>
  </r>
  <r>
    <s v="08"/>
    <s v="08"/>
    <s v="Porodnicko-gynekologická klinika"/>
    <x v="7"/>
    <s v="0811"/>
    <s v="lůžkové oddělení 19B (šestinedělí)"/>
    <s v="0811 - lůžkové oddělení 19B (šestinedělí)"/>
    <s v="50115020     diagnostika laboratorní-LEK (sk.Z_501)"/>
    <x v="10"/>
    <x v="1"/>
    <n v="0.58379999999999999"/>
    <n v="0.84293910719800003"/>
  </r>
  <r>
    <s v="08"/>
    <s v="08"/>
    <s v="Porodnicko-gynekologická klinika"/>
    <x v="7"/>
    <s v="0811"/>
    <s v="lůžkové oddělení 19B (šestinedělí)"/>
    <s v="0811 - lůžkové oddělení 19B (šestinedělí)"/>
    <s v="50115020     diagnostika laboratorní-LEK (sk.Z_501)"/>
    <x v="10"/>
    <x v="2"/>
    <n v="0.14277999999999999"/>
    <n v="0.434451533015"/>
  </r>
  <r>
    <s v="08"/>
    <s v="08"/>
    <s v="Porodnicko-gynekologická klinika"/>
    <x v="7"/>
    <s v="0811"/>
    <s v="lůžkové oddělení 19B (šestinedělí)"/>
    <s v="0811 - lůžkové oddělení 19B (šestinedělí)"/>
    <s v="50115050     obvazový materiál (sk.Z_502)"/>
    <x v="12"/>
    <x v="0"/>
    <n v="9.2839999999990006"/>
    <n v="13.739896244147999"/>
  </r>
  <r>
    <s v="08"/>
    <s v="08"/>
    <s v="Porodnicko-gynekologická klinika"/>
    <x v="7"/>
    <s v="0811"/>
    <s v="lůžkové oddělení 19B (šestinedělí)"/>
    <s v="0811 - lůžkové oddělení 19B (šestinedělí)"/>
    <s v="50115050     obvazový materiál (sk.Z_502)"/>
    <x v="12"/>
    <x v="1"/>
    <n v="12.300419999999999"/>
    <n v="9.3051122937849993"/>
  </r>
  <r>
    <s v="08"/>
    <s v="08"/>
    <s v="Porodnicko-gynekologická klinika"/>
    <x v="7"/>
    <s v="0811"/>
    <s v="lůžkové oddělení 19B (šestinedělí)"/>
    <s v="0811 - lůžkové oddělení 19B (šestinedělí)"/>
    <s v="50115050     obvazový materiál (sk.Z_502)"/>
    <x v="12"/>
    <x v="2"/>
    <n v="6.7774099999999997"/>
    <n v="11.999999622029"/>
  </r>
  <r>
    <s v="08"/>
    <s v="08"/>
    <s v="Porodnicko-gynekologická klinika"/>
    <x v="7"/>
    <s v="0811"/>
    <s v="lůžkové oddělení 19B (šestinedělí)"/>
    <s v="0811 - lůžkové oddělení 19B (šestinedělí)"/>
    <s v="50115060     ostatní ZPr - mimo níže uvedené (sk.Z_503)"/>
    <x v="1"/>
    <x v="0"/>
    <n v="17.96284"/>
    <n v="15.959216717682001"/>
  </r>
  <r>
    <s v="08"/>
    <s v="08"/>
    <s v="Porodnicko-gynekologická klinika"/>
    <x v="7"/>
    <s v="0811"/>
    <s v="lůžkové oddělení 19B (šestinedělí)"/>
    <s v="0811 - lůžkové oddělení 19B (šestinedělí)"/>
    <s v="50115060     ostatní ZPr - mimo níže uvedené (sk.Z_503)"/>
    <x v="1"/>
    <x v="1"/>
    <n v="20.834809999999997"/>
    <n v="24.898811664922"/>
  </r>
  <r>
    <s v="08"/>
    <s v="08"/>
    <s v="Porodnicko-gynekologická klinika"/>
    <x v="7"/>
    <s v="0811"/>
    <s v="lůžkové oddělení 19B (šestinedělí)"/>
    <s v="0811 - lůžkové oddělení 19B (šestinedělí)"/>
    <s v="50115060     ostatní ZPr - mimo níže uvedené (sk.Z_503)"/>
    <x v="1"/>
    <x v="2"/>
    <n v="12.687070000000002"/>
    <n v="20.999999338550001"/>
  </r>
  <r>
    <s v="08"/>
    <s v="08"/>
    <s v="Porodnicko-gynekologická klinika"/>
    <x v="7"/>
    <s v="0811"/>
    <s v="lůžkové oddělení 19B (šestinedělí)"/>
    <s v="0811 - lůžkové oddělení 19B (šestinedělí)"/>
    <s v="50115063     ostatní ZPr - vaky, sety (sk.Z_528)"/>
    <x v="13"/>
    <x v="0"/>
    <n v="2.2734199999999998"/>
    <n v="0.98055884022999995"/>
  </r>
  <r>
    <s v="08"/>
    <s v="08"/>
    <s v="Porodnicko-gynekologická klinika"/>
    <x v="7"/>
    <s v="0811"/>
    <s v="lůžkové oddělení 19B (šestinedělí)"/>
    <s v="0811 - lůžkové oddělení 19B (šestinedělí)"/>
    <s v="50115063     ostatní ZPr - vaky, sety (sk.Z_528)"/>
    <x v="13"/>
    <x v="1"/>
    <n v="2.1815500000000001"/>
    <n v="2.2270976438719998"/>
  </r>
  <r>
    <s v="08"/>
    <s v="08"/>
    <s v="Porodnicko-gynekologická klinika"/>
    <x v="7"/>
    <s v="0811"/>
    <s v="lůžkové oddělení 19B (šestinedělí)"/>
    <s v="0811 - lůžkové oddělení 19B (šestinedělí)"/>
    <s v="50115063     ostatní ZPr - vaky, sety (sk.Z_528)"/>
    <x v="13"/>
    <x v="2"/>
    <n v="1.9098000000000002"/>
    <n v="3.1514696496450001"/>
  </r>
  <r>
    <s v="08"/>
    <s v="08"/>
    <s v="Porodnicko-gynekologická klinika"/>
    <x v="7"/>
    <s v="0811"/>
    <s v="lůžkové oddělení 19B (šestinedělí)"/>
    <s v="0811 - lůžkové oddělení 19B (šestinedělí)"/>
    <s v="50115065     ostatní ZPr - vpichovací materiál (sk.Z_530)"/>
    <x v="14"/>
    <x v="0"/>
    <n v="0.51100000000000001"/>
    <n v="1.0001178897"/>
  </r>
  <r>
    <s v="08"/>
    <s v="08"/>
    <s v="Porodnicko-gynekologická klinika"/>
    <x v="7"/>
    <s v="0811"/>
    <s v="lůžkové oddělení 19B (šestinedělí)"/>
    <s v="0811 - lůžkové oddělení 19B (šestinedělí)"/>
    <s v="50115065     ostatní ZPr - vpichovací materiál (sk.Z_530)"/>
    <x v="14"/>
    <x v="1"/>
    <n v="1.3010000000000002"/>
    <n v="0.52419185611600005"/>
  </r>
  <r>
    <s v="08"/>
    <s v="08"/>
    <s v="Porodnicko-gynekologická klinika"/>
    <x v="7"/>
    <s v="0811"/>
    <s v="lůžkové oddělení 19B (šestinedělí)"/>
    <s v="0811 - lůžkové oddělení 19B (šestinedělí)"/>
    <s v="50115065     ostatní ZPr - vpichovací materiál (sk.Z_530)"/>
    <x v="14"/>
    <x v="2"/>
    <n v="0.47550000000000003"/>
    <n v="1.700626414879"/>
  </r>
  <r>
    <s v="08"/>
    <s v="08"/>
    <s v="Porodnicko-gynekologická klinika"/>
    <x v="7"/>
    <s v="0811"/>
    <s v="lůžkové oddělení 19B (šestinedělí)"/>
    <s v="0811 - lůžkové oddělení 19B (šestinedělí)"/>
    <s v="50115067     ostatní ZPr - rukavice (sk.Z_532)"/>
    <x v="15"/>
    <x v="0"/>
    <n v="6.0002000000000004"/>
    <n v="18.111309102484999"/>
  </r>
  <r>
    <s v="08"/>
    <s v="08"/>
    <s v="Porodnicko-gynekologická klinika"/>
    <x v="7"/>
    <s v="0811"/>
    <s v="lůžkové oddělení 19B (šestinedělí)"/>
    <s v="0811 - lůžkové oddělení 19B (šestinedělí)"/>
    <s v="50115067     ostatní ZPr - rukavice (sk.Z_532)"/>
    <x v="15"/>
    <x v="1"/>
    <n v="6.1959999999999997"/>
    <n v="6.3092314206699998"/>
  </r>
  <r>
    <s v="08"/>
    <s v="08"/>
    <s v="Porodnicko-gynekologická klinika"/>
    <x v="7"/>
    <s v="0811"/>
    <s v="lůžkové oddělení 19B (šestinedělí)"/>
    <s v="0811 - lůžkové oddělení 19B (šestinedělí)"/>
    <s v="50115067     ostatní ZPr - rukavice (sk.Z_532)"/>
    <x v="15"/>
    <x v="2"/>
    <n v="4.97"/>
    <n v="6.8952977065179999"/>
  </r>
  <r>
    <s v="08"/>
    <s v="08"/>
    <s v="Porodnicko-gynekologická klinika"/>
    <x v="7"/>
    <s v="0817"/>
    <s v="lůžkové oddělení 17 (operativní gyn.)"/>
    <s v="0817 - lůžkové oddělení 17 (operativní gyn.)"/>
    <s v="50113     Léky a léčiva"/>
    <x v="2"/>
    <x v="0"/>
    <n v="757.49148999999909"/>
    <n v="658.77465922627198"/>
  </r>
  <r>
    <s v="08"/>
    <s v="08"/>
    <s v="Porodnicko-gynekologická klinika"/>
    <x v="7"/>
    <s v="0817"/>
    <s v="lůžkové oddělení 17 (operativní gyn.)"/>
    <s v="0817 - lůžkové oddělení 17 (operativní gyn.)"/>
    <s v="50113     Léky a léčiva"/>
    <x v="2"/>
    <x v="1"/>
    <n v="776.11786000000006"/>
    <n v="816.01481425069801"/>
  </r>
  <r>
    <s v="08"/>
    <s v="08"/>
    <s v="Porodnicko-gynekologická klinika"/>
    <x v="7"/>
    <s v="0817"/>
    <s v="lůžkové oddělení 17 (operativní gyn.)"/>
    <s v="0817 - lůžkové oddělení 17 (operativní gyn.)"/>
    <s v="50113     Léky a léčiva"/>
    <x v="2"/>
    <x v="2"/>
    <n v="707.83035000000007"/>
    <n v="752.16887926432003"/>
  </r>
  <r>
    <s v="08"/>
    <s v="08"/>
    <s v="Porodnicko-gynekologická klinika"/>
    <x v="7"/>
    <s v="0817"/>
    <s v="lůžkové oddělení 17 (operativní gyn.)"/>
    <s v="0817 - lůžkové oddělení 17 (operativní gyn.)"/>
    <s v="50113001     léky - paušál+TISS (LEK)"/>
    <x v="3"/>
    <x v="0"/>
    <n v="436.37449000000004"/>
    <n v="460.11080996365899"/>
  </r>
  <r>
    <s v="08"/>
    <s v="08"/>
    <s v="Porodnicko-gynekologická klinika"/>
    <x v="7"/>
    <s v="0817"/>
    <s v="lůžkové oddělení 17 (operativní gyn.)"/>
    <s v="0817 - lůžkové oddělení 17 (operativní gyn.)"/>
    <s v="50113001     léky - paušál+TISS (LEK)"/>
    <x v="3"/>
    <x v="1"/>
    <n v="574.84277999999995"/>
    <n v="579.00076710153405"/>
  </r>
  <r>
    <s v="08"/>
    <s v="08"/>
    <s v="Porodnicko-gynekologická klinika"/>
    <x v="7"/>
    <s v="0817"/>
    <s v="lůžkové oddělení 17 (operativní gyn.)"/>
    <s v="0817 - lůžkové oddělení 17 (operativní gyn.)"/>
    <s v="50113001     léky - paušál+TISS (LEK)"/>
    <x v="3"/>
    <x v="2"/>
    <n v="385.32767999999999"/>
    <n v="558.679670769273"/>
  </r>
  <r>
    <s v="08"/>
    <s v="08"/>
    <s v="Porodnicko-gynekologická klinika"/>
    <x v="7"/>
    <s v="0817"/>
    <s v="lůžkové oddělení 17 (operativní gyn.)"/>
    <s v="0817 - lůžkové oddělení 17 (operativní gyn.)"/>
    <s v="50113002     léky - parenterální výživa (LEK)"/>
    <x v="17"/>
    <x v="2"/>
    <n v="0.30989"/>
    <n v="1"/>
  </r>
  <r>
    <s v="08"/>
    <s v="08"/>
    <s v="Porodnicko-gynekologická klinika"/>
    <x v="7"/>
    <s v="0817"/>
    <s v="lůžkové oddělení 17 (operativní gyn.)"/>
    <s v="0817 - lůžkové oddělení 17 (operativní gyn.)"/>
    <s v="50113006     léky - enterální výživa (LEK)"/>
    <x v="4"/>
    <x v="0"/>
    <n v="2.2175600000000002"/>
    <n v="4.0204024138139998"/>
  </r>
  <r>
    <s v="08"/>
    <s v="08"/>
    <s v="Porodnicko-gynekologická klinika"/>
    <x v="7"/>
    <s v="0817"/>
    <s v="lůžkové oddělení 17 (operativní gyn.)"/>
    <s v="0817 - lůžkové oddělení 17 (operativní gyn.)"/>
    <s v="50113006     léky - enterální výživa (LEK)"/>
    <x v="4"/>
    <x v="1"/>
    <n v="0.90838999999999992"/>
    <n v="2.2142469323929999"/>
  </r>
  <r>
    <s v="08"/>
    <s v="08"/>
    <s v="Porodnicko-gynekologická klinika"/>
    <x v="7"/>
    <s v="0817"/>
    <s v="lůžkové oddělení 17 (operativní gyn.)"/>
    <s v="0817 - lůžkové oddělení 17 (operativní gyn.)"/>
    <s v="50113006     léky - enterální výživa (LEK)"/>
    <x v="4"/>
    <x v="2"/>
    <n v="1.11778"/>
    <n v="0"/>
  </r>
  <r>
    <s v="08"/>
    <s v="08"/>
    <s v="Porodnicko-gynekologická klinika"/>
    <x v="7"/>
    <s v="0817"/>
    <s v="lůžkové oddělení 17 (operativní gyn.)"/>
    <s v="0817 - lůžkové oddělení 17 (operativní gyn.)"/>
    <s v="50113008     léky - krev.deriváty ZUL (TO)"/>
    <x v="5"/>
    <x v="0"/>
    <n v="21.728339999999999"/>
    <n v="0"/>
  </r>
  <r>
    <s v="08"/>
    <s v="08"/>
    <s v="Porodnicko-gynekologická klinika"/>
    <x v="7"/>
    <s v="0817"/>
    <s v="lůžkové oddělení 17 (operativní gyn.)"/>
    <s v="0817 - lůžkové oddělení 17 (operativní gyn.)"/>
    <s v="50113008     léky - krev.deriváty ZUL (TO)"/>
    <x v="5"/>
    <x v="1"/>
    <n v="64.802700000000002"/>
    <n v="22.000193174703998"/>
  </r>
  <r>
    <s v="08"/>
    <s v="08"/>
    <s v="Porodnicko-gynekologická klinika"/>
    <x v="7"/>
    <s v="0817"/>
    <s v="lůžkové oddělení 17 (operativní gyn.)"/>
    <s v="0817 - lůžkové oddělení 17 (operativní gyn.)"/>
    <s v="50113008     léky - krev.deriváty ZUL (TO)"/>
    <x v="5"/>
    <x v="2"/>
    <n v="222.37620000000001"/>
    <n v="46.859048039770002"/>
  </r>
  <r>
    <s v="08"/>
    <s v="08"/>
    <s v="Porodnicko-gynekologická klinika"/>
    <x v="7"/>
    <s v="0817"/>
    <s v="lůžkové oddělení 17 (operativní gyn.)"/>
    <s v="0817 - lůžkové oddělení 17 (operativní gyn.)"/>
    <s v="50113011     léky - hemofilici ZUL (TO)"/>
    <x v="6"/>
    <x v="0"/>
    <n v="87.039000000000001"/>
    <n v="2.712017827465"/>
  </r>
  <r>
    <s v="08"/>
    <s v="08"/>
    <s v="Porodnicko-gynekologická klinika"/>
    <x v="7"/>
    <s v="0817"/>
    <s v="lůžkové oddělení 17 (operativní gyn.)"/>
    <s v="0817 - lůžkové oddělení 17 (operativní gyn.)"/>
    <s v="50113011     léky - hemofilici ZUL (TO)"/>
    <x v="6"/>
    <x v="1"/>
    <n v="0"/>
    <n v="84.999999999997996"/>
  </r>
  <r>
    <s v="08"/>
    <s v="08"/>
    <s v="Porodnicko-gynekologická klinika"/>
    <x v="7"/>
    <s v="0817"/>
    <s v="lůžkové oddělení 17 (operativní gyn.)"/>
    <s v="0817 - lůžkové oddělení 17 (operativní gyn.)"/>
    <s v="50113013     léky (paušál) - antibiotika (LEK)"/>
    <x v="7"/>
    <x v="0"/>
    <n v="205.89006000000001"/>
    <n v="187.003200386125"/>
  </r>
  <r>
    <s v="08"/>
    <s v="08"/>
    <s v="Porodnicko-gynekologická klinika"/>
    <x v="7"/>
    <s v="0817"/>
    <s v="lůžkové oddělení 17 (operativní gyn.)"/>
    <s v="0817 - lůžkové oddělení 17 (operativní gyn.)"/>
    <s v="50113013     léky (paušál) - antibiotika (LEK)"/>
    <x v="7"/>
    <x v="1"/>
    <n v="130.74612999999999"/>
    <n v="123.988080011626"/>
  </r>
  <r>
    <s v="08"/>
    <s v="08"/>
    <s v="Porodnicko-gynekologická klinika"/>
    <x v="7"/>
    <s v="0817"/>
    <s v="lůžkové oddělení 17 (operativní gyn.)"/>
    <s v="0817 - lůžkové oddělení 17 (operativní gyn.)"/>
    <s v="50113013     léky (paušál) - antibiotika (LEK)"/>
    <x v="7"/>
    <x v="2"/>
    <n v="97.839879999999994"/>
    <n v="138.011055762371"/>
  </r>
  <r>
    <s v="08"/>
    <s v="08"/>
    <s v="Porodnicko-gynekologická klinika"/>
    <x v="7"/>
    <s v="0817"/>
    <s v="lůžkové oddělení 17 (operativní gyn.)"/>
    <s v="0817 - lůžkové oddělení 17 (operativní gyn.)"/>
    <s v="50113014     léky (paušál) - antimykotika (LEK)"/>
    <x v="8"/>
    <x v="0"/>
    <n v="3.1311400000000003"/>
    <n v="3.9947440545699999"/>
  </r>
  <r>
    <s v="08"/>
    <s v="08"/>
    <s v="Porodnicko-gynekologická klinika"/>
    <x v="7"/>
    <s v="0817"/>
    <s v="lůžkové oddělení 17 (operativní gyn.)"/>
    <s v="0817 - lůžkové oddělení 17 (operativní gyn.)"/>
    <s v="50113014     léky (paušál) - antimykotika (LEK)"/>
    <x v="8"/>
    <x v="1"/>
    <n v="2.3798600000000003"/>
    <n v="2.0001356061590001"/>
  </r>
  <r>
    <s v="08"/>
    <s v="08"/>
    <s v="Porodnicko-gynekologická klinika"/>
    <x v="7"/>
    <s v="0817"/>
    <s v="lůžkové oddělení 17 (operativní gyn.)"/>
    <s v="0817 - lůžkové oddělení 17 (operativní gyn.)"/>
    <s v="50113014     léky (paušál) - antimykotika (LEK)"/>
    <x v="8"/>
    <x v="2"/>
    <n v="0.44491999999999998"/>
    <n v="5.2681466664530001"/>
  </r>
  <r>
    <s v="08"/>
    <s v="08"/>
    <s v="Porodnicko-gynekologická klinika"/>
    <x v="7"/>
    <s v="0817"/>
    <s v="lůžkové oddělení 17 (operativní gyn.)"/>
    <s v="0817 - lůžkové oddělení 17 (operativní gyn.)"/>
    <s v="50113190     medicinální plyny"/>
    <x v="9"/>
    <x v="0"/>
    <n v="1.1109"/>
    <n v="0.93348458063700002"/>
  </r>
  <r>
    <s v="08"/>
    <s v="08"/>
    <s v="Porodnicko-gynekologická klinika"/>
    <x v="7"/>
    <s v="0817"/>
    <s v="lůžkové oddělení 17 (operativní gyn.)"/>
    <s v="0817 - lůžkové oddělení 17 (operativní gyn.)"/>
    <s v="50113190     medicinální plyny"/>
    <x v="9"/>
    <x v="1"/>
    <n v="2.4379999999999997"/>
    <n v="1.8113914242810001"/>
  </r>
  <r>
    <s v="08"/>
    <s v="08"/>
    <s v="Porodnicko-gynekologická klinika"/>
    <x v="7"/>
    <s v="0817"/>
    <s v="lůžkové oddělení 17 (operativní gyn.)"/>
    <s v="0817 - lůžkové oddělení 17 (operativní gyn.)"/>
    <s v="50113190     medicinální plyny"/>
    <x v="9"/>
    <x v="2"/>
    <n v="0.41399999999999998"/>
    <n v="2.350958026452"/>
  </r>
  <r>
    <s v="08"/>
    <s v="08"/>
    <s v="Porodnicko-gynekologická klinika"/>
    <x v="7"/>
    <s v="0817"/>
    <s v="lůžkové oddělení 17 (operativní gyn.)"/>
    <s v="0817 - lůžkové oddělení 17 (operativní gyn.)"/>
    <s v="50115     Zdravotnické prostředky"/>
    <x v="0"/>
    <x v="0"/>
    <n v="107.92397999999901"/>
    <n v="131.52727035563899"/>
  </r>
  <r>
    <s v="08"/>
    <s v="08"/>
    <s v="Porodnicko-gynekologická klinika"/>
    <x v="7"/>
    <s v="0817"/>
    <s v="lůžkové oddělení 17 (operativní gyn.)"/>
    <s v="0817 - lůžkové oddělení 17 (operativní gyn.)"/>
    <s v="50115     Zdravotnické prostředky"/>
    <x v="0"/>
    <x v="1"/>
    <n v="139.41335000000001"/>
    <n v="132.55747169871699"/>
  </r>
  <r>
    <s v="08"/>
    <s v="08"/>
    <s v="Porodnicko-gynekologická klinika"/>
    <x v="7"/>
    <s v="0817"/>
    <s v="lůžkové oddělení 17 (operativní gyn.)"/>
    <s v="0817 - lůžkové oddělení 17 (operativní gyn.)"/>
    <s v="50115     Zdravotnické prostředky"/>
    <x v="0"/>
    <x v="2"/>
    <n v="174.12344000000002"/>
    <n v="243.95949441221401"/>
  </r>
  <r>
    <s v="08"/>
    <s v="08"/>
    <s v="Porodnicko-gynekologická klinika"/>
    <x v="7"/>
    <s v="0817"/>
    <s v="lůžkové oddělení 17 (operativní gyn.)"/>
    <s v="0817 - lůžkové oddělení 17 (operativní gyn.)"/>
    <s v="50115020     diagnostika laboratorní-LEK (sk.Z_501)"/>
    <x v="10"/>
    <x v="0"/>
    <n v="1.2852100000000002"/>
    <n v="2.926132632496"/>
  </r>
  <r>
    <s v="08"/>
    <s v="08"/>
    <s v="Porodnicko-gynekologická klinika"/>
    <x v="7"/>
    <s v="0817"/>
    <s v="lůžkové oddělení 17 (operativní gyn.)"/>
    <s v="0817 - lůžkové oddělení 17 (operativní gyn.)"/>
    <s v="50115020     diagnostika laboratorní-LEK (sk.Z_501)"/>
    <x v="10"/>
    <x v="1"/>
    <n v="0.45738000000000001"/>
    <n v="1.2852086387670001"/>
  </r>
  <r>
    <s v="08"/>
    <s v="08"/>
    <s v="Porodnicko-gynekologická klinika"/>
    <x v="7"/>
    <s v="0817"/>
    <s v="lůžkové oddělení 17 (operativní gyn.)"/>
    <s v="0817 - lůžkové oddělení 17 (operativní gyn.)"/>
    <s v="50115020     diagnostika laboratorní-LEK (sk.Z_501)"/>
    <x v="10"/>
    <x v="2"/>
    <n v="0.71690000000000009"/>
    <n v="1.3"/>
  </r>
  <r>
    <s v="08"/>
    <s v="08"/>
    <s v="Porodnicko-gynekologická klinika"/>
    <x v="7"/>
    <s v="0817"/>
    <s v="lůžkové oddělení 17 (operativní gyn.)"/>
    <s v="0817 - lůžkové oddělení 17 (operativní gyn.)"/>
    <s v="50115040     laboratorní materiál (sk.Z_505)"/>
    <x v="11"/>
    <x v="0"/>
    <n v="0.85328999999999999"/>
    <n v="1.999889449436"/>
  </r>
  <r>
    <s v="08"/>
    <s v="08"/>
    <s v="Porodnicko-gynekologická klinika"/>
    <x v="7"/>
    <s v="0817"/>
    <s v="lůžkové oddělení 17 (operativní gyn.)"/>
    <s v="0817 - lůžkové oddělení 17 (operativní gyn.)"/>
    <s v="50115040     laboratorní materiál (sk.Z_505)"/>
    <x v="11"/>
    <x v="1"/>
    <n v="0"/>
    <n v="0.85906163309600003"/>
  </r>
  <r>
    <s v="08"/>
    <s v="08"/>
    <s v="Porodnicko-gynekologická klinika"/>
    <x v="7"/>
    <s v="0817"/>
    <s v="lůžkové oddělení 17 (operativní gyn.)"/>
    <s v="0817 - lůžkové oddělení 17 (operativní gyn.)"/>
    <s v="50115050     obvazový materiál (sk.Z_502)"/>
    <x v="12"/>
    <x v="0"/>
    <n v="16.47372"/>
    <n v="22.030065333328999"/>
  </r>
  <r>
    <s v="08"/>
    <s v="08"/>
    <s v="Porodnicko-gynekologická klinika"/>
    <x v="7"/>
    <s v="0817"/>
    <s v="lůžkové oddělení 17 (operativní gyn.)"/>
    <s v="0817 - lůžkové oddělení 17 (operativní gyn.)"/>
    <s v="50115050     obvazový materiál (sk.Z_502)"/>
    <x v="12"/>
    <x v="1"/>
    <n v="24.43919"/>
    <n v="16.511182087072999"/>
  </r>
  <r>
    <s v="08"/>
    <s v="08"/>
    <s v="Porodnicko-gynekologická klinika"/>
    <x v="7"/>
    <s v="0817"/>
    <s v="lůžkové oddělení 17 (operativní gyn.)"/>
    <s v="0817 - lůžkové oddělení 17 (operativní gyn.)"/>
    <s v="50115050     obvazový materiál (sk.Z_502)"/>
    <x v="12"/>
    <x v="2"/>
    <n v="34.60154"/>
    <n v="45.999998551110998"/>
  </r>
  <r>
    <s v="08"/>
    <s v="08"/>
    <s v="Porodnicko-gynekologická klinika"/>
    <x v="7"/>
    <s v="0817"/>
    <s v="lůžkové oddělení 17 (operativní gyn.)"/>
    <s v="0817 - lůžkové oddělení 17 (operativní gyn.)"/>
    <s v="50115060     ostatní ZPr - mimo níže uvedené (sk.Z_503)"/>
    <x v="1"/>
    <x v="0"/>
    <n v="62.728749999998989"/>
    <n v="81.536235941282996"/>
  </r>
  <r>
    <s v="08"/>
    <s v="08"/>
    <s v="Porodnicko-gynekologická klinika"/>
    <x v="7"/>
    <s v="0817"/>
    <s v="lůžkové oddělení 17 (operativní gyn.)"/>
    <s v="0817 - lůžkové oddělení 17 (operativní gyn.)"/>
    <s v="50115060     ostatní ZPr - mimo níže uvedené (sk.Z_503)"/>
    <x v="1"/>
    <x v="1"/>
    <n v="87.853120000000004"/>
    <n v="86.950133287721002"/>
  </r>
  <r>
    <s v="08"/>
    <s v="08"/>
    <s v="Porodnicko-gynekologická klinika"/>
    <x v="7"/>
    <s v="0817"/>
    <s v="lůžkové oddělení 17 (operativní gyn.)"/>
    <s v="0817 - lůžkové oddělení 17 (operativní gyn.)"/>
    <s v="50115060     ostatní ZPr - mimo níže uvedené (sk.Z_503)"/>
    <x v="1"/>
    <x v="2"/>
    <n v="100.56997999999999"/>
    <n v="167.999994708407"/>
  </r>
  <r>
    <s v="08"/>
    <s v="08"/>
    <s v="Porodnicko-gynekologická klinika"/>
    <x v="7"/>
    <s v="0817"/>
    <s v="lůžkové oddělení 17 (operativní gyn.)"/>
    <s v="0817 - lůžkové oddělení 17 (operativní gyn.)"/>
    <s v="50115063     ostatní ZPr - vaky, sety (sk.Z_528)"/>
    <x v="13"/>
    <x v="0"/>
    <n v="13.324050000000002"/>
    <n v="10.015012251337"/>
  </r>
  <r>
    <s v="08"/>
    <s v="08"/>
    <s v="Porodnicko-gynekologická klinika"/>
    <x v="7"/>
    <s v="0817"/>
    <s v="lůžkové oddělení 17 (operativní gyn.)"/>
    <s v="0817 - lůžkové oddělení 17 (operativní gyn.)"/>
    <s v="50115063     ostatní ZPr - vaky, sety (sk.Z_528)"/>
    <x v="13"/>
    <x v="1"/>
    <n v="14.122999999999999"/>
    <n v="13.052564137660999"/>
  </r>
  <r>
    <s v="08"/>
    <s v="08"/>
    <s v="Porodnicko-gynekologická klinika"/>
    <x v="7"/>
    <s v="0817"/>
    <s v="lůžkové oddělení 17 (operativní gyn.)"/>
    <s v="0817 - lůžkové oddělení 17 (operativní gyn.)"/>
    <s v="50115063     ostatní ZPr - vaky, sety (sk.Z_528)"/>
    <x v="13"/>
    <x v="2"/>
    <n v="16.292069999999999"/>
    <n v="16.246668215359001"/>
  </r>
  <r>
    <s v="08"/>
    <s v="08"/>
    <s v="Porodnicko-gynekologická klinika"/>
    <x v="7"/>
    <s v="0817"/>
    <s v="lůžkové oddělení 17 (operativní gyn.)"/>
    <s v="0817 - lůžkové oddělení 17 (operativní gyn.)"/>
    <s v="50115065     ostatní ZPr - vpichovací materiál (sk.Z_530)"/>
    <x v="14"/>
    <x v="0"/>
    <n v="1.6553099999999998"/>
    <n v="1.91167896399"/>
  </r>
  <r>
    <s v="08"/>
    <s v="08"/>
    <s v="Porodnicko-gynekologická klinika"/>
    <x v="7"/>
    <s v="0817"/>
    <s v="lůžkové oddělení 17 (operativní gyn.)"/>
    <s v="0817 - lůžkové oddělení 17 (operativní gyn.)"/>
    <s v="50115065     ostatní ZPr - vpichovací materiál (sk.Z_530)"/>
    <x v="14"/>
    <x v="1"/>
    <n v="0.502"/>
    <n v="1.698043094615"/>
  </r>
  <r>
    <s v="08"/>
    <s v="08"/>
    <s v="Porodnicko-gynekologická klinika"/>
    <x v="7"/>
    <s v="0817"/>
    <s v="lůžkové oddělení 17 (operativní gyn.)"/>
    <s v="0817 - lůžkové oddělení 17 (operativní gyn.)"/>
    <s v="50115065     ostatní ZPr - vpichovací materiál (sk.Z_530)"/>
    <x v="14"/>
    <x v="2"/>
    <n v="5.8670000000000009"/>
    <n v="0.52894328393400003"/>
  </r>
  <r>
    <s v="08"/>
    <s v="08"/>
    <s v="Porodnicko-gynekologická klinika"/>
    <x v="7"/>
    <s v="0817"/>
    <s v="lůžkové oddělení 17 (operativní gyn.)"/>
    <s v="0817 - lůžkové oddělení 17 (operativní gyn.)"/>
    <s v="50115067     ostatní ZPr - rukavice (sk.Z_532)"/>
    <x v="15"/>
    <x v="0"/>
    <n v="11.603649999999"/>
    <n v="11.108255783763999"/>
  </r>
  <r>
    <s v="08"/>
    <s v="08"/>
    <s v="Porodnicko-gynekologická klinika"/>
    <x v="7"/>
    <s v="0817"/>
    <s v="lůžkové oddělení 17 (operativní gyn.)"/>
    <s v="0817 - lůžkové oddělení 17 (operativní gyn.)"/>
    <s v="50115067     ostatní ZPr - rukavice (sk.Z_532)"/>
    <x v="15"/>
    <x v="1"/>
    <n v="12.03866"/>
    <n v="12.201278819782001"/>
  </r>
  <r>
    <s v="08"/>
    <s v="08"/>
    <s v="Porodnicko-gynekologická klinika"/>
    <x v="7"/>
    <s v="0817"/>
    <s v="lůžkové oddělení 17 (operativní gyn.)"/>
    <s v="0817 - lůžkové oddělení 17 (operativní gyn.)"/>
    <s v="50115067     ostatní ZPr - rukavice (sk.Z_532)"/>
    <x v="15"/>
    <x v="2"/>
    <n v="14.780499999999998"/>
    <n v="11.883889653402001"/>
  </r>
  <r>
    <s v="08"/>
    <s v="08"/>
    <s v="Porodnicko-gynekologická klinika"/>
    <x v="7"/>
    <s v="0817"/>
    <s v="lůžkové oddělení 17 (operativní gyn.)"/>
    <s v="0817 - lůžkové oddělení 17 (operativní gyn.)"/>
    <s v="50115070     ostatní ZPr - katetry (sk.Z_513)"/>
    <x v="16"/>
    <x v="2"/>
    <n v="1.29545"/>
    <n v="0"/>
  </r>
  <r>
    <s v="08"/>
    <s v="08"/>
    <s v="Porodnicko-gynekologická klinika"/>
    <x v="7"/>
    <s v="0818"/>
    <s v="Intermediální jednotka (17A)"/>
    <s v="0818 - Intermediální jednotka (17A)"/>
    <s v="50113     Léky a léčiva"/>
    <x v="2"/>
    <x v="0"/>
    <n v="631.30739000000005"/>
    <n v="642.28024898655497"/>
  </r>
  <r>
    <s v="08"/>
    <s v="08"/>
    <s v="Porodnicko-gynekologická klinika"/>
    <x v="7"/>
    <s v="0818"/>
    <s v="Intermediální jednotka (17A)"/>
    <s v="0818 - Intermediální jednotka (17A)"/>
    <s v="50113     Léky a léčiva"/>
    <x v="2"/>
    <x v="1"/>
    <n v="611.03594999999996"/>
    <n v="757.92728703055195"/>
  </r>
  <r>
    <s v="08"/>
    <s v="08"/>
    <s v="Porodnicko-gynekologická klinika"/>
    <x v="7"/>
    <s v="0818"/>
    <s v="Intermediální jednotka (17A)"/>
    <s v="0818 - Intermediální jednotka (17A)"/>
    <s v="50113     Léky a léčiva"/>
    <x v="2"/>
    <x v="2"/>
    <n v="410.59048999999999"/>
    <n v="615.24662352272401"/>
  </r>
  <r>
    <s v="08"/>
    <s v="08"/>
    <s v="Porodnicko-gynekologická klinika"/>
    <x v="7"/>
    <s v="0818"/>
    <s v="Intermediální jednotka (17A)"/>
    <s v="0818 - Intermediální jednotka (17A)"/>
    <s v="50113001     léky - paušál+TISS (LEK)"/>
    <x v="3"/>
    <x v="0"/>
    <n v="473.46746999999993"/>
    <n v="451.31219987993001"/>
  </r>
  <r>
    <s v="08"/>
    <s v="08"/>
    <s v="Porodnicko-gynekologická klinika"/>
    <x v="7"/>
    <s v="0818"/>
    <s v="Intermediální jednotka (17A)"/>
    <s v="0818 - Intermediální jednotka (17A)"/>
    <s v="50113001     léky - paušál+TISS (LEK)"/>
    <x v="3"/>
    <x v="1"/>
    <n v="504.32617999999997"/>
    <n v="611.00078128890095"/>
  </r>
  <r>
    <s v="08"/>
    <s v="08"/>
    <s v="Porodnicko-gynekologická klinika"/>
    <x v="7"/>
    <s v="0818"/>
    <s v="Intermediální jednotka (17A)"/>
    <s v="0818 - Intermediální jednotka (17A)"/>
    <s v="50113001     léky - paušál+TISS (LEK)"/>
    <x v="3"/>
    <x v="2"/>
    <n v="258.91926999999998"/>
    <n v="502"/>
  </r>
  <r>
    <s v="08"/>
    <s v="08"/>
    <s v="Porodnicko-gynekologická klinika"/>
    <x v="7"/>
    <s v="0818"/>
    <s v="Intermediální jednotka (17A)"/>
    <s v="0818 - Intermediální jednotka (17A)"/>
    <s v="50113002     léky - parenterální výživa (LEK)"/>
    <x v="17"/>
    <x v="2"/>
    <n v="9.4962099999999996"/>
    <n v="13"/>
  </r>
  <r>
    <s v="08"/>
    <s v="08"/>
    <s v="Porodnicko-gynekologická klinika"/>
    <x v="7"/>
    <s v="0818"/>
    <s v="Intermediální jednotka (17A)"/>
    <s v="0818 - Intermediální jednotka (17A)"/>
    <s v="50113006     léky - enterální výživa (LEK)"/>
    <x v="4"/>
    <x v="0"/>
    <n v="12.601960000000002"/>
    <n v="9.8826730866950001"/>
  </r>
  <r>
    <s v="08"/>
    <s v="08"/>
    <s v="Porodnicko-gynekologická klinika"/>
    <x v="7"/>
    <s v="0818"/>
    <s v="Intermediální jednotka (17A)"/>
    <s v="0818 - Intermediální jednotka (17A)"/>
    <s v="50113006     léky - enterální výživa (LEK)"/>
    <x v="4"/>
    <x v="1"/>
    <n v="8.9101900000000001"/>
    <n v="14.583132484418"/>
  </r>
  <r>
    <s v="08"/>
    <s v="08"/>
    <s v="Porodnicko-gynekologická klinika"/>
    <x v="7"/>
    <s v="0818"/>
    <s v="Intermediální jednotka (17A)"/>
    <s v="0818 - Intermediální jednotka (17A)"/>
    <s v="50113006     léky - enterální výživa (LEK)"/>
    <x v="4"/>
    <x v="2"/>
    <n v="0.12321000000000026"/>
    <n v="2"/>
  </r>
  <r>
    <s v="08"/>
    <s v="08"/>
    <s v="Porodnicko-gynekologická klinika"/>
    <x v="7"/>
    <s v="0818"/>
    <s v="Intermediální jednotka (17A)"/>
    <s v="0818 - Intermediální jednotka (17A)"/>
    <s v="50113008     léky - krev.deriváty ZUL (TO)"/>
    <x v="5"/>
    <x v="0"/>
    <n v="27.417059999999999"/>
    <n v="72.999011515869995"/>
  </r>
  <r>
    <s v="08"/>
    <s v="08"/>
    <s v="Porodnicko-gynekologická klinika"/>
    <x v="7"/>
    <s v="0818"/>
    <s v="Intermediální jednotka (17A)"/>
    <s v="0818 - Intermediální jednotka (17A)"/>
    <s v="50113008     léky - krev.deriváty ZUL (TO)"/>
    <x v="5"/>
    <x v="1"/>
    <n v="21.37548"/>
    <n v="27.000237078045998"/>
  </r>
  <r>
    <s v="08"/>
    <s v="08"/>
    <s v="Porodnicko-gynekologická klinika"/>
    <x v="7"/>
    <s v="0818"/>
    <s v="Intermediální jednotka (17A)"/>
    <s v="0818 - Intermediální jednotka (17A)"/>
    <s v="50113008     léky - krev.deriváty ZUL (TO)"/>
    <x v="5"/>
    <x v="2"/>
    <n v="118.81870000000001"/>
    <n v="21.942917580747"/>
  </r>
  <r>
    <s v="08"/>
    <s v="08"/>
    <s v="Porodnicko-gynekologická klinika"/>
    <x v="7"/>
    <s v="0818"/>
    <s v="Intermediální jednotka (17A)"/>
    <s v="0818 - Intermediální jednotka (17A)"/>
    <s v="50113013     léky (paušál) - antibiotika (LEK)"/>
    <x v="7"/>
    <x v="0"/>
    <n v="117.46822999999901"/>
    <n v="107.567779306879"/>
  </r>
  <r>
    <s v="08"/>
    <s v="08"/>
    <s v="Porodnicko-gynekologická klinika"/>
    <x v="7"/>
    <s v="0818"/>
    <s v="Intermediální jednotka (17A)"/>
    <s v="0818 - Intermediální jednotka (17A)"/>
    <s v="50113013     léky (paušál) - antibiotika (LEK)"/>
    <x v="7"/>
    <x v="1"/>
    <n v="76.053799999999995"/>
    <n v="104.989906461457"/>
  </r>
  <r>
    <s v="08"/>
    <s v="08"/>
    <s v="Porodnicko-gynekologická klinika"/>
    <x v="7"/>
    <s v="0818"/>
    <s v="Intermediální jednotka (17A)"/>
    <s v="0818 - Intermediální jednotka (17A)"/>
    <s v="50113013     léky (paušál) - antibiotika (LEK)"/>
    <x v="7"/>
    <x v="2"/>
    <n v="23.2331"/>
    <n v="75.946626468147002"/>
  </r>
  <r>
    <s v="08"/>
    <s v="08"/>
    <s v="Porodnicko-gynekologická klinika"/>
    <x v="7"/>
    <s v="0818"/>
    <s v="Intermediální jednotka (17A)"/>
    <s v="0818 - Intermediální jednotka (17A)"/>
    <s v="50113014     léky (paušál) - antimykotika (LEK)"/>
    <x v="8"/>
    <x v="0"/>
    <n v="0.35266999999999998"/>
    <n v="0.20742367030100001"/>
  </r>
  <r>
    <s v="08"/>
    <s v="08"/>
    <s v="Porodnicko-gynekologická klinika"/>
    <x v="7"/>
    <s v="0818"/>
    <s v="Intermediální jednotka (17A)"/>
    <s v="0818 - Intermediální jednotka (17A)"/>
    <s v="50113014     léky (paušál) - antimykotika (LEK)"/>
    <x v="8"/>
    <x v="1"/>
    <n v="0"/>
    <n v="0.35322971772700001"/>
  </r>
  <r>
    <s v="08"/>
    <s v="08"/>
    <s v="Porodnicko-gynekologická klinika"/>
    <x v="7"/>
    <s v="0818"/>
    <s v="Intermediální jednotka (17A)"/>
    <s v="0818 - Intermediální jednotka (17A)"/>
    <s v="50113190     medicinální plyny"/>
    <x v="9"/>
    <x v="0"/>
    <n v="0"/>
    <n v="0.31116152687900001"/>
  </r>
  <r>
    <s v="08"/>
    <s v="08"/>
    <s v="Porodnicko-gynekologická klinika"/>
    <x v="7"/>
    <s v="0818"/>
    <s v="Intermediální jednotka (17A)"/>
    <s v="0818 - Intermediální jednotka (17A)"/>
    <s v="50113190     medicinální plyny"/>
    <x v="9"/>
    <x v="1"/>
    <n v="0.37030000000000002"/>
    <n v="0"/>
  </r>
  <r>
    <s v="08"/>
    <s v="08"/>
    <s v="Porodnicko-gynekologická klinika"/>
    <x v="7"/>
    <s v="0818"/>
    <s v="Intermediální jednotka (17A)"/>
    <s v="0818 - Intermediální jednotka (17A)"/>
    <s v="50113190     medicinální plyny"/>
    <x v="9"/>
    <x v="2"/>
    <n v="0"/>
    <n v="0.35707947382900002"/>
  </r>
  <r>
    <s v="08"/>
    <s v="08"/>
    <s v="Porodnicko-gynekologická klinika"/>
    <x v="7"/>
    <s v="0818"/>
    <s v="Intermediální jednotka (17A)"/>
    <s v="0818 - Intermediální jednotka (17A)"/>
    <s v="50115     Zdravotnické prostředky"/>
    <x v="0"/>
    <x v="0"/>
    <n v="84.814700000000002"/>
    <n v="65.451914207353994"/>
  </r>
  <r>
    <s v="08"/>
    <s v="08"/>
    <s v="Porodnicko-gynekologická klinika"/>
    <x v="7"/>
    <s v="0818"/>
    <s v="Intermediální jednotka (17A)"/>
    <s v="0818 - Intermediální jednotka (17A)"/>
    <s v="50115     Zdravotnické prostředky"/>
    <x v="0"/>
    <x v="1"/>
    <n v="137.47669999999999"/>
    <n v="103.743027332078"/>
  </r>
  <r>
    <s v="08"/>
    <s v="08"/>
    <s v="Porodnicko-gynekologická klinika"/>
    <x v="7"/>
    <s v="0818"/>
    <s v="Intermediální jednotka (17A)"/>
    <s v="0818 - Intermediální jednotka (17A)"/>
    <s v="50115     Zdravotnické prostředky"/>
    <x v="0"/>
    <x v="2"/>
    <n v="90.071470000000005"/>
    <n v="141.54657046331201"/>
  </r>
  <r>
    <s v="08"/>
    <s v="08"/>
    <s v="Porodnicko-gynekologická klinika"/>
    <x v="7"/>
    <s v="0818"/>
    <s v="Intermediální jednotka (17A)"/>
    <s v="0818 - Intermediální jednotka (17A)"/>
    <s v="50115020     diagnostika laboratorní-LEK (sk.Z_501)"/>
    <x v="10"/>
    <x v="0"/>
    <n v="4.4536199999989998"/>
    <n v="3.8466621629029998"/>
  </r>
  <r>
    <s v="08"/>
    <s v="08"/>
    <s v="Porodnicko-gynekologická klinika"/>
    <x v="7"/>
    <s v="0818"/>
    <s v="Intermediální jednotka (17A)"/>
    <s v="0818 - Intermediální jednotka (17A)"/>
    <s v="50115020     diagnostika laboratorní-LEK (sk.Z_501)"/>
    <x v="10"/>
    <x v="1"/>
    <n v="2.8998200000000005"/>
    <n v="4.4536152829400004"/>
  </r>
  <r>
    <s v="08"/>
    <s v="08"/>
    <s v="Porodnicko-gynekologická klinika"/>
    <x v="7"/>
    <s v="0818"/>
    <s v="Intermediální jednotka (17A)"/>
    <s v="0818 - Intermediální jednotka (17A)"/>
    <s v="50115020     diagnostika laboratorní-LEK (sk.Z_501)"/>
    <x v="10"/>
    <x v="2"/>
    <n v="1.5535399999999999"/>
    <n v="2.2999999999999998"/>
  </r>
  <r>
    <s v="08"/>
    <s v="08"/>
    <s v="Porodnicko-gynekologická klinika"/>
    <x v="7"/>
    <s v="0818"/>
    <s v="Intermediální jednotka (17A)"/>
    <s v="0818 - Intermediální jednotka (17A)"/>
    <s v="50115050     obvazový materiál (sk.Z_502)"/>
    <x v="12"/>
    <x v="0"/>
    <n v="18.614330000000002"/>
    <n v="14.10488756014"/>
  </r>
  <r>
    <s v="08"/>
    <s v="08"/>
    <s v="Porodnicko-gynekologická klinika"/>
    <x v="7"/>
    <s v="0818"/>
    <s v="Intermediální jednotka (17A)"/>
    <s v="0818 - Intermediální jednotka (17A)"/>
    <s v="50115050     obvazový materiál (sk.Z_502)"/>
    <x v="12"/>
    <x v="1"/>
    <n v="34.38982"/>
    <n v="18.656659944375999"/>
  </r>
  <r>
    <s v="08"/>
    <s v="08"/>
    <s v="Porodnicko-gynekologická klinika"/>
    <x v="7"/>
    <s v="0818"/>
    <s v="Intermediální jednotka (17A)"/>
    <s v="0818 - Intermediální jednotka (17A)"/>
    <s v="50115050     obvazový materiál (sk.Z_502)"/>
    <x v="12"/>
    <x v="2"/>
    <n v="26.277650000000001"/>
    <n v="34.250233428036999"/>
  </r>
  <r>
    <s v="08"/>
    <s v="08"/>
    <s v="Porodnicko-gynekologická klinika"/>
    <x v="7"/>
    <s v="0818"/>
    <s v="Intermediální jednotka (17A)"/>
    <s v="0818 - Intermediální jednotka (17A)"/>
    <s v="50115060     ostatní ZPr - mimo níže uvedené (sk.Z_503)"/>
    <x v="1"/>
    <x v="0"/>
    <n v="45.888729999998993"/>
    <n v="34.261168352322002"/>
  </r>
  <r>
    <s v="08"/>
    <s v="08"/>
    <s v="Porodnicko-gynekologická klinika"/>
    <x v="7"/>
    <s v="0818"/>
    <s v="Intermediální jednotka (17A)"/>
    <s v="0818 - Intermediální jednotka (17A)"/>
    <s v="50115060     ostatní ZPr - mimo níže uvedené (sk.Z_503)"/>
    <x v="1"/>
    <x v="1"/>
    <n v="73.70187"/>
    <n v="61.607733111096998"/>
  </r>
  <r>
    <s v="08"/>
    <s v="08"/>
    <s v="Porodnicko-gynekologická klinika"/>
    <x v="7"/>
    <s v="0818"/>
    <s v="Intermediální jednotka (17A)"/>
    <s v="0818 - Intermediální jednotka (17A)"/>
    <s v="50115060     ostatní ZPr - mimo níže uvedené (sk.Z_503)"/>
    <x v="1"/>
    <x v="2"/>
    <n v="44.886320000000005"/>
    <n v="76.877364653819996"/>
  </r>
  <r>
    <s v="08"/>
    <s v="08"/>
    <s v="Porodnicko-gynekologická klinika"/>
    <x v="7"/>
    <s v="0818"/>
    <s v="Intermediální jednotka (17A)"/>
    <s v="0818 - Intermediální jednotka (17A)"/>
    <s v="50115063     ostatní ZPr - vaky, sety (sk.Z_528)"/>
    <x v="13"/>
    <x v="0"/>
    <n v="2.3221099999999999"/>
    <n v="2.4514951603830002"/>
  </r>
  <r>
    <s v="08"/>
    <s v="08"/>
    <s v="Porodnicko-gynekologická klinika"/>
    <x v="7"/>
    <s v="0818"/>
    <s v="Intermediální jednotka (17A)"/>
    <s v="0818 - Intermediální jednotka (17A)"/>
    <s v="50115063     ostatní ZPr - vaky, sety (sk.Z_528)"/>
    <x v="13"/>
    <x v="1"/>
    <n v="7.5388399999999995"/>
    <n v="2.274795554632"/>
  </r>
  <r>
    <s v="08"/>
    <s v="08"/>
    <s v="Porodnicko-gynekologická klinika"/>
    <x v="7"/>
    <s v="0818"/>
    <s v="Intermediální jednotka (17A)"/>
    <s v="0818 - Intermediální jednotka (17A)"/>
    <s v="50115063     ostatní ZPr - vaky, sety (sk.Z_528)"/>
    <x v="13"/>
    <x v="2"/>
    <n v="3.8043999999999993"/>
    <n v="7.7654509845530004"/>
  </r>
  <r>
    <s v="08"/>
    <s v="08"/>
    <s v="Porodnicko-gynekologická klinika"/>
    <x v="7"/>
    <s v="0818"/>
    <s v="Intermediální jednotka (17A)"/>
    <s v="0818 - Intermediální jednotka (17A)"/>
    <s v="50115065     ostatní ZPr - vpichovací materiál (sk.Z_530)"/>
    <x v="14"/>
    <x v="0"/>
    <n v="1.9595400000000001"/>
    <n v="0.95586815746599996"/>
  </r>
  <r>
    <s v="08"/>
    <s v="08"/>
    <s v="Porodnicko-gynekologická klinika"/>
    <x v="7"/>
    <s v="0818"/>
    <s v="Intermediální jednotka (17A)"/>
    <s v="0818 - Intermediální jednotka (17A)"/>
    <s v="50115065     ostatní ZPr - vpichovací materiál (sk.Z_530)"/>
    <x v="14"/>
    <x v="1"/>
    <n v="6.2753499999999995"/>
    <n v="4.0101270249200001"/>
  </r>
  <r>
    <s v="08"/>
    <s v="08"/>
    <s v="Porodnicko-gynekologická klinika"/>
    <x v="7"/>
    <s v="0818"/>
    <s v="Intermediální jednotka (17A)"/>
    <s v="0818 - Intermediální jednotka (17A)"/>
    <s v="50115065     ostatní ZPr - vpichovací materiál (sk.Z_530)"/>
    <x v="14"/>
    <x v="2"/>
    <n v="3.1229999999999998"/>
    <n v="6.4983632712560002"/>
  </r>
  <r>
    <s v="08"/>
    <s v="08"/>
    <s v="Porodnicko-gynekologická klinika"/>
    <x v="7"/>
    <s v="0818"/>
    <s v="Intermediální jednotka (17A)"/>
    <s v="0818 - Intermediální jednotka (17A)"/>
    <s v="50115067     ostatní ZPr - rukavice (sk.Z_532)"/>
    <x v="15"/>
    <x v="0"/>
    <n v="10.772999999999"/>
    <n v="9.831832814138"/>
  </r>
  <r>
    <s v="08"/>
    <s v="08"/>
    <s v="Porodnicko-gynekologická klinika"/>
    <x v="7"/>
    <s v="0818"/>
    <s v="Intermediální jednotka (17A)"/>
    <s v="0818 - Intermediální jednotka (17A)"/>
    <s v="50115067     ostatní ZPr - rukavice (sk.Z_532)"/>
    <x v="15"/>
    <x v="1"/>
    <n v="12.670999999999999"/>
    <n v="11.327847420898999"/>
  </r>
  <r>
    <s v="08"/>
    <s v="08"/>
    <s v="Porodnicko-gynekologická klinika"/>
    <x v="7"/>
    <s v="0818"/>
    <s v="Intermediální jednotka (17A)"/>
    <s v="0818 - Intermediální jednotka (17A)"/>
    <s v="50115067     ostatní ZPr - rukavice (sk.Z_532)"/>
    <x v="15"/>
    <x v="2"/>
    <n v="9.23"/>
    <n v="13.855158125645"/>
  </r>
  <r>
    <s v="08"/>
    <s v="08"/>
    <s v="Porodnicko-gynekologická klinika"/>
    <x v="7"/>
    <s v="0818"/>
    <s v="Intermediální jednotka (17A)"/>
    <s v="0818 - Intermediální jednotka (17A)"/>
    <s v="50115070     ostatní ZPr - katetry (sk.Z_513)"/>
    <x v="16"/>
    <x v="0"/>
    <n v="0.80337000000000003"/>
    <n v="0"/>
  </r>
  <r>
    <s v="08"/>
    <s v="08"/>
    <s v="Porodnicko-gynekologická klinika"/>
    <x v="7"/>
    <s v="0818"/>
    <s v="Intermediální jednotka (17A)"/>
    <s v="0818 - Intermediální jednotka (17A)"/>
    <s v="50115070     ostatní ZPr - katetry (sk.Z_513)"/>
    <x v="16"/>
    <x v="1"/>
    <n v="0"/>
    <n v="1.41224899321"/>
  </r>
  <r>
    <s v="08"/>
    <s v="08"/>
    <s v="Porodnicko-gynekologická klinika"/>
    <x v="7"/>
    <s v="0818"/>
    <s v="Intermediální jednotka (17A)"/>
    <s v="0818 - Intermediální jednotka (17A)"/>
    <s v="50115070     ostatní ZPr - katetry (sk.Z_513)"/>
    <x v="16"/>
    <x v="2"/>
    <n v="0.88475999999999999"/>
    <n v="0"/>
  </r>
  <r>
    <s v="08"/>
    <s v="08"/>
    <s v="Porodnicko-gynekologická klinika"/>
    <x v="7"/>
    <s v="0818"/>
    <s v="Intermediální jednotka (17A)"/>
    <s v="0818 - Intermediální jednotka (17A)"/>
    <s v="50115079     ostatní ZPr - intenzivní péče (sk.Z_542)"/>
    <x v="18"/>
    <x v="2"/>
    <n v="0.31179999999999997"/>
    <n v="0"/>
  </r>
  <r>
    <s v="08"/>
    <s v="08"/>
    <s v="Porodnicko-gynekologická klinika"/>
    <x v="7"/>
    <s v="0821"/>
    <s v="ambulance"/>
    <s v="0821 - ambulance"/>
    <s v="50113     Léky a léčiva"/>
    <x v="2"/>
    <x v="0"/>
    <n v="198.14857999999998"/>
    <n v="197.094839705189"/>
  </r>
  <r>
    <s v="08"/>
    <s v="08"/>
    <s v="Porodnicko-gynekologická klinika"/>
    <x v="7"/>
    <s v="0821"/>
    <s v="ambulance"/>
    <s v="0821 - ambulance"/>
    <s v="50113     Léky a léčiva"/>
    <x v="2"/>
    <x v="1"/>
    <n v="222.6336"/>
    <n v="266.40055698247198"/>
  </r>
  <r>
    <s v="08"/>
    <s v="08"/>
    <s v="Porodnicko-gynekologická klinika"/>
    <x v="7"/>
    <s v="0821"/>
    <s v="ambulance"/>
    <s v="0821 - ambulance"/>
    <s v="50113     Léky a léčiva"/>
    <x v="2"/>
    <x v="2"/>
    <n v="147.36785"/>
    <n v="224.691343033755"/>
  </r>
  <r>
    <s v="08"/>
    <s v="08"/>
    <s v="Porodnicko-gynekologická klinika"/>
    <x v="7"/>
    <s v="0821"/>
    <s v="ambulance"/>
    <s v="0821 - ambulance"/>
    <s v="50113001     léky - paušál+TISS (LEK)"/>
    <x v="3"/>
    <x v="0"/>
    <n v="101.018159999999"/>
    <n v="97.403509399231993"/>
  </r>
  <r>
    <s v="08"/>
    <s v="08"/>
    <s v="Porodnicko-gynekologická klinika"/>
    <x v="7"/>
    <s v="0821"/>
    <s v="ambulance"/>
    <s v="0821 - ambulance"/>
    <s v="50113001     léky - paušál+TISS (LEK)"/>
    <x v="3"/>
    <x v="1"/>
    <n v="127.2636"/>
    <n v="111.015923385706"/>
  </r>
  <r>
    <s v="08"/>
    <s v="08"/>
    <s v="Porodnicko-gynekologická klinika"/>
    <x v="7"/>
    <s v="0821"/>
    <s v="ambulance"/>
    <s v="0821 - ambulance"/>
    <s v="50113001     léky - paušál+TISS (LEK)"/>
    <x v="3"/>
    <x v="2"/>
    <n v="79.641550000000009"/>
    <n v="125.26870568185301"/>
  </r>
  <r>
    <s v="08"/>
    <s v="08"/>
    <s v="Porodnicko-gynekologická klinika"/>
    <x v="7"/>
    <s v="0821"/>
    <s v="ambulance"/>
    <s v="0821 - ambulance"/>
    <s v="50113006     léky - enterální výživa (LEK)"/>
    <x v="4"/>
    <x v="0"/>
    <n v="1.7637799999999999"/>
    <n v="0"/>
  </r>
  <r>
    <s v="08"/>
    <s v="08"/>
    <s v="Porodnicko-gynekologická klinika"/>
    <x v="7"/>
    <s v="0821"/>
    <s v="ambulance"/>
    <s v="0821 - ambulance"/>
    <s v="50113006     léky - enterální výživa (LEK)"/>
    <x v="4"/>
    <x v="1"/>
    <n v="0"/>
    <n v="1.761144886459"/>
  </r>
  <r>
    <s v="08"/>
    <s v="08"/>
    <s v="Porodnicko-gynekologická klinika"/>
    <x v="7"/>
    <s v="0821"/>
    <s v="ambulance"/>
    <s v="0821 - ambulance"/>
    <s v="50113013     léky (paušál) - antibiotika (LEK)"/>
    <x v="7"/>
    <x v="0"/>
    <n v="1.151589999999"/>
    <n v="0.84426035347399997"/>
  </r>
  <r>
    <s v="08"/>
    <s v="08"/>
    <s v="Porodnicko-gynekologická klinika"/>
    <x v="7"/>
    <s v="0821"/>
    <s v="ambulance"/>
    <s v="0821 - ambulance"/>
    <s v="50113013     léky (paušál) - antibiotika (LEK)"/>
    <x v="7"/>
    <x v="1"/>
    <n v="0.29485"/>
    <n v="0"/>
  </r>
  <r>
    <s v="08"/>
    <s v="08"/>
    <s v="Porodnicko-gynekologická klinika"/>
    <x v="7"/>
    <s v="0821"/>
    <s v="ambulance"/>
    <s v="0821 - ambulance"/>
    <s v="50113013     léky (paušál) - antibiotika (LEK)"/>
    <x v="7"/>
    <x v="2"/>
    <n v="0"/>
    <n v="0.16790879487499999"/>
  </r>
  <r>
    <s v="08"/>
    <s v="08"/>
    <s v="Porodnicko-gynekologická klinika"/>
    <x v="7"/>
    <s v="0821"/>
    <s v="ambulance"/>
    <s v="0821 - ambulance"/>
    <s v="50113190     medicinální plyny"/>
    <x v="9"/>
    <x v="0"/>
    <n v="94.215049999998996"/>
    <n v="98.847069952482002"/>
  </r>
  <r>
    <s v="08"/>
    <s v="08"/>
    <s v="Porodnicko-gynekologická klinika"/>
    <x v="7"/>
    <s v="0821"/>
    <s v="ambulance"/>
    <s v="0821 - ambulance"/>
    <s v="50113190     medicinální plyny"/>
    <x v="9"/>
    <x v="1"/>
    <n v="95.075149999999994"/>
    <n v="153.62348871030699"/>
  </r>
  <r>
    <s v="08"/>
    <s v="08"/>
    <s v="Porodnicko-gynekologická klinika"/>
    <x v="7"/>
    <s v="0821"/>
    <s v="ambulance"/>
    <s v="0821 - ambulance"/>
    <s v="50113190     medicinální plyny"/>
    <x v="9"/>
    <x v="2"/>
    <n v="67.726299999999995"/>
    <n v="99.254728557025999"/>
  </r>
  <r>
    <s v="08"/>
    <s v="08"/>
    <s v="Porodnicko-gynekologická klinika"/>
    <x v="7"/>
    <s v="0821"/>
    <s v="ambulance"/>
    <s v="0821 - ambulance"/>
    <s v="50115     Zdravotnické prostředky"/>
    <x v="0"/>
    <x v="0"/>
    <n v="317.65138000000002"/>
    <n v="385.07496588147899"/>
  </r>
  <r>
    <s v="08"/>
    <s v="08"/>
    <s v="Porodnicko-gynekologická klinika"/>
    <x v="7"/>
    <s v="0821"/>
    <s v="ambulance"/>
    <s v="0821 - ambulance"/>
    <s v="50115     Zdravotnické prostředky"/>
    <x v="0"/>
    <x v="1"/>
    <n v="298.13529999999997"/>
    <n v="457.38656357245202"/>
  </r>
  <r>
    <s v="08"/>
    <s v="08"/>
    <s v="Porodnicko-gynekologická klinika"/>
    <x v="7"/>
    <s v="0821"/>
    <s v="ambulance"/>
    <s v="0821 - ambulance"/>
    <s v="50115     Zdravotnické prostředky"/>
    <x v="0"/>
    <x v="2"/>
    <n v="183.75162999999998"/>
    <n v="254.589669590055"/>
  </r>
  <r>
    <s v="08"/>
    <s v="08"/>
    <s v="Porodnicko-gynekologická klinika"/>
    <x v="7"/>
    <s v="0821"/>
    <s v="ambulance"/>
    <s v="0821 - ambulance"/>
    <s v="50115020     diagnostika laboratorní-LEK (sk.Z_501)"/>
    <x v="10"/>
    <x v="0"/>
    <n v="22.716039999999996"/>
    <n v="36.023695222431002"/>
  </r>
  <r>
    <s v="08"/>
    <s v="08"/>
    <s v="Porodnicko-gynekologická klinika"/>
    <x v="7"/>
    <s v="0821"/>
    <s v="ambulance"/>
    <s v="0821 - ambulance"/>
    <s v="50115020     diagnostika laboratorní-LEK (sk.Z_501)"/>
    <x v="10"/>
    <x v="1"/>
    <n v="27.463469999999997"/>
    <n v="26.716019258039999"/>
  </r>
  <r>
    <s v="08"/>
    <s v="08"/>
    <s v="Porodnicko-gynekologická klinika"/>
    <x v="7"/>
    <s v="0821"/>
    <s v="ambulance"/>
    <s v="0821 - ambulance"/>
    <s v="50115020     diagnostika laboratorní-LEK (sk.Z_501)"/>
    <x v="10"/>
    <x v="2"/>
    <n v="21.740419999999997"/>
    <n v="30.784779966032001"/>
  </r>
  <r>
    <s v="08"/>
    <s v="08"/>
    <s v="Porodnicko-gynekologická klinika"/>
    <x v="7"/>
    <s v="0821"/>
    <s v="ambulance"/>
    <s v="0821 - ambulance"/>
    <s v="50115040     laboratorní materiál (sk.Z_505)"/>
    <x v="11"/>
    <x v="0"/>
    <n v="0.24299999999999999"/>
    <n v="0"/>
  </r>
  <r>
    <s v="08"/>
    <s v="08"/>
    <s v="Porodnicko-gynekologická klinika"/>
    <x v="7"/>
    <s v="0821"/>
    <s v="ambulance"/>
    <s v="0821 - ambulance"/>
    <s v="50115040     laboratorní materiál (sk.Z_505)"/>
    <x v="11"/>
    <x v="1"/>
    <n v="0.59299999999999997"/>
    <n v="0.24464364617199999"/>
  </r>
  <r>
    <s v="08"/>
    <s v="08"/>
    <s v="Porodnicko-gynekologická klinika"/>
    <x v="7"/>
    <s v="0821"/>
    <s v="ambulance"/>
    <s v="0821 - ambulance"/>
    <s v="50115040     laboratorní materiál (sk.Z_505)"/>
    <x v="11"/>
    <x v="2"/>
    <n v="0"/>
    <n v="0.52771665552199998"/>
  </r>
  <r>
    <s v="08"/>
    <s v="08"/>
    <s v="Porodnicko-gynekologická klinika"/>
    <x v="7"/>
    <s v="0821"/>
    <s v="ambulance"/>
    <s v="0821 - ambulance"/>
    <s v="50115050     obvazový materiál (sk.Z_502)"/>
    <x v="12"/>
    <x v="0"/>
    <n v="35.296159999998999"/>
    <n v="36.299387260354997"/>
  </r>
  <r>
    <s v="08"/>
    <s v="08"/>
    <s v="Porodnicko-gynekologická klinika"/>
    <x v="7"/>
    <s v="0821"/>
    <s v="ambulance"/>
    <s v="0821 - ambulance"/>
    <s v="50115050     obvazový materiál (sk.Z_502)"/>
    <x v="12"/>
    <x v="1"/>
    <n v="58.039870000000008"/>
    <n v="37.376428514936997"/>
  </r>
  <r>
    <s v="08"/>
    <s v="08"/>
    <s v="Porodnicko-gynekologická klinika"/>
    <x v="7"/>
    <s v="0821"/>
    <s v="ambulance"/>
    <s v="0821 - ambulance"/>
    <s v="50115050     obvazový materiál (sk.Z_502)"/>
    <x v="12"/>
    <x v="2"/>
    <n v="27.973640000000003"/>
    <n v="55.714015575467002"/>
  </r>
  <r>
    <s v="08"/>
    <s v="08"/>
    <s v="Porodnicko-gynekologická klinika"/>
    <x v="7"/>
    <s v="0821"/>
    <s v="ambulance"/>
    <s v="0821 - ambulance"/>
    <s v="50115060     ostatní ZPr - mimo níže uvedené (sk.Z_503)"/>
    <x v="1"/>
    <x v="0"/>
    <n v="109.141499999999"/>
    <n v="128.76403889632499"/>
  </r>
  <r>
    <s v="08"/>
    <s v="08"/>
    <s v="Porodnicko-gynekologická klinika"/>
    <x v="7"/>
    <s v="0821"/>
    <s v="ambulance"/>
    <s v="0821 - ambulance"/>
    <s v="50115060     ostatní ZPr - mimo níže uvedené (sk.Z_503)"/>
    <x v="1"/>
    <x v="1"/>
    <n v="119.51612999999999"/>
    <n v="145.28436586362901"/>
  </r>
  <r>
    <s v="08"/>
    <s v="08"/>
    <s v="Porodnicko-gynekologická klinika"/>
    <x v="7"/>
    <s v="0821"/>
    <s v="ambulance"/>
    <s v="0821 - ambulance"/>
    <s v="50115060     ostatní ZPr - mimo níže uvedené (sk.Z_503)"/>
    <x v="1"/>
    <x v="2"/>
    <n v="84.68598999999999"/>
    <n v="119.080135213638"/>
  </r>
  <r>
    <s v="08"/>
    <s v="08"/>
    <s v="Porodnicko-gynekologická klinika"/>
    <x v="7"/>
    <s v="0821"/>
    <s v="ambulance"/>
    <s v="0821 - ambulance"/>
    <s v="50115065     ostatní ZPr - vpichovací materiál (sk.Z_530)"/>
    <x v="14"/>
    <x v="0"/>
    <n v="0.41699999999899995"/>
    <n v="0"/>
  </r>
  <r>
    <s v="08"/>
    <s v="08"/>
    <s v="Porodnicko-gynekologická klinika"/>
    <x v="7"/>
    <s v="0821"/>
    <s v="ambulance"/>
    <s v="0821 - ambulance"/>
    <s v="50115065     ostatní ZPr - vpichovací materiál (sk.Z_530)"/>
    <x v="14"/>
    <x v="1"/>
    <n v="4.1379999999999999"/>
    <n v="0.42776517416900001"/>
  </r>
  <r>
    <s v="08"/>
    <s v="08"/>
    <s v="Porodnicko-gynekologická klinika"/>
    <x v="7"/>
    <s v="0821"/>
    <s v="ambulance"/>
    <s v="0821 - ambulance"/>
    <s v="50115065     ostatní ZPr - vpichovací materiál (sk.Z_530)"/>
    <x v="14"/>
    <x v="2"/>
    <n v="2.2429999999999999"/>
    <n v="2.6362870446270001"/>
  </r>
  <r>
    <s v="08"/>
    <s v="08"/>
    <s v="Porodnicko-gynekologická klinika"/>
    <x v="7"/>
    <s v="0821"/>
    <s v="ambulance"/>
    <s v="0821 - ambulance"/>
    <s v="50115067     ostatní ZPr - rukavice (sk.Z_532)"/>
    <x v="15"/>
    <x v="0"/>
    <n v="17.077000000000002"/>
    <n v="26.908272063826999"/>
  </r>
  <r>
    <s v="08"/>
    <s v="08"/>
    <s v="Porodnicko-gynekologická klinika"/>
    <x v="7"/>
    <s v="0821"/>
    <s v="ambulance"/>
    <s v="0821 - ambulance"/>
    <s v="50115067     ostatní ZPr - rukavice (sk.Z_532)"/>
    <x v="15"/>
    <x v="1"/>
    <n v="19.484999999999999"/>
    <n v="17.956525610943999"/>
  </r>
  <r>
    <s v="08"/>
    <s v="08"/>
    <s v="Porodnicko-gynekologická klinika"/>
    <x v="7"/>
    <s v="0821"/>
    <s v="ambulance"/>
    <s v="0821 - ambulance"/>
    <s v="50115067     ostatní ZPr - rukavice (sk.Z_532)"/>
    <x v="15"/>
    <x v="2"/>
    <n v="12.069999999999999"/>
    <n v="19.133408199462998"/>
  </r>
  <r>
    <s v="08"/>
    <s v="08"/>
    <s v="Porodnicko-gynekologická klinika"/>
    <x v="7"/>
    <s v="0821"/>
    <s v="ambulance"/>
    <s v="0821 - ambulance"/>
    <s v="50115070     ostatní ZPr - katetry (sk.Z_513)"/>
    <x v="16"/>
    <x v="0"/>
    <n v="132.76067999999998"/>
    <n v="157.079572438539"/>
  </r>
  <r>
    <s v="08"/>
    <s v="08"/>
    <s v="Porodnicko-gynekologická klinika"/>
    <x v="7"/>
    <s v="0821"/>
    <s v="ambulance"/>
    <s v="0821 - ambulance"/>
    <s v="50115070     ostatní ZPr - katetry (sk.Z_513)"/>
    <x v="16"/>
    <x v="1"/>
    <n v="68.899830000000009"/>
    <n v="229.380815504559"/>
  </r>
  <r>
    <s v="08"/>
    <s v="08"/>
    <s v="Porodnicko-gynekologická klinika"/>
    <x v="7"/>
    <s v="0821"/>
    <s v="ambulance"/>
    <s v="0821 - ambulance"/>
    <s v="50115070     ostatní ZPr - katetry (sk.Z_513)"/>
    <x v="16"/>
    <x v="2"/>
    <n v="35.038579999999996"/>
    <n v="26.713326935304"/>
  </r>
  <r>
    <s v="08"/>
    <s v="08"/>
    <s v="Porodnicko-gynekologická klinika"/>
    <x v="7"/>
    <s v="0822"/>
    <s v="ambulance - fetální medicína"/>
    <s v="0822 - ambulance - fetální medicína"/>
    <s v="50113     Léky a léčiva"/>
    <x v="2"/>
    <x v="1"/>
    <n v="80.132689999999997"/>
    <n v="0"/>
  </r>
  <r>
    <s v="08"/>
    <s v="08"/>
    <s v="Porodnicko-gynekologická klinika"/>
    <x v="7"/>
    <s v="0822"/>
    <s v="ambulance - fetální medicína"/>
    <s v="0822 - ambulance - fetální medicína"/>
    <s v="50113     Léky a léčiva"/>
    <x v="2"/>
    <x v="2"/>
    <n v="189.78381999999999"/>
    <n v="449.99999285004998"/>
  </r>
  <r>
    <s v="08"/>
    <s v="08"/>
    <s v="Porodnicko-gynekologická klinika"/>
    <x v="7"/>
    <s v="0822"/>
    <s v="ambulance - fetální medicína"/>
    <s v="0822 - ambulance - fetální medicína"/>
    <s v="50113001     léky - paušál+TISS (LEK)"/>
    <x v="3"/>
    <x v="1"/>
    <n v="80.132689999999997"/>
    <n v="0"/>
  </r>
  <r>
    <s v="08"/>
    <s v="08"/>
    <s v="Porodnicko-gynekologická klinika"/>
    <x v="7"/>
    <s v="0822"/>
    <s v="ambulance - fetální medicína"/>
    <s v="0822 - ambulance - fetální medicína"/>
    <s v="50113001     léky - paušál+TISS (LEK)"/>
    <x v="3"/>
    <x v="2"/>
    <n v="189.78381999999999"/>
    <n v="449.99999285004998"/>
  </r>
  <r>
    <s v="08"/>
    <s v="08"/>
    <s v="Porodnicko-gynekologická klinika"/>
    <x v="7"/>
    <s v="0822"/>
    <s v="ambulance - fetální medicína"/>
    <s v="0822 - ambulance - fetální medicína"/>
    <s v="50115     Zdravotnické prostředky"/>
    <x v="0"/>
    <x v="1"/>
    <n v="79.955579999999998"/>
    <n v="0"/>
  </r>
  <r>
    <s v="08"/>
    <s v="08"/>
    <s v="Porodnicko-gynekologická klinika"/>
    <x v="7"/>
    <s v="0822"/>
    <s v="ambulance - fetální medicína"/>
    <s v="0822 - ambulance - fetální medicína"/>
    <s v="50115     Zdravotnické prostředky"/>
    <x v="0"/>
    <x v="2"/>
    <n v="145.45348999999999"/>
    <n v="260.39999455091902"/>
  </r>
  <r>
    <s v="08"/>
    <s v="08"/>
    <s v="Porodnicko-gynekologická klinika"/>
    <x v="7"/>
    <s v="0822"/>
    <s v="ambulance - fetální medicína"/>
    <s v="0822 - ambulance - fetální medicína"/>
    <s v="50115020     diagnostika laboratorní-LEK (sk.Z_501)"/>
    <x v="10"/>
    <x v="1"/>
    <n v="1.1543399999999999"/>
    <n v="0"/>
  </r>
  <r>
    <s v="08"/>
    <s v="08"/>
    <s v="Porodnicko-gynekologická klinika"/>
    <x v="7"/>
    <s v="0822"/>
    <s v="ambulance - fetální medicína"/>
    <s v="0822 - ambulance - fetální medicína"/>
    <s v="50115020     diagnostika laboratorní-LEK (sk.Z_501)"/>
    <x v="10"/>
    <x v="2"/>
    <n v="5.4644000000000004"/>
    <n v="3.4"/>
  </r>
  <r>
    <s v="08"/>
    <s v="08"/>
    <s v="Porodnicko-gynekologická klinika"/>
    <x v="7"/>
    <s v="0822"/>
    <s v="ambulance - fetální medicína"/>
    <s v="0822 - ambulance - fetální medicína"/>
    <s v="50115050     obvazový materiál (sk.Z_502)"/>
    <x v="12"/>
    <x v="1"/>
    <n v="13.974830000000001"/>
    <n v="0"/>
  </r>
  <r>
    <s v="08"/>
    <s v="08"/>
    <s v="Porodnicko-gynekologická klinika"/>
    <x v="7"/>
    <s v="0822"/>
    <s v="ambulance - fetální medicína"/>
    <s v="0822 - ambulance - fetální medicína"/>
    <s v="50115050     obvazový materiál (sk.Z_502)"/>
    <x v="12"/>
    <x v="2"/>
    <n v="27.075830000000003"/>
    <n v="41.999999212559999"/>
  </r>
  <r>
    <s v="08"/>
    <s v="08"/>
    <s v="Porodnicko-gynekologická klinika"/>
    <x v="7"/>
    <s v="0822"/>
    <s v="ambulance - fetální medicína"/>
    <s v="0822 - ambulance - fetální medicína"/>
    <s v="50115060     ostatní ZPr - mimo níže uvedené (sk.Z_503)"/>
    <x v="1"/>
    <x v="1"/>
    <n v="12.35951"/>
    <n v="0"/>
  </r>
  <r>
    <s v="08"/>
    <s v="08"/>
    <s v="Porodnicko-gynekologická klinika"/>
    <x v="7"/>
    <s v="0822"/>
    <s v="ambulance - fetální medicína"/>
    <s v="0822 - ambulance - fetální medicína"/>
    <s v="50115060     ostatní ZPr - mimo níže uvedené (sk.Z_503)"/>
    <x v="1"/>
    <x v="2"/>
    <n v="24.666309999999999"/>
    <n v="55.999999212559999"/>
  </r>
  <r>
    <s v="08"/>
    <s v="08"/>
    <s v="Porodnicko-gynekologická klinika"/>
    <x v="7"/>
    <s v="0822"/>
    <s v="ambulance - fetální medicína"/>
    <s v="0822 - ambulance - fetální medicína"/>
    <s v="50115065     ostatní ZPr - vpichovací materiál (sk.Z_530)"/>
    <x v="14"/>
    <x v="1"/>
    <n v="46.728500000000004"/>
    <n v="0"/>
  </r>
  <r>
    <s v="08"/>
    <s v="08"/>
    <s v="Porodnicko-gynekologická klinika"/>
    <x v="7"/>
    <s v="0822"/>
    <s v="ambulance - fetální medicína"/>
    <s v="0822 - ambulance - fetální medicína"/>
    <s v="50115065     ostatní ZPr - vpichovací materiál (sk.Z_530)"/>
    <x v="14"/>
    <x v="2"/>
    <n v="59.167500000000004"/>
    <n v="134.999996535267"/>
  </r>
  <r>
    <s v="08"/>
    <s v="08"/>
    <s v="Porodnicko-gynekologická klinika"/>
    <x v="7"/>
    <s v="0822"/>
    <s v="ambulance - fetální medicína"/>
    <s v="0822 - ambulance - fetální medicína"/>
    <s v="50115067     ostatní ZPr - rukavice (sk.Z_532)"/>
    <x v="15"/>
    <x v="1"/>
    <n v="5.7384000000000004"/>
    <n v="0"/>
  </r>
  <r>
    <s v="08"/>
    <s v="08"/>
    <s v="Porodnicko-gynekologická klinika"/>
    <x v="7"/>
    <s v="0822"/>
    <s v="ambulance - fetální medicína"/>
    <s v="0822 - ambulance - fetální medicína"/>
    <s v="50115067     ostatní ZPr - rukavice (sk.Z_532)"/>
    <x v="15"/>
    <x v="2"/>
    <n v="13.418899999999999"/>
    <n v="23.999999590531001"/>
  </r>
  <r>
    <s v="08"/>
    <s v="08"/>
    <s v="Porodnicko-gynekologická klinika"/>
    <x v="7"/>
    <s v="0822"/>
    <s v="ambulance - fetální medicína"/>
    <s v="0822 - ambulance - fetální medicína"/>
    <s v="50115070     ostatní ZPr - katetry (sk.Z_513)"/>
    <x v="16"/>
    <x v="2"/>
    <n v="15.64494"/>
    <n v="0"/>
  </r>
  <r>
    <s v="08"/>
    <s v="08"/>
    <s v="Porodnicko-gynekologická klinika"/>
    <x v="7"/>
    <s v="0822"/>
    <s v="ambulance - fetální medicína"/>
    <s v="0822 - ambulance - fetální medicína"/>
    <s v="50115079     ostatní ZPr - intenzivní péče (sk.Z_542)"/>
    <x v="18"/>
    <x v="2"/>
    <n v="1.5610000000000001E-2"/>
    <n v="0"/>
  </r>
  <r>
    <s v="08"/>
    <s v="08"/>
    <s v="Porodnicko-gynekologická klinika"/>
    <x v="7"/>
    <s v="0823"/>
    <s v="centrum asistované reprodukce"/>
    <s v="0823 - centrum asistované reprodukce"/>
    <s v="50113     Léky a léčiva"/>
    <x v="2"/>
    <x v="0"/>
    <n v="5955.7460799999999"/>
    <n v="6961.4776784258702"/>
  </r>
  <r>
    <s v="08"/>
    <s v="08"/>
    <s v="Porodnicko-gynekologická klinika"/>
    <x v="7"/>
    <s v="0823"/>
    <s v="centrum asistované reprodukce"/>
    <s v="0823 - centrum asistované reprodukce"/>
    <s v="50113     Léky a léčiva"/>
    <x v="2"/>
    <x v="1"/>
    <n v="4133.3471200000022"/>
    <n v="6120.6548032452802"/>
  </r>
  <r>
    <s v="08"/>
    <s v="08"/>
    <s v="Porodnicko-gynekologická klinika"/>
    <x v="7"/>
    <s v="0823"/>
    <s v="centrum asistované reprodukce"/>
    <s v="0823 - centrum asistované reprodukce"/>
    <s v="50113     Léky a léčiva"/>
    <x v="2"/>
    <x v="2"/>
    <n v="3029.9112200000009"/>
    <n v="4195.9213845594604"/>
  </r>
  <r>
    <s v="08"/>
    <s v="08"/>
    <s v="Porodnicko-gynekologická klinika"/>
    <x v="7"/>
    <s v="0823"/>
    <s v="centrum asistované reprodukce"/>
    <s v="0823 - centrum asistované reprodukce"/>
    <s v="50113001     léky - paušál+TISS (LEK)"/>
    <x v="3"/>
    <x v="0"/>
    <n v="5693.6742799999993"/>
    <n v="6727.7477998273498"/>
  </r>
  <r>
    <s v="08"/>
    <s v="08"/>
    <s v="Porodnicko-gynekologická klinika"/>
    <x v="7"/>
    <s v="0823"/>
    <s v="centrum asistované reprodukce"/>
    <s v="0823 - centrum asistované reprodukce"/>
    <s v="50113001     léky - paušál+TISS (LEK)"/>
    <x v="3"/>
    <x v="1"/>
    <n v="3840.0037000000016"/>
    <n v="5693.5486105066202"/>
  </r>
  <r>
    <s v="08"/>
    <s v="08"/>
    <s v="Porodnicko-gynekologická klinika"/>
    <x v="7"/>
    <s v="0823"/>
    <s v="centrum asistované reprodukce"/>
    <s v="0823 - centrum asistované reprodukce"/>
    <s v="50113001     léky - paušál+TISS (LEK)"/>
    <x v="3"/>
    <x v="2"/>
    <n v="2828.8630200000011"/>
    <n v="3899.9998771594501"/>
  </r>
  <r>
    <s v="08"/>
    <s v="08"/>
    <s v="Porodnicko-gynekologická klinika"/>
    <x v="7"/>
    <s v="0823"/>
    <s v="centrum asistované reprodukce"/>
    <s v="0823 - centrum asistované reprodukce"/>
    <s v="50113008     léky - krev.deriváty ZUL (TO)"/>
    <x v="5"/>
    <x v="0"/>
    <n v="0"/>
    <n v="4.1941686709960004"/>
  </r>
  <r>
    <s v="08"/>
    <s v="08"/>
    <s v="Porodnicko-gynekologická klinika"/>
    <x v="7"/>
    <s v="0823"/>
    <s v="centrum asistované reprodukce"/>
    <s v="0823 - centrum asistované reprodukce"/>
    <s v="50113008     léky - krev.deriváty ZUL (TO)"/>
    <x v="5"/>
    <x v="1"/>
    <n v="12.667860000000001"/>
    <n v="0"/>
  </r>
  <r>
    <s v="08"/>
    <s v="08"/>
    <s v="Porodnicko-gynekologická klinika"/>
    <x v="7"/>
    <s v="0823"/>
    <s v="centrum asistované reprodukce"/>
    <s v="0823 - centrum asistované reprodukce"/>
    <s v="50113008     léky - krev.deriváty ZUL (TO)"/>
    <x v="5"/>
    <x v="2"/>
    <n v="0"/>
    <n v="9.1601717258860003"/>
  </r>
  <r>
    <s v="08"/>
    <s v="08"/>
    <s v="Porodnicko-gynekologická klinika"/>
    <x v="7"/>
    <s v="0823"/>
    <s v="centrum asistované reprodukce"/>
    <s v="0823 - centrum asistované reprodukce"/>
    <s v="50113013     léky (paušál) - antibiotika (LEK)"/>
    <x v="7"/>
    <x v="0"/>
    <n v="0.35300999999999999"/>
    <n v="1.024745079289"/>
  </r>
  <r>
    <s v="08"/>
    <s v="08"/>
    <s v="Porodnicko-gynekologická klinika"/>
    <x v="7"/>
    <s v="0823"/>
    <s v="centrum asistované reprodukce"/>
    <s v="0823 - centrum asistované reprodukce"/>
    <s v="50113013     léky (paušál) - antibiotika (LEK)"/>
    <x v="7"/>
    <x v="1"/>
    <n v="0"/>
    <n v="0.35745587718600003"/>
  </r>
  <r>
    <s v="08"/>
    <s v="08"/>
    <s v="Porodnicko-gynekologická klinika"/>
    <x v="7"/>
    <s v="0823"/>
    <s v="centrum asistované reprodukce"/>
    <s v="0823 - centrum asistované reprodukce"/>
    <s v="50113190     medicinální plyny"/>
    <x v="9"/>
    <x v="0"/>
    <n v="261.71878999999996"/>
    <n v="228.51096484823699"/>
  </r>
  <r>
    <s v="08"/>
    <s v="08"/>
    <s v="Porodnicko-gynekologická klinika"/>
    <x v="7"/>
    <s v="0823"/>
    <s v="centrum asistované reprodukce"/>
    <s v="0823 - centrum asistované reprodukce"/>
    <s v="50113190     medicinální plyny"/>
    <x v="9"/>
    <x v="1"/>
    <n v="280.67556000000002"/>
    <n v="426.74873686146998"/>
  </r>
  <r>
    <s v="08"/>
    <s v="08"/>
    <s v="Porodnicko-gynekologická klinika"/>
    <x v="7"/>
    <s v="0823"/>
    <s v="centrum asistované reprodukce"/>
    <s v="0823 - centrum asistované reprodukce"/>
    <s v="50113190     medicinální plyny"/>
    <x v="9"/>
    <x v="2"/>
    <n v="201.04819999999995"/>
    <n v="286.76133567412103"/>
  </r>
  <r>
    <s v="08"/>
    <s v="08"/>
    <s v="Porodnicko-gynekologická klinika"/>
    <x v="7"/>
    <s v="0823"/>
    <s v="centrum asistované reprodukce"/>
    <s v="0823 - centrum asistované reprodukce"/>
    <s v="50115     Zdravotnické prostředky"/>
    <x v="0"/>
    <x v="0"/>
    <n v="2502.6640000000007"/>
    <n v="2547.6634873814701"/>
  </r>
  <r>
    <s v="08"/>
    <s v="08"/>
    <s v="Porodnicko-gynekologická klinika"/>
    <x v="7"/>
    <s v="0823"/>
    <s v="centrum asistované reprodukce"/>
    <s v="0823 - centrum asistované reprodukce"/>
    <s v="50115     Zdravotnické prostředky"/>
    <x v="0"/>
    <x v="1"/>
    <n v="2595.7970400000008"/>
    <n v="2910.0189833193999"/>
  </r>
  <r>
    <s v="08"/>
    <s v="08"/>
    <s v="Porodnicko-gynekologická klinika"/>
    <x v="7"/>
    <s v="0823"/>
    <s v="centrum asistované reprodukce"/>
    <s v="0823 - centrum asistované reprodukce"/>
    <s v="50115     Zdravotnické prostředky"/>
    <x v="0"/>
    <x v="2"/>
    <n v="2068.6013699999999"/>
    <n v="2867.2572983741602"/>
  </r>
  <r>
    <s v="08"/>
    <s v="08"/>
    <s v="Porodnicko-gynekologická klinika"/>
    <x v="7"/>
    <s v="0823"/>
    <s v="centrum asistované reprodukce"/>
    <s v="0823 - centrum asistované reprodukce"/>
    <s v="50115020     diagnostika laboratorní-LEK (sk.Z_501)"/>
    <x v="10"/>
    <x v="0"/>
    <n v="926.54138000000012"/>
    <n v="912.59428197070599"/>
  </r>
  <r>
    <s v="08"/>
    <s v="08"/>
    <s v="Porodnicko-gynekologická klinika"/>
    <x v="7"/>
    <s v="0823"/>
    <s v="centrum asistované reprodukce"/>
    <s v="0823 - centrum asistované reprodukce"/>
    <s v="50115020     diagnostika laboratorní-LEK (sk.Z_501)"/>
    <x v="10"/>
    <x v="1"/>
    <n v="1151.7902500000009"/>
    <n v="926.54039865200502"/>
  </r>
  <r>
    <s v="08"/>
    <s v="08"/>
    <s v="Porodnicko-gynekologická klinika"/>
    <x v="7"/>
    <s v="0823"/>
    <s v="centrum asistované reprodukce"/>
    <s v="0823 - centrum asistované reprodukce"/>
    <s v="50115020     diagnostika laboratorní-LEK (sk.Z_501)"/>
    <x v="10"/>
    <x v="2"/>
    <n v="876.03636000000006"/>
    <n v="1200.4178179205101"/>
  </r>
  <r>
    <s v="08"/>
    <s v="08"/>
    <s v="Porodnicko-gynekologická klinika"/>
    <x v="7"/>
    <s v="0823"/>
    <s v="centrum asistované reprodukce"/>
    <s v="0823 - centrum asistované reprodukce"/>
    <s v="50115040     laboratorní materiál (sk.Z_505)"/>
    <x v="11"/>
    <x v="0"/>
    <n v="583.98347999999908"/>
    <n v="641.07281163891901"/>
  </r>
  <r>
    <s v="08"/>
    <s v="08"/>
    <s v="Porodnicko-gynekologická klinika"/>
    <x v="7"/>
    <s v="0823"/>
    <s v="centrum asistované reprodukce"/>
    <s v="0823 - centrum asistované reprodukce"/>
    <s v="50115040     laboratorní materiál (sk.Z_505)"/>
    <x v="11"/>
    <x v="1"/>
    <n v="368.76075999999995"/>
    <n v="559.92708199496201"/>
  </r>
  <r>
    <s v="08"/>
    <s v="08"/>
    <s v="Porodnicko-gynekologická klinika"/>
    <x v="7"/>
    <s v="0823"/>
    <s v="centrum asistované reprodukce"/>
    <s v="0823 - centrum asistované reprodukce"/>
    <s v="50115040     laboratorní materiál (sk.Z_505)"/>
    <x v="11"/>
    <x v="2"/>
    <n v="346.45907999999997"/>
    <n v="584.47226491839501"/>
  </r>
  <r>
    <s v="08"/>
    <s v="08"/>
    <s v="Porodnicko-gynekologická klinika"/>
    <x v="7"/>
    <s v="0823"/>
    <s v="centrum asistované reprodukce"/>
    <s v="0823 - centrum asistované reprodukce"/>
    <s v="50115050     obvazový materiál (sk.Z_502)"/>
    <x v="12"/>
    <x v="0"/>
    <n v="15.630279999999001"/>
    <n v="13.314798767004"/>
  </r>
  <r>
    <s v="08"/>
    <s v="08"/>
    <s v="Porodnicko-gynekologická klinika"/>
    <x v="7"/>
    <s v="0823"/>
    <s v="centrum asistované reprodukce"/>
    <s v="0823 - centrum asistované reprodukce"/>
    <s v="50115050     obvazový materiál (sk.Z_502)"/>
    <x v="12"/>
    <x v="1"/>
    <n v="16.125900000000001"/>
    <n v="15.665824061105999"/>
  </r>
  <r>
    <s v="08"/>
    <s v="08"/>
    <s v="Porodnicko-gynekologická klinika"/>
    <x v="7"/>
    <s v="0823"/>
    <s v="centrum asistované reprodukce"/>
    <s v="0823 - centrum asistované reprodukce"/>
    <s v="50115050     obvazový materiál (sk.Z_502)"/>
    <x v="12"/>
    <x v="2"/>
    <n v="14.803410000000001"/>
    <n v="17.870062123482001"/>
  </r>
  <r>
    <s v="08"/>
    <s v="08"/>
    <s v="Porodnicko-gynekologická klinika"/>
    <x v="7"/>
    <s v="0823"/>
    <s v="centrum asistované reprodukce"/>
    <s v="0823 - centrum asistované reprodukce"/>
    <s v="50115060     ostatní ZPr - mimo níže uvedené (sk.Z_503)"/>
    <x v="1"/>
    <x v="0"/>
    <n v="248.34814999999901"/>
    <n v="233.00514659102501"/>
  </r>
  <r>
    <s v="08"/>
    <s v="08"/>
    <s v="Porodnicko-gynekologická klinika"/>
    <x v="7"/>
    <s v="0823"/>
    <s v="centrum asistované reprodukce"/>
    <s v="0823 - centrum asistované reprodukce"/>
    <s v="50115060     ostatní ZPr - mimo níže uvedené (sk.Z_503)"/>
    <x v="1"/>
    <x v="1"/>
    <n v="236.38746999999998"/>
    <n v="344.24254818179799"/>
  </r>
  <r>
    <s v="08"/>
    <s v="08"/>
    <s v="Porodnicko-gynekologická klinika"/>
    <x v="7"/>
    <s v="0823"/>
    <s v="centrum asistované reprodukce"/>
    <s v="0823 - centrum asistované reprodukce"/>
    <s v="50115060     ostatní ZPr - mimo níže uvedené (sk.Z_503)"/>
    <x v="1"/>
    <x v="2"/>
    <n v="156.84721999999999"/>
    <n v="220.99999303903601"/>
  </r>
  <r>
    <s v="08"/>
    <s v="08"/>
    <s v="Porodnicko-gynekologická klinika"/>
    <x v="7"/>
    <s v="0823"/>
    <s v="centrum asistované reprodukce"/>
    <s v="0823 - centrum asistované reprodukce"/>
    <s v="50115063     ostatní ZPr - vaky, sety (sk.Z_528)"/>
    <x v="13"/>
    <x v="0"/>
    <n v="0.2218"/>
    <n v="6.1932513044349999"/>
  </r>
  <r>
    <s v="08"/>
    <s v="08"/>
    <s v="Porodnicko-gynekologická klinika"/>
    <x v="7"/>
    <s v="0823"/>
    <s v="centrum asistované reprodukce"/>
    <s v="0823 - centrum asistované reprodukce"/>
    <s v="50115063     ostatní ZPr - vaky, sety (sk.Z_528)"/>
    <x v="13"/>
    <x v="1"/>
    <n v="0.6532"/>
    <n v="0.21728068610699999"/>
  </r>
  <r>
    <s v="08"/>
    <s v="08"/>
    <s v="Porodnicko-gynekologická klinika"/>
    <x v="7"/>
    <s v="0823"/>
    <s v="centrum asistované reprodukce"/>
    <s v="0823 - centrum asistované reprodukce"/>
    <s v="50115063     ostatní ZPr - vaky, sety (sk.Z_528)"/>
    <x v="13"/>
    <x v="2"/>
    <n v="0.32679999999999998"/>
    <n v="0.71605126359500004"/>
  </r>
  <r>
    <s v="08"/>
    <s v="08"/>
    <s v="Porodnicko-gynekologická klinika"/>
    <x v="7"/>
    <s v="0823"/>
    <s v="centrum asistované reprodukce"/>
    <s v="0823 - centrum asistované reprodukce"/>
    <s v="50115065     ostatní ZPr - vpichovací materiál (sk.Z_530)"/>
    <x v="14"/>
    <x v="0"/>
    <n v="309.02791000000002"/>
    <n v="341.37010728253898"/>
  </r>
  <r>
    <s v="08"/>
    <s v="08"/>
    <s v="Porodnicko-gynekologická klinika"/>
    <x v="7"/>
    <s v="0823"/>
    <s v="centrum asistované reprodukce"/>
    <s v="0823 - centrum asistované reprodukce"/>
    <s v="50115065     ostatní ZPr - vpichovací materiál (sk.Z_530)"/>
    <x v="14"/>
    <x v="1"/>
    <n v="356.572"/>
    <n v="345.00573163906301"/>
  </r>
  <r>
    <s v="08"/>
    <s v="08"/>
    <s v="Porodnicko-gynekologická klinika"/>
    <x v="7"/>
    <s v="0823"/>
    <s v="centrum asistované reprodukce"/>
    <s v="0823 - centrum asistované reprodukce"/>
    <s v="50115065     ostatní ZPr - vpichovací materiál (sk.Z_530)"/>
    <x v="14"/>
    <x v="2"/>
    <n v="297.64240000000001"/>
    <n v="334.99998944831202"/>
  </r>
  <r>
    <s v="08"/>
    <s v="08"/>
    <s v="Porodnicko-gynekologická klinika"/>
    <x v="7"/>
    <s v="0823"/>
    <s v="centrum asistované reprodukce"/>
    <s v="0823 - centrum asistované reprodukce"/>
    <s v="50115067     ostatní ZPr - rukavice (sk.Z_532)"/>
    <x v="15"/>
    <x v="0"/>
    <n v="25.461499999999997"/>
    <n v="20.698638974268"/>
  </r>
  <r>
    <s v="08"/>
    <s v="08"/>
    <s v="Porodnicko-gynekologická klinika"/>
    <x v="7"/>
    <s v="0823"/>
    <s v="centrum asistované reprodukce"/>
    <s v="0823 - centrum asistované reprodukce"/>
    <s v="50115067     ostatní ZPr - rukavice (sk.Z_532)"/>
    <x v="15"/>
    <x v="1"/>
    <n v="45.091459999999998"/>
    <n v="26.772856874336"/>
  </r>
  <r>
    <s v="08"/>
    <s v="08"/>
    <s v="Porodnicko-gynekologická klinika"/>
    <x v="7"/>
    <s v="0823"/>
    <s v="centrum asistované reprodukce"/>
    <s v="0823 - centrum asistované reprodukce"/>
    <s v="50115067     ostatní ZPr - rukavice (sk.Z_532)"/>
    <x v="15"/>
    <x v="2"/>
    <n v="28.33925"/>
    <n v="41.999998677100997"/>
  </r>
  <r>
    <s v="08"/>
    <s v="08"/>
    <s v="Porodnicko-gynekologická klinika"/>
    <x v="7"/>
    <s v="0823"/>
    <s v="centrum asistované reprodukce"/>
    <s v="0823 - centrum asistované reprodukce"/>
    <s v="50115070     ostatní ZPr - katetry (sk.Z_513)"/>
    <x v="16"/>
    <x v="0"/>
    <n v="393.44949999999892"/>
    <n v="379.41445085256697"/>
  </r>
  <r>
    <s v="08"/>
    <s v="08"/>
    <s v="Porodnicko-gynekologická klinika"/>
    <x v="7"/>
    <s v="0823"/>
    <s v="centrum asistované reprodukce"/>
    <s v="0823 - centrum asistované reprodukce"/>
    <s v="50115070     ostatní ZPr - katetry (sk.Z_513)"/>
    <x v="16"/>
    <x v="1"/>
    <n v="420.416"/>
    <n v="691.64726123002299"/>
  </r>
  <r>
    <s v="08"/>
    <s v="08"/>
    <s v="Porodnicko-gynekologická klinika"/>
    <x v="7"/>
    <s v="0823"/>
    <s v="centrum asistované reprodukce"/>
    <s v="0823 - centrum asistované reprodukce"/>
    <s v="50115070     ostatní ZPr - katetry (sk.Z_513)"/>
    <x v="16"/>
    <x v="2"/>
    <n v="348.14684999999997"/>
    <n v="465.781120983726"/>
  </r>
  <r>
    <s v="08"/>
    <s v="08"/>
    <s v="Porodnicko-gynekologická klinika"/>
    <x v="7"/>
    <s v="0832"/>
    <s v="JIP 19 (porodní sál)"/>
    <s v="0832 - JIP 19 (porodní sál)"/>
    <s v="50113     Léky a léčiva"/>
    <x v="2"/>
    <x v="0"/>
    <n v="337.29324000000003"/>
    <n v="349.650272927326"/>
  </r>
  <r>
    <s v="08"/>
    <s v="08"/>
    <s v="Porodnicko-gynekologická klinika"/>
    <x v="7"/>
    <s v="0832"/>
    <s v="JIP 19 (porodní sál)"/>
    <s v="0832 - JIP 19 (porodní sál)"/>
    <s v="50113     Léky a léčiva"/>
    <x v="2"/>
    <x v="1"/>
    <n v="347.32592"/>
    <n v="337.89398759852702"/>
  </r>
  <r>
    <s v="08"/>
    <s v="08"/>
    <s v="Porodnicko-gynekologická klinika"/>
    <x v="7"/>
    <s v="0832"/>
    <s v="JIP 19 (porodní sál)"/>
    <s v="0832 - JIP 19 (porodní sál)"/>
    <s v="50113     Léky a léčiva"/>
    <x v="2"/>
    <x v="2"/>
    <n v="188.37882999999999"/>
    <n v="344.57077571928602"/>
  </r>
  <r>
    <s v="08"/>
    <s v="08"/>
    <s v="Porodnicko-gynekologická klinika"/>
    <x v="7"/>
    <s v="0832"/>
    <s v="JIP 19 (porodní sál)"/>
    <s v="0832 - JIP 19 (porodní sál)"/>
    <s v="50113001     léky - paušál+TISS (LEK)"/>
    <x v="3"/>
    <x v="0"/>
    <n v="283.48442999999997"/>
    <n v="300.13964164340501"/>
  </r>
  <r>
    <s v="08"/>
    <s v="08"/>
    <s v="Porodnicko-gynekologická klinika"/>
    <x v="7"/>
    <s v="0832"/>
    <s v="JIP 19 (porodní sál)"/>
    <s v="0832 - JIP 19 (porodní sál)"/>
    <s v="50113001     léky - paušál+TISS (LEK)"/>
    <x v="3"/>
    <x v="1"/>
    <n v="275.15014000000002"/>
    <n v="283.47817299565702"/>
  </r>
  <r>
    <s v="08"/>
    <s v="08"/>
    <s v="Porodnicko-gynekologická klinika"/>
    <x v="7"/>
    <s v="0832"/>
    <s v="JIP 19 (porodní sál)"/>
    <s v="0832 - JIP 19 (porodní sál)"/>
    <s v="50113001     léky - paušál+TISS (LEK)"/>
    <x v="3"/>
    <x v="2"/>
    <n v="113.54968"/>
    <n v="277"/>
  </r>
  <r>
    <s v="08"/>
    <s v="08"/>
    <s v="Porodnicko-gynekologická klinika"/>
    <x v="7"/>
    <s v="0832"/>
    <s v="JIP 19 (porodní sál)"/>
    <s v="0832 - JIP 19 (porodní sál)"/>
    <s v="50113002     léky - parenterální výživa (LEK)"/>
    <x v="17"/>
    <x v="2"/>
    <n v="1.37795"/>
    <n v="1"/>
  </r>
  <r>
    <s v="08"/>
    <s v="08"/>
    <s v="Porodnicko-gynekologická klinika"/>
    <x v="7"/>
    <s v="0832"/>
    <s v="JIP 19 (porodní sál)"/>
    <s v="0832 - JIP 19 (porodní sál)"/>
    <s v="50113006     léky - enterální výživa (LEK)"/>
    <x v="4"/>
    <x v="0"/>
    <n v="0"/>
    <n v="1.469724135456"/>
  </r>
  <r>
    <s v="08"/>
    <s v="08"/>
    <s v="Porodnicko-gynekologická klinika"/>
    <x v="7"/>
    <s v="0832"/>
    <s v="JIP 19 (porodní sál)"/>
    <s v="0832 - JIP 19 (porodní sál)"/>
    <s v="50113006     léky - enterální výživa (LEK)"/>
    <x v="4"/>
    <x v="1"/>
    <n v="1.0922000000000001"/>
    <n v="0"/>
  </r>
  <r>
    <s v="08"/>
    <s v="08"/>
    <s v="Porodnicko-gynekologická klinika"/>
    <x v="7"/>
    <s v="0832"/>
    <s v="JIP 19 (porodní sál)"/>
    <s v="0832 - JIP 19 (porodní sál)"/>
    <s v="50113006     léky - enterální výživa (LEK)"/>
    <x v="4"/>
    <x v="2"/>
    <n v="1.0000000000065512E-5"/>
    <n v="0"/>
  </r>
  <r>
    <s v="08"/>
    <s v="08"/>
    <s v="Porodnicko-gynekologická klinika"/>
    <x v="7"/>
    <s v="0832"/>
    <s v="JIP 19 (porodní sál)"/>
    <s v="0832 - JIP 19 (porodní sál)"/>
    <s v="50113008     léky - krev.deriváty ZUL (TO)"/>
    <x v="5"/>
    <x v="0"/>
    <n v="4"/>
    <n v="0"/>
  </r>
  <r>
    <s v="08"/>
    <s v="08"/>
    <s v="Porodnicko-gynekologická klinika"/>
    <x v="7"/>
    <s v="0832"/>
    <s v="JIP 19 (porodní sál)"/>
    <s v="0832 - JIP 19 (porodní sál)"/>
    <s v="50113008     léky - krev.deriváty ZUL (TO)"/>
    <x v="5"/>
    <x v="1"/>
    <n v="21.059840000000001"/>
    <n v="4.0000351226730002"/>
  </r>
  <r>
    <s v="08"/>
    <s v="08"/>
    <s v="Porodnicko-gynekologická klinika"/>
    <x v="7"/>
    <s v="0832"/>
    <s v="JIP 19 (porodní sál)"/>
    <s v="0832 - JIP 19 (porodní sál)"/>
    <s v="50113008     léky - krev.deriváty ZUL (TO)"/>
    <x v="5"/>
    <x v="2"/>
    <n v="38.235999999999997"/>
    <n v="15.228440393222"/>
  </r>
  <r>
    <s v="08"/>
    <s v="08"/>
    <s v="Porodnicko-gynekologická klinika"/>
    <x v="7"/>
    <s v="0832"/>
    <s v="JIP 19 (porodní sál)"/>
    <s v="0832 - JIP 19 (porodní sál)"/>
    <s v="50113013     léky (paušál) - antibiotika (LEK)"/>
    <x v="7"/>
    <x v="0"/>
    <n v="47.961599999999997"/>
    <n v="47.657890168442002"/>
  </r>
  <r>
    <s v="08"/>
    <s v="08"/>
    <s v="Porodnicko-gynekologická klinika"/>
    <x v="7"/>
    <s v="0832"/>
    <s v="JIP 19 (porodní sál)"/>
    <s v="0832 - JIP 19 (porodní sál)"/>
    <s v="50113013     léky (paušál) - antibiotika (LEK)"/>
    <x v="7"/>
    <x v="1"/>
    <n v="49.487299999999998"/>
    <n v="48.565637798499999"/>
  </r>
  <r>
    <s v="08"/>
    <s v="08"/>
    <s v="Porodnicko-gynekologická klinika"/>
    <x v="7"/>
    <s v="0832"/>
    <s v="JIP 19 (porodní sál)"/>
    <s v="0832 - JIP 19 (porodní sál)"/>
    <s v="50113013     léky (paušál) - antibiotika (LEK)"/>
    <x v="7"/>
    <x v="2"/>
    <n v="29.888590000000001"/>
    <n v="51.342335326063001"/>
  </r>
  <r>
    <s v="08"/>
    <s v="08"/>
    <s v="Porodnicko-gynekologická klinika"/>
    <x v="7"/>
    <s v="0832"/>
    <s v="JIP 19 (porodní sál)"/>
    <s v="0832 - JIP 19 (porodní sál)"/>
    <s v="50113014     léky (paušál) - antimykotika (LEK)"/>
    <x v="8"/>
    <x v="0"/>
    <n v="1.84721"/>
    <n v="0.38301698002200002"/>
  </r>
  <r>
    <s v="08"/>
    <s v="08"/>
    <s v="Porodnicko-gynekologická klinika"/>
    <x v="7"/>
    <s v="0832"/>
    <s v="JIP 19 (porodní sál)"/>
    <s v="0832 - JIP 19 (porodní sál)"/>
    <s v="50113014     léky (paušál) - antimykotika (LEK)"/>
    <x v="8"/>
    <x v="1"/>
    <n v="0.53644000000000003"/>
    <n v="1.850141681695"/>
  </r>
  <r>
    <s v="08"/>
    <s v="08"/>
    <s v="Porodnicko-gynekologická klinika"/>
    <x v="7"/>
    <s v="0832"/>
    <s v="JIP 19 (porodní sál)"/>
    <s v="0832 - JIP 19 (porodní sál)"/>
    <s v="50113190     medicinální plyny"/>
    <x v="9"/>
    <x v="2"/>
    <n v="5.3266"/>
    <n v="0"/>
  </r>
  <r>
    <s v="08"/>
    <s v="08"/>
    <s v="Porodnicko-gynekologická klinika"/>
    <x v="7"/>
    <s v="0832"/>
    <s v="JIP 19 (porodní sál)"/>
    <s v="0832 - JIP 19 (porodní sál)"/>
    <s v="50115     Zdravotnické prostředky"/>
    <x v="0"/>
    <x v="0"/>
    <n v="170.28931"/>
    <n v="169.44774548599699"/>
  </r>
  <r>
    <s v="08"/>
    <s v="08"/>
    <s v="Porodnicko-gynekologická klinika"/>
    <x v="7"/>
    <s v="0832"/>
    <s v="JIP 19 (porodní sál)"/>
    <s v="0832 - JIP 19 (porodní sál)"/>
    <s v="50115     Zdravotnické prostředky"/>
    <x v="0"/>
    <x v="1"/>
    <n v="201.57898999999998"/>
    <n v="183.39178664112299"/>
  </r>
  <r>
    <s v="08"/>
    <s v="08"/>
    <s v="Porodnicko-gynekologická klinika"/>
    <x v="7"/>
    <s v="0832"/>
    <s v="JIP 19 (porodní sál)"/>
    <s v="0832 - JIP 19 (porodní sál)"/>
    <s v="50115     Zdravotnické prostředky"/>
    <x v="0"/>
    <x v="2"/>
    <n v="143.42146"/>
    <n v="195.044219984649"/>
  </r>
  <r>
    <s v="08"/>
    <s v="08"/>
    <s v="Porodnicko-gynekologická klinika"/>
    <x v="7"/>
    <s v="0832"/>
    <s v="JIP 19 (porodní sál)"/>
    <s v="0832 - JIP 19 (porodní sál)"/>
    <s v="50115020     diagnostika laboratorní-LEK (sk.Z_501)"/>
    <x v="10"/>
    <x v="0"/>
    <n v="10.8154"/>
    <n v="10.160175229121"/>
  </r>
  <r>
    <s v="08"/>
    <s v="08"/>
    <s v="Porodnicko-gynekologická klinika"/>
    <x v="7"/>
    <s v="0832"/>
    <s v="JIP 19 (porodní sál)"/>
    <s v="0832 - JIP 19 (porodní sál)"/>
    <s v="50115020     diagnostika laboratorní-LEK (sk.Z_501)"/>
    <x v="10"/>
    <x v="1"/>
    <n v="20.9297"/>
    <n v="10.815388544849"/>
  </r>
  <r>
    <s v="08"/>
    <s v="08"/>
    <s v="Porodnicko-gynekologická klinika"/>
    <x v="7"/>
    <s v="0832"/>
    <s v="JIP 19 (porodní sál)"/>
    <s v="0832 - JIP 19 (porodní sál)"/>
    <s v="50115020     diagnostika laboratorní-LEK (sk.Z_501)"/>
    <x v="10"/>
    <x v="2"/>
    <n v="8.5937400000000004"/>
    <n v="14.999999527536"/>
  </r>
  <r>
    <s v="08"/>
    <s v="08"/>
    <s v="Porodnicko-gynekologická klinika"/>
    <x v="7"/>
    <s v="0832"/>
    <s v="JIP 19 (porodní sál)"/>
    <s v="0832 - JIP 19 (porodní sál)"/>
    <s v="50115050     obvazový materiál (sk.Z_502)"/>
    <x v="12"/>
    <x v="0"/>
    <n v="34.406929999999001"/>
    <n v="33.830003043711002"/>
  </r>
  <r>
    <s v="08"/>
    <s v="08"/>
    <s v="Porodnicko-gynekologická klinika"/>
    <x v="7"/>
    <s v="0832"/>
    <s v="JIP 19 (porodní sál)"/>
    <s v="0832 - JIP 19 (porodní sál)"/>
    <s v="50115050     obvazový materiál (sk.Z_502)"/>
    <x v="12"/>
    <x v="1"/>
    <n v="38.552520000000001"/>
    <n v="34.485173129515999"/>
  </r>
  <r>
    <s v="08"/>
    <s v="08"/>
    <s v="Porodnicko-gynekologická klinika"/>
    <x v="7"/>
    <s v="0832"/>
    <s v="JIP 19 (porodní sál)"/>
    <s v="0832 - JIP 19 (porodní sál)"/>
    <s v="50115050     obvazový materiál (sk.Z_502)"/>
    <x v="12"/>
    <x v="2"/>
    <n v="30.63607"/>
    <n v="41.270850736116003"/>
  </r>
  <r>
    <s v="08"/>
    <s v="08"/>
    <s v="Porodnicko-gynekologická klinika"/>
    <x v="7"/>
    <s v="0832"/>
    <s v="JIP 19 (porodní sál)"/>
    <s v="0832 - JIP 19 (porodní sál)"/>
    <s v="50115060     ostatní ZPr - mimo níže uvedené (sk.Z_503)"/>
    <x v="1"/>
    <x v="0"/>
    <n v="26.224210000000003"/>
    <n v="28.092397412294002"/>
  </r>
  <r>
    <s v="08"/>
    <s v="08"/>
    <s v="Porodnicko-gynekologická klinika"/>
    <x v="7"/>
    <s v="0832"/>
    <s v="JIP 19 (porodní sál)"/>
    <s v="0832 - JIP 19 (porodní sál)"/>
    <s v="50115060     ostatní ZPr - mimo níže uvedené (sk.Z_503)"/>
    <x v="1"/>
    <x v="1"/>
    <n v="36.172780000000003"/>
    <n v="36.350135382342998"/>
  </r>
  <r>
    <s v="08"/>
    <s v="08"/>
    <s v="Porodnicko-gynekologická klinika"/>
    <x v="7"/>
    <s v="0832"/>
    <s v="JIP 19 (porodní sál)"/>
    <s v="0832 - JIP 19 (porodní sál)"/>
    <s v="50115060     ostatní ZPr - mimo níže uvedené (sk.Z_503)"/>
    <x v="1"/>
    <x v="2"/>
    <n v="24.601399999999998"/>
    <n v="37.050266342546003"/>
  </r>
  <r>
    <s v="08"/>
    <s v="08"/>
    <s v="Porodnicko-gynekologická klinika"/>
    <x v="7"/>
    <s v="0832"/>
    <s v="JIP 19 (porodní sál)"/>
    <s v="0832 - JIP 19 (porodní sál)"/>
    <s v="50115063     ostatní ZPr - vaky, sety (sk.Z_528)"/>
    <x v="13"/>
    <x v="0"/>
    <n v="8.1951999999999998"/>
    <n v="10"/>
  </r>
  <r>
    <s v="08"/>
    <s v="08"/>
    <s v="Porodnicko-gynekologická klinika"/>
    <x v="7"/>
    <s v="0832"/>
    <s v="JIP 19 (porodní sál)"/>
    <s v="0832 - JIP 19 (porodní sál)"/>
    <s v="50115063     ostatní ZPr - vaky, sety (sk.Z_528)"/>
    <x v="13"/>
    <x v="1"/>
    <n v="7.7196999999999996"/>
    <n v="8.0282176681230002"/>
  </r>
  <r>
    <s v="08"/>
    <s v="08"/>
    <s v="Porodnicko-gynekologická klinika"/>
    <x v="7"/>
    <s v="0832"/>
    <s v="JIP 19 (porodní sál)"/>
    <s v="0832 - JIP 19 (porodní sál)"/>
    <s v="50115063     ostatní ZPr - vaky, sety (sk.Z_528)"/>
    <x v="13"/>
    <x v="2"/>
    <n v="4.4924999999999997"/>
    <n v="6.6712694042629996"/>
  </r>
  <r>
    <s v="08"/>
    <s v="08"/>
    <s v="Porodnicko-gynekologická klinika"/>
    <x v="7"/>
    <s v="0832"/>
    <s v="JIP 19 (porodní sál)"/>
    <s v="0832 - JIP 19 (porodní sál)"/>
    <s v="50115064     ostatní ZPr - šicí materiál (sk.Z_529)"/>
    <x v="21"/>
    <x v="0"/>
    <n v="22.382569999999998"/>
    <n v="20.167341813135"/>
  </r>
  <r>
    <s v="08"/>
    <s v="08"/>
    <s v="Porodnicko-gynekologická klinika"/>
    <x v="7"/>
    <s v="0832"/>
    <s v="JIP 19 (porodní sál)"/>
    <s v="0832 - JIP 19 (porodní sál)"/>
    <s v="50115064     ostatní ZPr - šicí materiál (sk.Z_529)"/>
    <x v="21"/>
    <x v="1"/>
    <n v="21.382809999999999"/>
    <n v="21.944314246080999"/>
  </r>
  <r>
    <s v="08"/>
    <s v="08"/>
    <s v="Porodnicko-gynekologická klinika"/>
    <x v="7"/>
    <s v="0832"/>
    <s v="JIP 19 (porodní sál)"/>
    <s v="0832 - JIP 19 (porodní sál)"/>
    <s v="50115064     ostatní ZPr - šicí materiál (sk.Z_529)"/>
    <x v="21"/>
    <x v="2"/>
    <n v="10.414079999999998"/>
    <n v="12.518159841011"/>
  </r>
  <r>
    <s v="08"/>
    <s v="08"/>
    <s v="Porodnicko-gynekologická klinika"/>
    <x v="7"/>
    <s v="0832"/>
    <s v="JIP 19 (porodní sál)"/>
    <s v="0832 - JIP 19 (porodní sál)"/>
    <s v="50115065     ostatní ZPr - vpichovací materiál (sk.Z_530)"/>
    <x v="14"/>
    <x v="0"/>
    <n v="0.48"/>
    <n v="1"/>
  </r>
  <r>
    <s v="08"/>
    <s v="08"/>
    <s v="Porodnicko-gynekologická klinika"/>
    <x v="7"/>
    <s v="0832"/>
    <s v="JIP 19 (porodní sál)"/>
    <s v="0832 - JIP 19 (porodní sál)"/>
    <s v="50115065     ostatní ZPr - vpichovací materiál (sk.Z_530)"/>
    <x v="14"/>
    <x v="1"/>
    <n v="0"/>
    <n v="0.49239156738899997"/>
  </r>
  <r>
    <s v="08"/>
    <s v="08"/>
    <s v="Porodnicko-gynekologická klinika"/>
    <x v="7"/>
    <s v="0832"/>
    <s v="JIP 19 (porodní sál)"/>
    <s v="0832 - JIP 19 (porodní sál)"/>
    <s v="50115065     ostatní ZPr - vpichovací materiál (sk.Z_530)"/>
    <x v="14"/>
    <x v="2"/>
    <n v="1.9735800000000001"/>
    <n v="0"/>
  </r>
  <r>
    <s v="08"/>
    <s v="08"/>
    <s v="Porodnicko-gynekologická klinika"/>
    <x v="7"/>
    <s v="0832"/>
    <s v="JIP 19 (porodní sál)"/>
    <s v="0832 - JIP 19 (porodní sál)"/>
    <s v="50115067     ostatní ZPr - rukavice (sk.Z_532)"/>
    <x v="15"/>
    <x v="0"/>
    <n v="67.785000000000011"/>
    <n v="66.197827987734001"/>
  </r>
  <r>
    <s v="08"/>
    <s v="08"/>
    <s v="Porodnicko-gynekologická klinika"/>
    <x v="7"/>
    <s v="0832"/>
    <s v="JIP 19 (porodní sál)"/>
    <s v="0832 - JIP 19 (porodní sál)"/>
    <s v="50115067     ostatní ZPr - rukavice (sk.Z_532)"/>
    <x v="15"/>
    <x v="1"/>
    <n v="76.821480000000008"/>
    <n v="71.276166102819005"/>
  </r>
  <r>
    <s v="08"/>
    <s v="08"/>
    <s v="Porodnicko-gynekologická klinika"/>
    <x v="7"/>
    <s v="0832"/>
    <s v="JIP 19 (porodní sál)"/>
    <s v="0832 - JIP 19 (porodní sál)"/>
    <s v="50115067     ostatní ZPr - rukavice (sk.Z_532)"/>
    <x v="15"/>
    <x v="2"/>
    <n v="62.710090000000001"/>
    <n v="82.533674133174998"/>
  </r>
  <r>
    <s v="08"/>
    <s v="08"/>
    <s v="Porodnicko-gynekologická klinika"/>
    <x v="7"/>
    <s v="0841"/>
    <s v="laboratoř cytologická"/>
    <s v="0841 - laboratoř cytologická"/>
    <s v="50113     Léky a léčiva"/>
    <x v="2"/>
    <x v="0"/>
    <n v="0.75641999999999998"/>
    <n v="0.37842686942800002"/>
  </r>
  <r>
    <s v="08"/>
    <s v="08"/>
    <s v="Porodnicko-gynekologická klinika"/>
    <x v="7"/>
    <s v="0841"/>
    <s v="laboratoř cytologická"/>
    <s v="0841 - laboratoř cytologická"/>
    <s v="50113     Léky a léčiva"/>
    <x v="2"/>
    <x v="1"/>
    <n v="0.43069000000000002"/>
    <n v="0.75640330446799997"/>
  </r>
  <r>
    <s v="08"/>
    <s v="08"/>
    <s v="Porodnicko-gynekologická klinika"/>
    <x v="7"/>
    <s v="0841"/>
    <s v="laboratoř cytologická"/>
    <s v="0841 - laboratoř cytologická"/>
    <s v="50113     Léky a léčiva"/>
    <x v="2"/>
    <x v="2"/>
    <n v="0"/>
    <n v="0.401612157601"/>
  </r>
  <r>
    <s v="08"/>
    <s v="08"/>
    <s v="Porodnicko-gynekologická klinika"/>
    <x v="7"/>
    <s v="0841"/>
    <s v="laboratoř cytologická"/>
    <s v="0841 - laboratoř cytologická"/>
    <s v="50113001     léky - paušál+TISS (LEK)"/>
    <x v="3"/>
    <x v="0"/>
    <n v="0.75641999999999998"/>
    <n v="0.37842686942800002"/>
  </r>
  <r>
    <s v="08"/>
    <s v="08"/>
    <s v="Porodnicko-gynekologická klinika"/>
    <x v="7"/>
    <s v="0841"/>
    <s v="laboratoř cytologická"/>
    <s v="0841 - laboratoř cytologická"/>
    <s v="50113001     léky - paušál+TISS (LEK)"/>
    <x v="3"/>
    <x v="1"/>
    <n v="0.43069000000000002"/>
    <n v="0.75640330446799997"/>
  </r>
  <r>
    <s v="08"/>
    <s v="08"/>
    <s v="Porodnicko-gynekologická klinika"/>
    <x v="7"/>
    <s v="0841"/>
    <s v="laboratoř cytologická"/>
    <s v="0841 - laboratoř cytologická"/>
    <s v="50113001     léky - paušál+TISS (LEK)"/>
    <x v="3"/>
    <x v="2"/>
    <n v="0"/>
    <n v="0.401612157601"/>
  </r>
  <r>
    <s v="08"/>
    <s v="08"/>
    <s v="Porodnicko-gynekologická klinika"/>
    <x v="7"/>
    <s v="0841"/>
    <s v="laboratoř cytologická"/>
    <s v="0841 - laboratoř cytologická"/>
    <s v="50115     Zdravotnické prostředky"/>
    <x v="0"/>
    <x v="0"/>
    <n v="3.7357100000000001"/>
    <n v="18.109644500807999"/>
  </r>
  <r>
    <s v="08"/>
    <s v="08"/>
    <s v="Porodnicko-gynekologická klinika"/>
    <x v="7"/>
    <s v="0841"/>
    <s v="laboratoř cytologická"/>
    <s v="0841 - laboratoř cytologická"/>
    <s v="50115     Zdravotnické prostředky"/>
    <x v="0"/>
    <x v="1"/>
    <n v="7.7036600000000002"/>
    <n v="3.735706043315"/>
  </r>
  <r>
    <s v="08"/>
    <s v="08"/>
    <s v="Porodnicko-gynekologická klinika"/>
    <x v="7"/>
    <s v="0841"/>
    <s v="laboratoř cytologická"/>
    <s v="0841 - laboratoř cytologická"/>
    <s v="50115     Zdravotnické prostředky"/>
    <x v="0"/>
    <x v="2"/>
    <n v="0.42"/>
    <n v="7.7592314573900003"/>
  </r>
  <r>
    <s v="08"/>
    <s v="08"/>
    <s v="Porodnicko-gynekologická klinika"/>
    <x v="7"/>
    <s v="0841"/>
    <s v="laboratoř cytologická"/>
    <s v="0841 - laboratoř cytologická"/>
    <s v="50115020     diagnostika laboratorní-LEK (sk.Z_501)"/>
    <x v="10"/>
    <x v="0"/>
    <n v="3.7357100000000001"/>
    <n v="6.4656494273609999"/>
  </r>
  <r>
    <s v="08"/>
    <s v="08"/>
    <s v="Porodnicko-gynekologická klinika"/>
    <x v="7"/>
    <s v="0841"/>
    <s v="laboratoř cytologická"/>
    <s v="0841 - laboratoř cytologická"/>
    <s v="50115020     diagnostika laboratorní-LEK (sk.Z_501)"/>
    <x v="10"/>
    <x v="1"/>
    <n v="7.7036600000000002"/>
    <n v="3.735706043315"/>
  </r>
  <r>
    <s v="08"/>
    <s v="08"/>
    <s v="Porodnicko-gynekologická klinika"/>
    <x v="7"/>
    <s v="0841"/>
    <s v="laboratoř cytologická"/>
    <s v="0841 - laboratoř cytologická"/>
    <s v="50115020     diagnostika laboratorní-LEK (sk.Z_501)"/>
    <x v="10"/>
    <x v="2"/>
    <n v="0.42"/>
    <n v="7.7592314573900003"/>
  </r>
  <r>
    <s v="08"/>
    <s v="08"/>
    <s v="Porodnicko-gynekologická klinika"/>
    <x v="7"/>
    <s v="0841"/>
    <s v="laboratoř cytologická"/>
    <s v="0841 - laboratoř cytologická"/>
    <s v="50115050     obvazový materiál (sk.Z_502)"/>
    <x v="12"/>
    <x v="0"/>
    <n v="0"/>
    <n v="1.1221731291000001"/>
  </r>
  <r>
    <s v="08"/>
    <s v="08"/>
    <s v="Porodnicko-gynekologická klinika"/>
    <x v="7"/>
    <s v="0841"/>
    <s v="laboratoř cytologická"/>
    <s v="0841 - laboratoř cytologická"/>
    <s v="50115067     ostatní ZPr - rukavice (sk.Z_532)"/>
    <x v="15"/>
    <x v="0"/>
    <n v="0"/>
    <n v="10.521821944346"/>
  </r>
  <r>
    <s v="08"/>
    <s v="08"/>
    <s v="Porodnicko-gynekologická klinika"/>
    <x v="7"/>
    <s v="0862"/>
    <s v="porodní sál - lokální"/>
    <s v="0862 - porodní sál - lokální"/>
    <s v="50113     Léky a léčiva"/>
    <x v="2"/>
    <x v="0"/>
    <n v="1480.5493500000009"/>
    <n v="1465.8367468737099"/>
  </r>
  <r>
    <s v="08"/>
    <s v="08"/>
    <s v="Porodnicko-gynekologická klinika"/>
    <x v="7"/>
    <s v="0862"/>
    <s v="porodní sál - lokální"/>
    <s v="0862 - porodní sál - lokální"/>
    <s v="50113     Léky a léčiva"/>
    <x v="2"/>
    <x v="1"/>
    <n v="1797.78044"/>
    <n v="1588.80934749629"/>
  </r>
  <r>
    <s v="08"/>
    <s v="08"/>
    <s v="Porodnicko-gynekologická klinika"/>
    <x v="7"/>
    <s v="0862"/>
    <s v="porodní sál - lokální"/>
    <s v="0862 - porodní sál - lokální"/>
    <s v="50113     Léky a léčiva"/>
    <x v="2"/>
    <x v="2"/>
    <n v="938.70731999999998"/>
    <n v="1615.1034364536899"/>
  </r>
  <r>
    <s v="08"/>
    <s v="08"/>
    <s v="Porodnicko-gynekologická klinika"/>
    <x v="7"/>
    <s v="0862"/>
    <s v="porodní sál - lokální"/>
    <s v="0862 - porodní sál - lokální"/>
    <s v="50113001     léky - paušál+TISS (LEK)"/>
    <x v="3"/>
    <x v="0"/>
    <n v="1419.2401400000012"/>
    <n v="1442.3329675709599"/>
  </r>
  <r>
    <s v="08"/>
    <s v="08"/>
    <s v="Porodnicko-gynekologická klinika"/>
    <x v="7"/>
    <s v="0862"/>
    <s v="porodní sál - lokální"/>
    <s v="0862 - porodní sál - lokální"/>
    <s v="50113001     léky - paušál+TISS (LEK)"/>
    <x v="3"/>
    <x v="1"/>
    <n v="1391.4625999999996"/>
    <n v="1499.2087150308"/>
  </r>
  <r>
    <s v="08"/>
    <s v="08"/>
    <s v="Porodnicko-gynekologická klinika"/>
    <x v="7"/>
    <s v="0862"/>
    <s v="porodní sál - lokální"/>
    <s v="0862 - porodní sál - lokální"/>
    <s v="50113001     léky - paušál+TISS (LEK)"/>
    <x v="3"/>
    <x v="2"/>
    <n v="712.11888999999996"/>
    <n v="1178"/>
  </r>
  <r>
    <s v="08"/>
    <s v="08"/>
    <s v="Porodnicko-gynekologická klinika"/>
    <x v="7"/>
    <s v="0862"/>
    <s v="porodní sál - lokální"/>
    <s v="0862 - porodní sál - lokální"/>
    <s v="50113002     léky - parenterální výživa (LEK)"/>
    <x v="17"/>
    <x v="2"/>
    <n v="0.45932000000000001"/>
    <n v="0"/>
  </r>
  <r>
    <s v="08"/>
    <s v="08"/>
    <s v="Porodnicko-gynekologická klinika"/>
    <x v="7"/>
    <s v="0862"/>
    <s v="porodní sál - lokální"/>
    <s v="0862 - porodní sál - lokální"/>
    <s v="50113006     léky - enterální výživa (LEK)"/>
    <x v="4"/>
    <x v="0"/>
    <n v="0.46645999999999999"/>
    <n v="0"/>
  </r>
  <r>
    <s v="08"/>
    <s v="08"/>
    <s v="Porodnicko-gynekologická klinika"/>
    <x v="7"/>
    <s v="0862"/>
    <s v="porodní sál - lokální"/>
    <s v="0862 - porodní sál - lokální"/>
    <s v="50113006     léky - enterální výživa (LEK)"/>
    <x v="4"/>
    <x v="1"/>
    <n v="0"/>
    <n v="0.46576310182500003"/>
  </r>
  <r>
    <s v="08"/>
    <s v="08"/>
    <s v="Porodnicko-gynekologická klinika"/>
    <x v="7"/>
    <s v="0862"/>
    <s v="porodní sál - lokální"/>
    <s v="0862 - porodní sál - lokální"/>
    <s v="50113006     léky - enterální výživa (LEK)"/>
    <x v="4"/>
    <x v="2"/>
    <n v="0"/>
    <n v="0"/>
  </r>
  <r>
    <s v="08"/>
    <s v="08"/>
    <s v="Porodnicko-gynekologická klinika"/>
    <x v="7"/>
    <s v="0862"/>
    <s v="porodní sál - lokální"/>
    <s v="0862 - porodní sál - lokální"/>
    <s v="50113008     léky - krev.deriváty ZUL (TO)"/>
    <x v="5"/>
    <x v="0"/>
    <n v="2.907"/>
    <n v="0"/>
  </r>
  <r>
    <s v="08"/>
    <s v="08"/>
    <s v="Porodnicko-gynekologická klinika"/>
    <x v="7"/>
    <s v="0862"/>
    <s v="porodní sál - lokální"/>
    <s v="0862 - porodní sál - lokální"/>
    <s v="50113008     léky - krev.deriváty ZUL (TO)"/>
    <x v="5"/>
    <x v="1"/>
    <n v="25.826699999999999"/>
    <n v="2.9059124889549999"/>
  </r>
  <r>
    <s v="08"/>
    <s v="08"/>
    <s v="Porodnicko-gynekologická klinika"/>
    <x v="7"/>
    <s v="0862"/>
    <s v="porodní sál - lokální"/>
    <s v="0862 - porodní sál - lokální"/>
    <s v="50113008     léky - krev.deriváty ZUL (TO)"/>
    <x v="5"/>
    <x v="2"/>
    <n v="24.703800000000001"/>
    <n v="56.026118171405997"/>
  </r>
  <r>
    <s v="08"/>
    <s v="08"/>
    <s v="Porodnicko-gynekologická klinika"/>
    <x v="7"/>
    <s v="0862"/>
    <s v="porodní sál - lokální"/>
    <s v="0862 - porodní sál - lokální"/>
    <s v="50113011     léky - hemofilici ZUL (TO)"/>
    <x v="6"/>
    <x v="0"/>
    <n v="0"/>
    <n v="1.353592160147"/>
  </r>
  <r>
    <s v="08"/>
    <s v="08"/>
    <s v="Porodnicko-gynekologická klinika"/>
    <x v="7"/>
    <s v="0862"/>
    <s v="porodní sál - lokální"/>
    <s v="0862 - porodní sál - lokální"/>
    <s v="50113013     léky (paušál) - antibiotika (LEK)"/>
    <x v="7"/>
    <x v="0"/>
    <n v="21.423249999999999"/>
    <n v="20.814705061405"/>
  </r>
  <r>
    <s v="08"/>
    <s v="08"/>
    <s v="Porodnicko-gynekologická klinika"/>
    <x v="7"/>
    <s v="0862"/>
    <s v="porodní sál - lokální"/>
    <s v="0862 - porodní sál - lokální"/>
    <s v="50113013     léky (paušál) - antibiotika (LEK)"/>
    <x v="7"/>
    <x v="1"/>
    <n v="26.187840000000005"/>
    <n v="26.693058612862998"/>
  </r>
  <r>
    <s v="08"/>
    <s v="08"/>
    <s v="Porodnicko-gynekologická klinika"/>
    <x v="7"/>
    <s v="0862"/>
    <s v="porodní sál - lokální"/>
    <s v="0862 - porodní sál - lokální"/>
    <s v="50113013     léky (paušál) - antibiotika (LEK)"/>
    <x v="7"/>
    <x v="2"/>
    <n v="19.265309999999999"/>
    <n v="28.668902976664"/>
  </r>
  <r>
    <s v="08"/>
    <s v="08"/>
    <s v="Porodnicko-gynekologická klinika"/>
    <x v="7"/>
    <s v="0862"/>
    <s v="porodní sál - lokální"/>
    <s v="0862 - porodní sál - lokální"/>
    <s v="50113190     medicinální plyny"/>
    <x v="9"/>
    <x v="0"/>
    <n v="36.512500000000003"/>
    <n v="1.335482081201"/>
  </r>
  <r>
    <s v="08"/>
    <s v="08"/>
    <s v="Porodnicko-gynekologická klinika"/>
    <x v="7"/>
    <s v="0862"/>
    <s v="porodní sál - lokální"/>
    <s v="0862 - porodní sál - lokální"/>
    <s v="50113190     medicinální plyny"/>
    <x v="9"/>
    <x v="1"/>
    <n v="354.30330000000004"/>
    <n v="59.535898261848999"/>
  </r>
  <r>
    <s v="08"/>
    <s v="08"/>
    <s v="Porodnicko-gynekologická klinika"/>
    <x v="7"/>
    <s v="0862"/>
    <s v="porodní sál - lokální"/>
    <s v="0862 - porodní sál - lokální"/>
    <s v="50113190     medicinální plyny"/>
    <x v="9"/>
    <x v="2"/>
    <n v="182.16000000000003"/>
    <n v="352.40841530562301"/>
  </r>
  <r>
    <s v="08"/>
    <s v="08"/>
    <s v="Porodnicko-gynekologická klinika"/>
    <x v="7"/>
    <s v="0862"/>
    <s v="porodní sál - lokální"/>
    <s v="0862 - porodní sál - lokální"/>
    <s v="50115     Zdravotnické prostředky"/>
    <x v="0"/>
    <x v="0"/>
    <n v="640.37982000000011"/>
    <n v="584.93798608412806"/>
  </r>
  <r>
    <s v="08"/>
    <s v="08"/>
    <s v="Porodnicko-gynekologická klinika"/>
    <x v="7"/>
    <s v="0862"/>
    <s v="porodní sál - lokální"/>
    <s v="0862 - porodní sál - lokální"/>
    <s v="50115     Zdravotnické prostředky"/>
    <x v="0"/>
    <x v="1"/>
    <n v="811.67040000000009"/>
    <n v="827.07122751793099"/>
  </r>
  <r>
    <s v="08"/>
    <s v="08"/>
    <s v="Porodnicko-gynekologická klinika"/>
    <x v="7"/>
    <s v="0862"/>
    <s v="porodní sál - lokální"/>
    <s v="0862 - porodní sál - lokální"/>
    <s v="50115     Zdravotnické prostředky"/>
    <x v="0"/>
    <x v="2"/>
    <n v="573.17765999999995"/>
    <n v="787.39364914238399"/>
  </r>
  <r>
    <s v="08"/>
    <s v="08"/>
    <s v="Porodnicko-gynekologická klinika"/>
    <x v="7"/>
    <s v="0862"/>
    <s v="porodní sál - lokální"/>
    <s v="0862 - porodní sál - lokální"/>
    <s v="50115020     diagnostika laboratorní-LEK (sk.Z_501)"/>
    <x v="10"/>
    <x v="0"/>
    <n v="17.76088"/>
    <n v="13.854815668022001"/>
  </r>
  <r>
    <s v="08"/>
    <s v="08"/>
    <s v="Porodnicko-gynekologická klinika"/>
    <x v="7"/>
    <s v="0862"/>
    <s v="porodní sál - lokální"/>
    <s v="0862 - porodní sál - lokální"/>
    <s v="50115020     diagnostika laboratorní-LEK (sk.Z_501)"/>
    <x v="10"/>
    <x v="1"/>
    <n v="28.377030000000005"/>
    <n v="19.760864506307001"/>
  </r>
  <r>
    <s v="08"/>
    <s v="08"/>
    <s v="Porodnicko-gynekologická klinika"/>
    <x v="7"/>
    <s v="0862"/>
    <s v="porodní sál - lokální"/>
    <s v="0862 - porodní sál - lokální"/>
    <s v="50115020     diagnostika laboratorní-LEK (sk.Z_501)"/>
    <x v="10"/>
    <x v="2"/>
    <n v="27.461399999999998"/>
    <n v="26.831476487172999"/>
  </r>
  <r>
    <s v="08"/>
    <s v="08"/>
    <s v="Porodnicko-gynekologická klinika"/>
    <x v="7"/>
    <s v="0862"/>
    <s v="porodní sál - lokální"/>
    <s v="0862 - porodní sál - lokální"/>
    <s v="50115040     laboratorní materiál (sk.Z_505)"/>
    <x v="11"/>
    <x v="2"/>
    <n v="0.16261"/>
    <n v="0"/>
  </r>
  <r>
    <s v="08"/>
    <s v="08"/>
    <s v="Porodnicko-gynekologická klinika"/>
    <x v="7"/>
    <s v="0862"/>
    <s v="porodní sál - lokální"/>
    <s v="0862 - porodní sál - lokální"/>
    <s v="50115050     obvazový materiál (sk.Z_502)"/>
    <x v="12"/>
    <x v="0"/>
    <n v="43.263719999999005"/>
    <n v="41.080818893500997"/>
  </r>
  <r>
    <s v="08"/>
    <s v="08"/>
    <s v="Porodnicko-gynekologická klinika"/>
    <x v="7"/>
    <s v="0862"/>
    <s v="porodní sál - lokální"/>
    <s v="0862 - porodní sál - lokální"/>
    <s v="50115050     obvazový materiál (sk.Z_502)"/>
    <x v="12"/>
    <x v="1"/>
    <n v="51.708109999999991"/>
    <n v="45.362106079535003"/>
  </r>
  <r>
    <s v="08"/>
    <s v="08"/>
    <s v="Porodnicko-gynekologická klinika"/>
    <x v="7"/>
    <s v="0862"/>
    <s v="porodní sál - lokální"/>
    <s v="0862 - porodní sál - lokální"/>
    <s v="50115050     obvazový materiál (sk.Z_502)"/>
    <x v="12"/>
    <x v="2"/>
    <n v="45.526809999999998"/>
    <n v="54.237245416196998"/>
  </r>
  <r>
    <s v="08"/>
    <s v="08"/>
    <s v="Porodnicko-gynekologická klinika"/>
    <x v="7"/>
    <s v="0862"/>
    <s v="porodní sál - lokální"/>
    <s v="0862 - porodní sál - lokální"/>
    <s v="50115060     ostatní ZPr - mimo níže uvedené (sk.Z_503)"/>
    <x v="1"/>
    <x v="0"/>
    <n v="313.34690999999901"/>
    <n v="354.99552708315599"/>
  </r>
  <r>
    <s v="08"/>
    <s v="08"/>
    <s v="Porodnicko-gynekologická klinika"/>
    <x v="7"/>
    <s v="0862"/>
    <s v="porodní sál - lokální"/>
    <s v="0862 - porodní sál - lokální"/>
    <s v="50115060     ostatní ZPr - mimo níže uvedené (sk.Z_503)"/>
    <x v="1"/>
    <x v="1"/>
    <n v="436.43630999999993"/>
    <n v="474.33945646885599"/>
  </r>
  <r>
    <s v="08"/>
    <s v="08"/>
    <s v="Porodnicko-gynekologická klinika"/>
    <x v="7"/>
    <s v="0862"/>
    <s v="porodní sál - lokální"/>
    <s v="0862 - porodní sál - lokální"/>
    <s v="50115060     ostatní ZPr - mimo níže uvedené (sk.Z_503)"/>
    <x v="1"/>
    <x v="2"/>
    <n v="288.76778999999999"/>
    <n v="426.99998655053503"/>
  </r>
  <r>
    <s v="08"/>
    <s v="08"/>
    <s v="Porodnicko-gynekologická klinika"/>
    <x v="7"/>
    <s v="0862"/>
    <s v="porodní sál - lokální"/>
    <s v="0862 - porodní sál - lokální"/>
    <s v="50115063     ostatní ZPr - vaky, sety (sk.Z_528)"/>
    <x v="13"/>
    <x v="0"/>
    <n v="16.657179999999997"/>
    <n v="16.670206314527999"/>
  </r>
  <r>
    <s v="08"/>
    <s v="08"/>
    <s v="Porodnicko-gynekologická klinika"/>
    <x v="7"/>
    <s v="0862"/>
    <s v="porodní sál - lokální"/>
    <s v="0862 - porodní sál - lokální"/>
    <s v="50115063     ostatní ZPr - vaky, sety (sk.Z_528)"/>
    <x v="13"/>
    <x v="1"/>
    <n v="18.913619999999998"/>
    <n v="19.317780065127"/>
  </r>
  <r>
    <s v="08"/>
    <s v="08"/>
    <s v="Porodnicko-gynekologická klinika"/>
    <x v="7"/>
    <s v="0862"/>
    <s v="porodní sál - lokální"/>
    <s v="0862 - porodní sál - lokální"/>
    <s v="50115063     ostatní ZPr - vaky, sety (sk.Z_528)"/>
    <x v="13"/>
    <x v="2"/>
    <n v="15.3325"/>
    <n v="18.944466990174"/>
  </r>
  <r>
    <s v="08"/>
    <s v="08"/>
    <s v="Porodnicko-gynekologická klinika"/>
    <x v="7"/>
    <s v="0862"/>
    <s v="porodní sál - lokální"/>
    <s v="0862 - porodní sál - lokální"/>
    <s v="50115064     ostatní ZPr - šicí materiál (sk.Z_529)"/>
    <x v="21"/>
    <x v="0"/>
    <n v="137.86281"/>
    <n v="113.11598224840201"/>
  </r>
  <r>
    <s v="08"/>
    <s v="08"/>
    <s v="Porodnicko-gynekologická klinika"/>
    <x v="7"/>
    <s v="0862"/>
    <s v="porodní sál - lokální"/>
    <s v="0862 - porodní sál - lokální"/>
    <s v="50115064     ostatní ZPr - šicí materiál (sk.Z_529)"/>
    <x v="21"/>
    <x v="1"/>
    <n v="137.38058000000001"/>
    <n v="140.163225299565"/>
  </r>
  <r>
    <s v="08"/>
    <s v="08"/>
    <s v="Porodnicko-gynekologická klinika"/>
    <x v="7"/>
    <s v="0862"/>
    <s v="porodní sál - lokální"/>
    <s v="0862 - porodní sál - lokální"/>
    <s v="50115064     ostatní ZPr - šicí materiál (sk.Z_529)"/>
    <x v="21"/>
    <x v="2"/>
    <n v="96.329430000000016"/>
    <n v="128.38682864914901"/>
  </r>
  <r>
    <s v="08"/>
    <s v="08"/>
    <s v="Porodnicko-gynekologická klinika"/>
    <x v="7"/>
    <s v="0862"/>
    <s v="porodní sál - lokální"/>
    <s v="0862 - porodní sál - lokální"/>
    <s v="50115065     ostatní ZPr - vpichovací materiál (sk.Z_530)"/>
    <x v="14"/>
    <x v="0"/>
    <n v="3.9929999999999994"/>
    <n v="3.8233579279810002"/>
  </r>
  <r>
    <s v="08"/>
    <s v="08"/>
    <s v="Porodnicko-gynekologická klinika"/>
    <x v="7"/>
    <s v="0862"/>
    <s v="porodní sál - lokální"/>
    <s v="0862 - porodní sál - lokální"/>
    <s v="50115065     ostatní ZPr - vpichovací materiál (sk.Z_530)"/>
    <x v="14"/>
    <x v="1"/>
    <n v="7.0519999999999987"/>
    <n v="6.0960823512189997"/>
  </r>
  <r>
    <s v="08"/>
    <s v="08"/>
    <s v="Porodnicko-gynekologická klinika"/>
    <x v="7"/>
    <s v="0862"/>
    <s v="porodní sál - lokální"/>
    <s v="0862 - porodní sál - lokální"/>
    <s v="50115065     ostatní ZPr - vpichovací materiál (sk.Z_530)"/>
    <x v="14"/>
    <x v="2"/>
    <n v="8.0715900000000005"/>
    <n v="8.2713242607210002"/>
  </r>
  <r>
    <s v="08"/>
    <s v="08"/>
    <s v="Porodnicko-gynekologická klinika"/>
    <x v="7"/>
    <s v="0862"/>
    <s v="porodní sál - lokální"/>
    <s v="0862 - porodní sál - lokální"/>
    <s v="50115067     ostatní ZPr - rukavice (sk.Z_532)"/>
    <x v="15"/>
    <x v="0"/>
    <n v="107.495319999999"/>
    <n v="41.397277948537003"/>
  </r>
  <r>
    <s v="08"/>
    <s v="08"/>
    <s v="Porodnicko-gynekologická klinika"/>
    <x v="7"/>
    <s v="0862"/>
    <s v="porodní sál - lokální"/>
    <s v="0862 - porodní sál - lokální"/>
    <s v="50115067     ostatní ZPr - rukavice (sk.Z_532)"/>
    <x v="15"/>
    <x v="1"/>
    <n v="129.1249"/>
    <n v="122.03171274731901"/>
  </r>
  <r>
    <s v="08"/>
    <s v="08"/>
    <s v="Porodnicko-gynekologická klinika"/>
    <x v="7"/>
    <s v="0862"/>
    <s v="porodní sál - lokální"/>
    <s v="0862 - porodní sál - lokální"/>
    <s v="50115067     ostatní ZPr - rukavice (sk.Z_532)"/>
    <x v="15"/>
    <x v="2"/>
    <n v="91.525529999999989"/>
    <n v="123.722320788433"/>
  </r>
  <r>
    <s v="08"/>
    <s v="08"/>
    <s v="Porodnicko-gynekologická klinika"/>
    <x v="7"/>
    <s v="0862"/>
    <s v="porodní sál - lokální"/>
    <s v="0862 - porodní sál - lokální"/>
    <s v="50115070     ostatní ZPr - katetry (sk.Z_513)"/>
    <x v="16"/>
    <x v="1"/>
    <n v="2.6778499999999998"/>
    <n v="0"/>
  </r>
  <r>
    <s v="08"/>
    <s v="08"/>
    <s v="Porodnicko-gynekologická klinika"/>
    <x v="7"/>
    <s v="0863"/>
    <s v="operační sál OP 17 (z 08 62)"/>
    <s v="0863 - operační sál OP 17 (z 08 62)"/>
    <s v="50113     Léky a léčiva"/>
    <x v="2"/>
    <x v="0"/>
    <n v="234.08565999999996"/>
    <n v="180.27711849722101"/>
  </r>
  <r>
    <s v="08"/>
    <s v="08"/>
    <s v="Porodnicko-gynekologická klinika"/>
    <x v="7"/>
    <s v="0863"/>
    <s v="operační sál OP 17 (z 08 62)"/>
    <s v="0863 - operační sál OP 17 (z 08 62)"/>
    <s v="50113     Léky a léčiva"/>
    <x v="2"/>
    <x v="1"/>
    <n v="330.76492999999999"/>
    <n v="279.589373821511"/>
  </r>
  <r>
    <s v="08"/>
    <s v="08"/>
    <s v="Porodnicko-gynekologická klinika"/>
    <x v="7"/>
    <s v="0863"/>
    <s v="operační sál OP 17 (z 08 62)"/>
    <s v="0863 - operační sál OP 17 (z 08 62)"/>
    <s v="50113     Léky a léčiva"/>
    <x v="2"/>
    <x v="2"/>
    <n v="220.77079000000003"/>
    <n v="327.66533215757198"/>
  </r>
  <r>
    <s v="08"/>
    <s v="08"/>
    <s v="Porodnicko-gynekologická klinika"/>
    <x v="7"/>
    <s v="0863"/>
    <s v="operační sál OP 17 (z 08 62)"/>
    <s v="0863 - operační sál OP 17 (z 08 62)"/>
    <s v="50113001     léky - paušál+TISS (LEK)"/>
    <x v="3"/>
    <x v="0"/>
    <n v="161.91625999999999"/>
    <n v="143.99992500742999"/>
  </r>
  <r>
    <s v="08"/>
    <s v="08"/>
    <s v="Porodnicko-gynekologická klinika"/>
    <x v="7"/>
    <s v="0863"/>
    <s v="operační sál OP 17 (z 08 62)"/>
    <s v="0863 - operační sál OP 17 (z 08 62)"/>
    <s v="50113001     léky - paušál+TISS (LEK)"/>
    <x v="3"/>
    <x v="1"/>
    <n v="264.69506999999993"/>
    <n v="161.91268622086099"/>
  </r>
  <r>
    <s v="08"/>
    <s v="08"/>
    <s v="Porodnicko-gynekologická klinika"/>
    <x v="7"/>
    <s v="0863"/>
    <s v="operační sál OP 17 (z 08 62)"/>
    <s v="0863 - operační sál OP 17 (z 08 62)"/>
    <s v="50113001     léky - paušál+TISS (LEK)"/>
    <x v="3"/>
    <x v="2"/>
    <n v="178.91079000000002"/>
    <n v="269"/>
  </r>
  <r>
    <s v="08"/>
    <s v="08"/>
    <s v="Porodnicko-gynekologická klinika"/>
    <x v="7"/>
    <s v="0863"/>
    <s v="operační sál OP 17 (z 08 62)"/>
    <s v="0863 - operační sál OP 17 (z 08 62)"/>
    <s v="50113013     léky (paušál) - antibiotika (LEK)"/>
    <x v="7"/>
    <x v="0"/>
    <n v="0"/>
    <n v="9.2942550439000002E-2"/>
  </r>
  <r>
    <s v="08"/>
    <s v="08"/>
    <s v="Porodnicko-gynekologická klinika"/>
    <x v="7"/>
    <s v="0863"/>
    <s v="operační sál OP 17 (z 08 62)"/>
    <s v="0863 - operační sál OP 17 (z 08 62)"/>
    <s v="50113190     medicinální plyny"/>
    <x v="9"/>
    <x v="0"/>
    <n v="72.169399999999996"/>
    <n v="36.184250939351003"/>
  </r>
  <r>
    <s v="08"/>
    <s v="08"/>
    <s v="Porodnicko-gynekologická klinika"/>
    <x v="7"/>
    <s v="0863"/>
    <s v="operační sál OP 17 (z 08 62)"/>
    <s v="0863 - operační sál OP 17 (z 08 62)"/>
    <s v="50113190     medicinální plyny"/>
    <x v="9"/>
    <x v="1"/>
    <n v="66.069859999999991"/>
    <n v="117.67668760065"/>
  </r>
  <r>
    <s v="08"/>
    <s v="08"/>
    <s v="Porodnicko-gynekologická klinika"/>
    <x v="7"/>
    <s v="0863"/>
    <s v="operační sál OP 17 (z 08 62)"/>
    <s v="0863 - operační sál OP 17 (z 08 62)"/>
    <s v="50113190     medicinální plyny"/>
    <x v="9"/>
    <x v="2"/>
    <n v="41.860000000000007"/>
    <n v="58.665332157572003"/>
  </r>
  <r>
    <s v="08"/>
    <s v="08"/>
    <s v="Porodnicko-gynekologická klinika"/>
    <x v="7"/>
    <s v="0863"/>
    <s v="operační sál OP 17 (z 08 62)"/>
    <s v="0863 - operační sál OP 17 (z 08 62)"/>
    <s v="50115     Zdravotnické prostředky"/>
    <x v="0"/>
    <x v="0"/>
    <n v="1682.6983700000001"/>
    <n v="1825.7867776949399"/>
  </r>
  <r>
    <s v="08"/>
    <s v="08"/>
    <s v="Porodnicko-gynekologická klinika"/>
    <x v="7"/>
    <s v="0863"/>
    <s v="operační sál OP 17 (z 08 62)"/>
    <s v="0863 - operační sál OP 17 (z 08 62)"/>
    <s v="50115     Zdravotnické prostředky"/>
    <x v="0"/>
    <x v="1"/>
    <n v="2614.0069800000001"/>
    <n v="2651.0539722649"/>
  </r>
  <r>
    <s v="08"/>
    <s v="08"/>
    <s v="Porodnicko-gynekologická klinika"/>
    <x v="7"/>
    <s v="0863"/>
    <s v="operační sál OP 17 (z 08 62)"/>
    <s v="0863 - operační sál OP 17 (z 08 62)"/>
    <s v="50115     Zdravotnické prostředky"/>
    <x v="0"/>
    <x v="2"/>
    <n v="2271.1962400000011"/>
    <n v="3364.69523975325"/>
  </r>
  <r>
    <s v="08"/>
    <s v="08"/>
    <s v="Porodnicko-gynekologická klinika"/>
    <x v="7"/>
    <s v="0863"/>
    <s v="operační sál OP 17 (z 08 62)"/>
    <s v="0863 - operační sál OP 17 (z 08 62)"/>
    <s v="50115004     implant.umělé těl.náhr.-kovové (s.Z_506)"/>
    <x v="25"/>
    <x v="0"/>
    <n v="92.188599999999994"/>
    <n v="60.859085921447999"/>
  </r>
  <r>
    <s v="08"/>
    <s v="08"/>
    <s v="Porodnicko-gynekologická klinika"/>
    <x v="7"/>
    <s v="0863"/>
    <s v="operační sál OP 17 (z 08 62)"/>
    <s v="0863 - operační sál OP 17 (z 08 62)"/>
    <s v="50115011     implant.umělé těl.náhr.-ostat.nákl.PZT(s.Z_515)"/>
    <x v="26"/>
    <x v="1"/>
    <n v="884.83335"/>
    <n v="420.99992300312698"/>
  </r>
  <r>
    <s v="08"/>
    <s v="08"/>
    <s v="Porodnicko-gynekologická klinika"/>
    <x v="7"/>
    <s v="0863"/>
    <s v="operační sál OP 17 (z 08 62)"/>
    <s v="0863 - operační sál OP 17 (z 08 62)"/>
    <s v="50115011     implant.umělé těl.náhr.-ostat.nákl.PZT(s.Z_515)"/>
    <x v="26"/>
    <x v="2"/>
    <n v="1135.905600000001"/>
    <n v="1646"/>
  </r>
  <r>
    <s v="08"/>
    <s v="08"/>
    <s v="Porodnicko-gynekologická klinika"/>
    <x v="7"/>
    <s v="0863"/>
    <s v="operační sál OP 17 (z 08 62)"/>
    <s v="0863 - operační sál OP 17 (z 08 62)"/>
    <s v="50115020     diagnostika laboratorní-LEK (sk.Z_501)"/>
    <x v="10"/>
    <x v="0"/>
    <n v="0.17100000000000001"/>
    <n v="2.7710089884609999"/>
  </r>
  <r>
    <s v="08"/>
    <s v="08"/>
    <s v="Porodnicko-gynekologická klinika"/>
    <x v="7"/>
    <s v="0863"/>
    <s v="operační sál OP 17 (z 08 62)"/>
    <s v="0863 - operační sál OP 17 (z 08 62)"/>
    <s v="50115020     diagnostika laboratorní-LEK (sk.Z_501)"/>
    <x v="10"/>
    <x v="1"/>
    <n v="0"/>
    <n v="0.17099981888499999"/>
  </r>
  <r>
    <s v="08"/>
    <s v="08"/>
    <s v="Porodnicko-gynekologická klinika"/>
    <x v="7"/>
    <s v="0863"/>
    <s v="operační sál OP 17 (z 08 62)"/>
    <s v="0863 - operační sál OP 17 (z 08 62)"/>
    <s v="50115050     obvazový materiál (sk.Z_502)"/>
    <x v="12"/>
    <x v="0"/>
    <n v="224.35488000000004"/>
    <n v="190.89837436981699"/>
  </r>
  <r>
    <s v="08"/>
    <s v="08"/>
    <s v="Porodnicko-gynekologická klinika"/>
    <x v="7"/>
    <s v="0863"/>
    <s v="operační sál OP 17 (z 08 62)"/>
    <s v="0863 - operační sál OP 17 (z 08 62)"/>
    <s v="50115050     obvazový materiál (sk.Z_502)"/>
    <x v="12"/>
    <x v="1"/>
    <n v="199.62223000000006"/>
    <n v="214.865085311972"/>
  </r>
  <r>
    <s v="08"/>
    <s v="08"/>
    <s v="Porodnicko-gynekologická klinika"/>
    <x v="7"/>
    <s v="0863"/>
    <s v="operační sál OP 17 (z 08 62)"/>
    <s v="0863 - operační sál OP 17 (z 08 62)"/>
    <s v="50115050     obvazový materiál (sk.Z_502)"/>
    <x v="12"/>
    <x v="2"/>
    <n v="134.37429"/>
    <n v="183.99999420444601"/>
  </r>
  <r>
    <s v="08"/>
    <s v="08"/>
    <s v="Porodnicko-gynekologická klinika"/>
    <x v="7"/>
    <s v="0863"/>
    <s v="operační sál OP 17 (z 08 62)"/>
    <s v="0863 - operační sál OP 17 (z 08 62)"/>
    <s v="50115060     ostatní ZPr - mimo níže uvedené (sk.Z_503)"/>
    <x v="1"/>
    <x v="0"/>
    <n v="729.59560999999894"/>
    <n v="783.29932639548804"/>
  </r>
  <r>
    <s v="08"/>
    <s v="08"/>
    <s v="Porodnicko-gynekologická klinika"/>
    <x v="7"/>
    <s v="0863"/>
    <s v="operační sál OP 17 (z 08 62)"/>
    <s v="0863 - operační sál OP 17 (z 08 62)"/>
    <s v="50115060     ostatní ZPr - mimo níže uvedené (sk.Z_503)"/>
    <x v="1"/>
    <x v="1"/>
    <n v="396.48036999999999"/>
    <n v="777.31702227186304"/>
  </r>
  <r>
    <s v="08"/>
    <s v="08"/>
    <s v="Porodnicko-gynekologická klinika"/>
    <x v="7"/>
    <s v="0863"/>
    <s v="operační sál OP 17 (z 08 62)"/>
    <s v="0863 - operační sál OP 17 (z 08 62)"/>
    <s v="50115060     ostatní ZPr - mimo níže uvedené (sk.Z_503)"/>
    <x v="1"/>
    <x v="2"/>
    <n v="315.59118000000001"/>
    <n v="434.40621161790699"/>
  </r>
  <r>
    <s v="08"/>
    <s v="08"/>
    <s v="Porodnicko-gynekologická klinika"/>
    <x v="7"/>
    <s v="0863"/>
    <s v="operační sál OP 17 (z 08 62)"/>
    <s v="0863 - operační sál OP 17 (z 08 62)"/>
    <s v="50115063     ostatní ZPr - vaky, sety (sk.Z_528)"/>
    <x v="13"/>
    <x v="0"/>
    <n v="8.7288999999999994"/>
    <n v="9.6343627935239997"/>
  </r>
  <r>
    <s v="08"/>
    <s v="08"/>
    <s v="Porodnicko-gynekologická klinika"/>
    <x v="7"/>
    <s v="0863"/>
    <s v="operační sál OP 17 (z 08 62)"/>
    <s v="0863 - operační sál OP 17 (z 08 62)"/>
    <s v="50115063     ostatní ZPr - vaky, sety (sk.Z_528)"/>
    <x v="13"/>
    <x v="1"/>
    <n v="8.7665199999999999"/>
    <n v="8.5510431964169999"/>
  </r>
  <r>
    <s v="08"/>
    <s v="08"/>
    <s v="Porodnicko-gynekologická klinika"/>
    <x v="7"/>
    <s v="0863"/>
    <s v="operační sál OP 17 (z 08 62)"/>
    <s v="0863 - operační sál OP 17 (z 08 62)"/>
    <s v="50115063     ostatní ZPr - vaky, sety (sk.Z_528)"/>
    <x v="13"/>
    <x v="2"/>
    <n v="6.9421300000000006"/>
    <n v="8.5046215395590004"/>
  </r>
  <r>
    <s v="08"/>
    <s v="08"/>
    <s v="Porodnicko-gynekologická klinika"/>
    <x v="7"/>
    <s v="0863"/>
    <s v="operační sál OP 17 (z 08 62)"/>
    <s v="0863 - operační sál OP 17 (z 08 62)"/>
    <s v="50115064     ostatní ZPr - šicí materiál (sk.Z_529)"/>
    <x v="21"/>
    <x v="0"/>
    <n v="303.20640999999898"/>
    <n v="331.88204371473"/>
  </r>
  <r>
    <s v="08"/>
    <s v="08"/>
    <s v="Porodnicko-gynekologická klinika"/>
    <x v="7"/>
    <s v="0863"/>
    <s v="operační sál OP 17 (z 08 62)"/>
    <s v="0863 - operační sál OP 17 (z 08 62)"/>
    <s v="50115064     ostatní ZPr - šicí materiál (sk.Z_529)"/>
    <x v="21"/>
    <x v="1"/>
    <n v="383.00295000000006"/>
    <n v="306.26866085489399"/>
  </r>
  <r>
    <s v="08"/>
    <s v="08"/>
    <s v="Porodnicko-gynekologická klinika"/>
    <x v="7"/>
    <s v="0863"/>
    <s v="operační sál OP 17 (z 08 62)"/>
    <s v="0863 - operační sál OP 17 (z 08 62)"/>
    <s v="50115064     ostatní ZPr - šicí materiál (sk.Z_529)"/>
    <x v="21"/>
    <x v="2"/>
    <n v="286.07284000000004"/>
    <n v="371.09499538308"/>
  </r>
  <r>
    <s v="08"/>
    <s v="08"/>
    <s v="Porodnicko-gynekologická klinika"/>
    <x v="7"/>
    <s v="0863"/>
    <s v="operační sál OP 17 (z 08 62)"/>
    <s v="0863 - operační sál OP 17 (z 08 62)"/>
    <s v="50115065     ostatní ZPr - vpichovací materiál (sk.Z_530)"/>
    <x v="14"/>
    <x v="0"/>
    <n v="10.749000000000001"/>
    <n v="19.761914489986999"/>
  </r>
  <r>
    <s v="08"/>
    <s v="08"/>
    <s v="Porodnicko-gynekologická klinika"/>
    <x v="7"/>
    <s v="0863"/>
    <s v="operační sál OP 17 (z 08 62)"/>
    <s v="0863 - operační sál OP 17 (z 08 62)"/>
    <s v="50115065     ostatní ZPr - vpichovací materiál (sk.Z_530)"/>
    <x v="14"/>
    <x v="1"/>
    <n v="12.943809999999999"/>
    <n v="11.026493662224"/>
  </r>
  <r>
    <s v="08"/>
    <s v="08"/>
    <s v="Porodnicko-gynekologická klinika"/>
    <x v="7"/>
    <s v="0863"/>
    <s v="operační sál OP 17 (z 08 62)"/>
    <s v="0863 - operační sál OP 17 (z 08 62)"/>
    <s v="50115065     ostatní ZPr - vpichovací materiál (sk.Z_530)"/>
    <x v="14"/>
    <x v="2"/>
    <n v="2.4846299999999997"/>
    <n v="14.060576893223001"/>
  </r>
  <r>
    <s v="08"/>
    <s v="08"/>
    <s v="Porodnicko-gynekologická klinika"/>
    <x v="7"/>
    <s v="0863"/>
    <s v="operační sál OP 17 (z 08 62)"/>
    <s v="0863 - operační sál OP 17 (z 08 62)"/>
    <s v="50115066     ostatní ZPr - šicí materiál - robot (sk.Z_531)"/>
    <x v="44"/>
    <x v="0"/>
    <n v="0"/>
    <n v="10.173174679577"/>
  </r>
  <r>
    <s v="08"/>
    <s v="08"/>
    <s v="Porodnicko-gynekologická klinika"/>
    <x v="7"/>
    <s v="0863"/>
    <s v="operační sál OP 17 (z 08 62)"/>
    <s v="0863 - operační sál OP 17 (z 08 62)"/>
    <s v="50115067     ostatní ZPr - rukavice (sk.Z_532)"/>
    <x v="15"/>
    <x v="0"/>
    <n v="102.88055999999898"/>
    <n v="85.177057919291002"/>
  </r>
  <r>
    <s v="08"/>
    <s v="08"/>
    <s v="Porodnicko-gynekologická klinika"/>
    <x v="7"/>
    <s v="0863"/>
    <s v="operační sál OP 17 (z 08 62)"/>
    <s v="0863 - operační sál OP 17 (z 08 62)"/>
    <s v="50115067     ostatní ZPr - rukavice (sk.Z_532)"/>
    <x v="15"/>
    <x v="1"/>
    <n v="113.17946999999998"/>
    <n v="108.179270978993"/>
  </r>
  <r>
    <s v="08"/>
    <s v="08"/>
    <s v="Porodnicko-gynekologická klinika"/>
    <x v="7"/>
    <s v="0863"/>
    <s v="operační sál OP 17 (z 08 62)"/>
    <s v="0863 - operační sál OP 17 (z 08 62)"/>
    <s v="50115067     ostatní ZPr - rukavice (sk.Z_532)"/>
    <x v="15"/>
    <x v="2"/>
    <n v="79.751879999999986"/>
    <n v="116.137860822088"/>
  </r>
  <r>
    <s v="08"/>
    <s v="08"/>
    <s v="Porodnicko-gynekologická klinika"/>
    <x v="7"/>
    <s v="0863"/>
    <s v="operační sál OP 17 (z 08 62)"/>
    <s v="0863 - operační sál OP 17 (z 08 62)"/>
    <s v="50115070     ostatní ZPr - katetry (sk.Z_513)"/>
    <x v="16"/>
    <x v="0"/>
    <n v="0.88475999999999999"/>
    <n v="73"/>
  </r>
  <r>
    <s v="08"/>
    <s v="08"/>
    <s v="Porodnicko-gynekologická klinika"/>
    <x v="7"/>
    <s v="0863"/>
    <s v="operační sál OP 17 (z 08 62)"/>
    <s v="0863 - operační sál OP 17 (z 08 62)"/>
    <s v="50115070     ostatní ZPr - katetry (sk.Z_513)"/>
    <x v="16"/>
    <x v="1"/>
    <n v="4.8142300000000002"/>
    <n v="1.5553249676150001"/>
  </r>
  <r>
    <s v="08"/>
    <s v="08"/>
    <s v="Porodnicko-gynekologická klinika"/>
    <x v="7"/>
    <s v="0863"/>
    <s v="operační sál OP 17 (z 08 62)"/>
    <s v="0863 - operační sál OP 17 (z 08 62)"/>
    <s v="50115070     ostatní ZPr - katetry (sk.Z_513)"/>
    <x v="16"/>
    <x v="2"/>
    <n v="0"/>
    <n v="5.5055363951759997"/>
  </r>
  <r>
    <s v="08"/>
    <s v="08"/>
    <s v="Porodnicko-gynekologická klinika"/>
    <x v="7"/>
    <s v="0863"/>
    <s v="operační sál OP 17 (z 08 62)"/>
    <s v="0863 - operační sál OP 17 (z 08 62)"/>
    <s v="50115079     ostatní ZPr - intenzivní péče (sk.Z_542)"/>
    <x v="18"/>
    <x v="2"/>
    <n v="3.8500199999999998"/>
    <n v="0"/>
  </r>
  <r>
    <s v="08"/>
    <s v="08"/>
    <s v="Porodnicko-gynekologická klinika"/>
    <x v="7"/>
    <s v="0863"/>
    <s v="operační sál OP 17 (z 08 62)"/>
    <s v="0863 - operační sál OP 17 (z 08 62)"/>
    <s v="50115080     ostatní ZPr - staplery, extraktory (sk.Z_523)"/>
    <x v="30"/>
    <x v="0"/>
    <n v="209.93865"/>
    <n v="258.33042842261898"/>
  </r>
  <r>
    <s v="08"/>
    <s v="08"/>
    <s v="Porodnicko-gynekologická klinika"/>
    <x v="7"/>
    <s v="0863"/>
    <s v="operační sál OP 17 (z 08 62)"/>
    <s v="0863 - operační sál OP 17 (z 08 62)"/>
    <s v="50115080     ostatní ZPr - staplery, extraktory (sk.Z_523)"/>
    <x v="30"/>
    <x v="1"/>
    <n v="610.36405000000002"/>
    <n v="802.12014819891203"/>
  </r>
  <r>
    <s v="08"/>
    <s v="08"/>
    <s v="Porodnicko-gynekologická klinika"/>
    <x v="7"/>
    <s v="0863"/>
    <s v="operační sál OP 17 (z 08 62)"/>
    <s v="0863 - operační sál OP 17 (z 08 62)"/>
    <s v="50115080     ostatní ZPr - staplery, extraktory (sk.Z_523)"/>
    <x v="30"/>
    <x v="2"/>
    <n v="306.22366999999997"/>
    <n v="584.98544289776805"/>
  </r>
  <r>
    <s v="08"/>
    <s v="08"/>
    <s v="Porodnicko-gynekologická klinika"/>
    <x v="7"/>
    <s v="0864"/>
    <s v="pracoviště COS"/>
    <s v="0864 - pracoviště COS"/>
    <s v="50115     Zdravotnické prostředky"/>
    <x v="0"/>
    <x v="0"/>
    <n v="1180.69102"/>
    <n v="3111.8578441067798"/>
  </r>
  <r>
    <s v="08"/>
    <s v="08"/>
    <s v="Porodnicko-gynekologická klinika"/>
    <x v="7"/>
    <s v="0864"/>
    <s v="pracoviště COS"/>
    <s v="0864 - pracoviště COS"/>
    <s v="50115     Zdravotnické prostředky"/>
    <x v="0"/>
    <x v="1"/>
    <n v="934.24766999999997"/>
    <n v="1364.0842536534999"/>
  </r>
  <r>
    <s v="08"/>
    <s v="08"/>
    <s v="Porodnicko-gynekologická klinika"/>
    <x v="7"/>
    <s v="0864"/>
    <s v="pracoviště COS"/>
    <s v="0864 - pracoviště COS"/>
    <s v="50115     Zdravotnické prostředky"/>
    <x v="0"/>
    <x v="2"/>
    <n v="1627.8736800000008"/>
    <n v="1180.3872933535899"/>
  </r>
  <r>
    <s v="08"/>
    <s v="08"/>
    <s v="Porodnicko-gynekologická klinika"/>
    <x v="7"/>
    <s v="0864"/>
    <s v="pracoviště COS"/>
    <s v="0864 - pracoviště COS"/>
    <s v="50115050     obvazový materiál (sk.Z_502)"/>
    <x v="12"/>
    <x v="0"/>
    <n v="0"/>
    <n v="0.131606878309"/>
  </r>
  <r>
    <s v="08"/>
    <s v="08"/>
    <s v="Porodnicko-gynekologická klinika"/>
    <x v="7"/>
    <s v="0864"/>
    <s v="pracoviště COS"/>
    <s v="0864 - pracoviště COS"/>
    <s v="50115061     ostatní ZPr - robotické centrum (sk.Z_512)"/>
    <x v="43"/>
    <x v="0"/>
    <n v="1134.2792999999999"/>
    <n v="3035.9999999998299"/>
  </r>
  <r>
    <s v="08"/>
    <s v="08"/>
    <s v="Porodnicko-gynekologická klinika"/>
    <x v="7"/>
    <s v="0864"/>
    <s v="pracoviště COS"/>
    <s v="0864 - pracoviště COS"/>
    <s v="50115061     ostatní ZPr - robotické centrum (sk.Z_512)"/>
    <x v="43"/>
    <x v="1"/>
    <n v="657.44232"/>
    <n v="1299.9993000284101"/>
  </r>
  <r>
    <s v="08"/>
    <s v="08"/>
    <s v="Porodnicko-gynekologická klinika"/>
    <x v="7"/>
    <s v="0864"/>
    <s v="pracoviště COS"/>
    <s v="0864 - pracoviště COS"/>
    <s v="50115061     ostatní ZPr - robotické centrum (sk.Z_512)"/>
    <x v="43"/>
    <x v="2"/>
    <n v="1597.5688800000009"/>
    <n v="1136.99996418726"/>
  </r>
  <r>
    <s v="08"/>
    <s v="08"/>
    <s v="Porodnicko-gynekologická klinika"/>
    <x v="7"/>
    <s v="0864"/>
    <s v="pracoviště COS"/>
    <s v="0864 - pracoviště COS"/>
    <s v="50115064     ostatní ZPr - šicí materiál (sk.Z_529)"/>
    <x v="21"/>
    <x v="0"/>
    <n v="38.089260000000003"/>
    <n v="31.450247938758"/>
  </r>
  <r>
    <s v="08"/>
    <s v="08"/>
    <s v="Porodnicko-gynekologická klinika"/>
    <x v="7"/>
    <s v="0864"/>
    <s v="pracoviště COS"/>
    <s v="0864 - pracoviště COS"/>
    <s v="50115064     ostatní ZPr - šicí materiál (sk.Z_529)"/>
    <x v="21"/>
    <x v="1"/>
    <n v="216.20599999999999"/>
    <n v="31.343415369506001"/>
  </r>
  <r>
    <s v="08"/>
    <s v="08"/>
    <s v="Porodnicko-gynekologická klinika"/>
    <x v="7"/>
    <s v="0864"/>
    <s v="pracoviště COS"/>
    <s v="0864 - pracoviště COS"/>
    <s v="50115066     ostatní ZPr - šicí materiál - robot (sk.Z_531)"/>
    <x v="44"/>
    <x v="0"/>
    <n v="0"/>
    <n v="15.877050614729001"/>
  </r>
  <r>
    <s v="08"/>
    <s v="08"/>
    <s v="Porodnicko-gynekologická klinika"/>
    <x v="7"/>
    <s v="0864"/>
    <s v="pracoviště COS"/>
    <s v="0864 - pracoviště COS"/>
    <s v="50115066     ostatní ZPr - šicí materiál - robot (sk.Z_531)"/>
    <x v="44"/>
    <x v="1"/>
    <n v="45.4572"/>
    <n v="7.9999956924819999"/>
  </r>
  <r>
    <s v="08"/>
    <s v="08"/>
    <s v="Porodnicko-gynekologická klinika"/>
    <x v="7"/>
    <s v="0864"/>
    <s v="pracoviště COS"/>
    <s v="0864 - pracoviště COS"/>
    <s v="50115066     ostatní ZPr - šicí materiál - robot (sk.Z_531)"/>
    <x v="44"/>
    <x v="2"/>
    <n v="30.3048"/>
    <n v="40.999998708599001"/>
  </r>
  <r>
    <s v="08"/>
    <s v="08"/>
    <s v="Porodnicko-gynekologická klinika"/>
    <x v="7"/>
    <s v="0864"/>
    <s v="pracoviště COS"/>
    <s v="0864 - pracoviště COS"/>
    <s v="50115067     ostatní ZPr - rukavice (sk.Z_532)"/>
    <x v="15"/>
    <x v="0"/>
    <n v="2.7218300000000002"/>
    <n v="15.994417897308001"/>
  </r>
  <r>
    <s v="08"/>
    <s v="08"/>
    <s v="Porodnicko-gynekologická klinika"/>
    <x v="7"/>
    <s v="0864"/>
    <s v="pracoviště COS"/>
    <s v="0864 - pracoviště COS"/>
    <s v="50115067     ostatní ZPr - rukavice (sk.Z_532)"/>
    <x v="15"/>
    <x v="1"/>
    <n v="2.7674500000000002"/>
    <n v="2.8620138258260002"/>
  </r>
  <r>
    <s v="08"/>
    <s v="08"/>
    <s v="Porodnicko-gynekologická klinika"/>
    <x v="7"/>
    <s v="0864"/>
    <s v="pracoviště COS"/>
    <s v="0864 - pracoviště COS"/>
    <s v="50115067     ostatní ZPr - rukavice (sk.Z_532)"/>
    <x v="15"/>
    <x v="2"/>
    <n v="0"/>
    <n v="2.3873304577379999"/>
  </r>
  <r>
    <s v="08"/>
    <s v="08"/>
    <s v="Porodnicko-gynekologická klinika"/>
    <x v="7"/>
    <s v="0864"/>
    <s v="pracoviště COS"/>
    <s v="0864 - pracoviště COS"/>
    <s v="50115080     ostatní ZPr - staplery, extraktory (sk.Z_523)"/>
    <x v="30"/>
    <x v="0"/>
    <n v="5.6006299999999998"/>
    <n v="12.404520777843"/>
  </r>
  <r>
    <s v="08"/>
    <s v="08"/>
    <s v="Porodnicko-gynekologická klinika"/>
    <x v="7"/>
    <s v="0864"/>
    <s v="pracoviště COS"/>
    <s v="0864 - pracoviště COS"/>
    <s v="50115080     ostatní ZPr - staplery, extraktory (sk.Z_523)"/>
    <x v="30"/>
    <x v="1"/>
    <n v="12.374700000000001"/>
    <n v="21.879528737276999"/>
  </r>
  <r>
    <s v="08"/>
    <s v="08"/>
    <s v="Porodnicko-gynekologická klinika"/>
    <x v="7"/>
    <s v="0894"/>
    <m/>
    <s v="0894 - "/>
    <s v="50113     Léky a léčiva"/>
    <x v="2"/>
    <x v="0"/>
    <n v="0"/>
    <n v="4.8978754700000002E-3"/>
  </r>
  <r>
    <s v="08"/>
    <s v="08"/>
    <s v="Porodnicko-gynekologická klinika"/>
    <x v="7"/>
    <s v="0894"/>
    <m/>
    <s v="0894 - "/>
    <s v="50113001     léky - paušál+TISS (LEK)"/>
    <x v="3"/>
    <x v="0"/>
    <n v="0"/>
    <n v="4.8978754700000002E-3"/>
  </r>
  <r>
    <s v="08"/>
    <s v="08"/>
    <s v="Porodnicko-gynekologická klinika"/>
    <x v="7"/>
    <s v="0894"/>
    <m/>
    <s v="0894 - "/>
    <s v="50113016     léky - spotřeba v centrech (LEK)"/>
    <x v="39"/>
    <x v="0"/>
    <n v="0"/>
    <n v="0"/>
  </r>
  <r>
    <s v="09"/>
    <s v="09"/>
    <s v="Novorozenecké oddělení"/>
    <x v="8"/>
    <s v="0911"/>
    <s v="lůžkové oddělení 16C "/>
    <s v="0911 - lůžkové oddělení 16C "/>
    <s v="50113     Léky a léčiva"/>
    <x v="2"/>
    <x v="0"/>
    <n v="336.01022"/>
    <n v="346.429903209786"/>
  </r>
  <r>
    <s v="09"/>
    <s v="09"/>
    <s v="Novorozenecké oddělení"/>
    <x v="8"/>
    <s v="0911"/>
    <s v="lůžkové oddělení 16C "/>
    <s v="0911 - lůžkové oddělení 16C "/>
    <s v="50113     Léky a léčiva"/>
    <x v="2"/>
    <x v="1"/>
    <n v="325.21654999999998"/>
    <n v="345.80605012897303"/>
  </r>
  <r>
    <s v="09"/>
    <s v="09"/>
    <s v="Novorozenecké oddělení"/>
    <x v="8"/>
    <s v="0911"/>
    <s v="lůžkové oddělení 16C "/>
    <s v="0911 - lůžkové oddělení 16C "/>
    <s v="50113     Léky a léčiva"/>
    <x v="2"/>
    <x v="2"/>
    <n v="249.96815000000004"/>
    <n v="363.64784647610202"/>
  </r>
  <r>
    <s v="09"/>
    <s v="09"/>
    <s v="Novorozenecké oddělení"/>
    <x v="8"/>
    <s v="0911"/>
    <s v="lůžkové oddělení 16C "/>
    <s v="0911 - lůžkové oddělení 16C "/>
    <s v="50113001     léky - paušál+TISS (LEK)"/>
    <x v="3"/>
    <x v="0"/>
    <n v="163.56250999999997"/>
    <n v="161.95936351544299"/>
  </r>
  <r>
    <s v="09"/>
    <s v="09"/>
    <s v="Novorozenecké oddělení"/>
    <x v="8"/>
    <s v="0911"/>
    <s v="lůžkové oddělení 16C "/>
    <s v="0911 - lůžkové oddělení 16C "/>
    <s v="50113001     léky - paušál+TISS (LEK)"/>
    <x v="3"/>
    <x v="1"/>
    <n v="174.16654"/>
    <n v="170.538435673404"/>
  </r>
  <r>
    <s v="09"/>
    <s v="09"/>
    <s v="Novorozenecké oddělení"/>
    <x v="8"/>
    <s v="0911"/>
    <s v="lůžkové oddělení 16C "/>
    <s v="0911 - lůžkové oddělení 16C "/>
    <s v="50113001     léky - paušál+TISS (LEK)"/>
    <x v="3"/>
    <x v="2"/>
    <n v="131.91916000000001"/>
    <n v="195.34474923819101"/>
  </r>
  <r>
    <s v="09"/>
    <s v="09"/>
    <s v="Novorozenecké oddělení"/>
    <x v="8"/>
    <s v="0911"/>
    <s v="lůžkové oddělení 16C "/>
    <s v="0911 - lůžkové oddělení 16C "/>
    <s v="50113006     léky - enterální výživa (LEK)"/>
    <x v="4"/>
    <x v="0"/>
    <n v="18.643540000000002"/>
    <n v="39.615734157482997"/>
  </r>
  <r>
    <s v="09"/>
    <s v="09"/>
    <s v="Novorozenecké oddělení"/>
    <x v="8"/>
    <s v="0911"/>
    <s v="lůžkové oddělení 16C "/>
    <s v="0911 - lůžkové oddělení 16C "/>
    <s v="50113006     léky - enterální výživa (LEK)"/>
    <x v="4"/>
    <x v="1"/>
    <n v="0"/>
    <n v="22.615686274083998"/>
  </r>
  <r>
    <s v="09"/>
    <s v="09"/>
    <s v="Novorozenecké oddělení"/>
    <x v="8"/>
    <s v="0911"/>
    <s v="lůžkové oddělení 16C "/>
    <s v="0911 - lůžkové oddělení 16C "/>
    <s v="50113006     léky - enterální výživa (LEK)"/>
    <x v="4"/>
    <x v="2"/>
    <n v="1.2862100000000001"/>
    <n v="0"/>
  </r>
  <r>
    <s v="09"/>
    <s v="09"/>
    <s v="Novorozenecké oddělení"/>
    <x v="8"/>
    <s v="0911"/>
    <s v="lůžkové oddělení 16C "/>
    <s v="0911 - lůžkové oddělení 16C "/>
    <s v="50113008     léky - krev.deriváty ZUL (TO)"/>
    <x v="5"/>
    <x v="2"/>
    <n v="5.2437000000000005"/>
    <n v="0"/>
  </r>
  <r>
    <s v="09"/>
    <s v="09"/>
    <s v="Novorozenecké oddělení"/>
    <x v="8"/>
    <s v="0911"/>
    <s v="lůžkové oddělení 16C "/>
    <s v="0911 - lůžkové oddělení 16C "/>
    <s v="50113013     léky (paušál) - antibiotika (LEK)"/>
    <x v="7"/>
    <x v="0"/>
    <n v="8.3513099999989997"/>
    <n v="4.8210464433869999"/>
  </r>
  <r>
    <s v="09"/>
    <s v="09"/>
    <s v="Novorozenecké oddělení"/>
    <x v="8"/>
    <s v="0911"/>
    <s v="lůžkové oddělení 16C "/>
    <s v="0911 - lůžkové oddělení 16C "/>
    <s v="50113013     léky (paušál) - antibiotika (LEK)"/>
    <x v="7"/>
    <x v="1"/>
    <n v="10.306839999999998"/>
    <n v="13.45284902057"/>
  </r>
  <r>
    <s v="09"/>
    <s v="09"/>
    <s v="Novorozenecké oddělení"/>
    <x v="8"/>
    <s v="0911"/>
    <s v="lůžkové oddělení 16C "/>
    <s v="0911 - lůžkové oddělení 16C "/>
    <s v="50113013     léky (paušál) - antibiotika (LEK)"/>
    <x v="7"/>
    <x v="2"/>
    <n v="8.6908999999999992"/>
    <n v="15.763269799475999"/>
  </r>
  <r>
    <s v="09"/>
    <s v="09"/>
    <s v="Novorozenecké oddělení"/>
    <x v="8"/>
    <s v="0911"/>
    <s v="lůžkové oddělení 16C "/>
    <s v="0911 - lůžkové oddělení 16C "/>
    <s v="50113014     léky (paušál) - antimykotika (LEK)"/>
    <x v="8"/>
    <x v="0"/>
    <n v="1.4879899999999999"/>
    <n v="1.7075100944320001"/>
  </r>
  <r>
    <s v="09"/>
    <s v="09"/>
    <s v="Novorozenecké oddělení"/>
    <x v="8"/>
    <s v="0911"/>
    <s v="lůžkové oddělení 16C "/>
    <s v="0911 - lůžkové oddělení 16C "/>
    <s v="50113014     léky (paušál) - antimykotika (LEK)"/>
    <x v="8"/>
    <x v="1"/>
    <n v="2.4072"/>
    <n v="1.4648380943199999"/>
  </r>
  <r>
    <s v="09"/>
    <s v="09"/>
    <s v="Novorozenecké oddělení"/>
    <x v="8"/>
    <s v="0911"/>
    <s v="lůžkové oddělení 16C "/>
    <s v="0911 - lůžkové oddělení 16C "/>
    <s v="50113014     léky (paušál) - antimykotika (LEK)"/>
    <x v="8"/>
    <x v="2"/>
    <n v="2.3444499999999997"/>
    <n v="1.7029788114419999"/>
  </r>
  <r>
    <s v="09"/>
    <s v="09"/>
    <s v="Novorozenecké oddělení"/>
    <x v="8"/>
    <s v="0911"/>
    <s v="lůžkové oddělení 16C "/>
    <s v="0911 - lůžkové oddělení 16C "/>
    <s v="50113190     medicinální plyny"/>
    <x v="9"/>
    <x v="0"/>
    <n v="143.964869999999"/>
    <n v="138.32624899903999"/>
  </r>
  <r>
    <s v="09"/>
    <s v="09"/>
    <s v="Novorozenecké oddělení"/>
    <x v="8"/>
    <s v="0911"/>
    <s v="lůžkové oddělení 16C "/>
    <s v="0911 - lůžkové oddělení 16C "/>
    <s v="50113190     medicinální plyny"/>
    <x v="9"/>
    <x v="1"/>
    <n v="138.33597"/>
    <n v="137.73424106659499"/>
  </r>
  <r>
    <s v="09"/>
    <s v="09"/>
    <s v="Novorozenecké oddělení"/>
    <x v="8"/>
    <s v="0911"/>
    <s v="lůžkové oddělení 16C "/>
    <s v="0911 - lůžkové oddělení 16C "/>
    <s v="50113190     medicinální plyny"/>
    <x v="9"/>
    <x v="2"/>
    <n v="100.48372999999999"/>
    <n v="150.83684862699201"/>
  </r>
  <r>
    <s v="09"/>
    <s v="09"/>
    <s v="Novorozenecké oddělení"/>
    <x v="8"/>
    <s v="0911"/>
    <s v="lůžkové oddělení 16C "/>
    <s v="0911 - lůžkové oddělení 16C "/>
    <s v="50115     Zdravotnické prostředky"/>
    <x v="0"/>
    <x v="0"/>
    <n v="312.35616999999996"/>
    <n v="338.34817085214303"/>
  </r>
  <r>
    <s v="09"/>
    <s v="09"/>
    <s v="Novorozenecké oddělení"/>
    <x v="8"/>
    <s v="0911"/>
    <s v="lůžkové oddělení 16C "/>
    <s v="0911 - lůžkové oddělení 16C "/>
    <s v="50115     Zdravotnické prostředky"/>
    <x v="0"/>
    <x v="1"/>
    <n v="254.51047"/>
    <n v="312.77594090417199"/>
  </r>
  <r>
    <s v="09"/>
    <s v="09"/>
    <s v="Novorozenecké oddělení"/>
    <x v="8"/>
    <s v="0911"/>
    <s v="lůžkové oddělení 16C "/>
    <s v="0911 - lůžkové oddělení 16C "/>
    <s v="50115     Zdravotnické prostředky"/>
    <x v="0"/>
    <x v="2"/>
    <n v="241.63857999999999"/>
    <n v="325.16747507789398"/>
  </r>
  <r>
    <s v="09"/>
    <s v="09"/>
    <s v="Novorozenecké oddělení"/>
    <x v="8"/>
    <s v="0911"/>
    <s v="lůžkové oddělení 16C "/>
    <s v="0911 - lůžkové oddělení 16C "/>
    <s v="50115020     diagnostika laboratorní-LEK (sk.Z_501)"/>
    <x v="10"/>
    <x v="0"/>
    <n v="74.053780000000003"/>
    <n v="89.917266291318995"/>
  </r>
  <r>
    <s v="09"/>
    <s v="09"/>
    <s v="Novorozenecké oddělení"/>
    <x v="8"/>
    <s v="0911"/>
    <s v="lůžkové oddělení 16C "/>
    <s v="0911 - lůžkové oddělení 16C "/>
    <s v="50115020     diagnostika laboratorní-LEK (sk.Z_501)"/>
    <x v="10"/>
    <x v="1"/>
    <n v="26.61"/>
    <n v="74.053701565802996"/>
  </r>
  <r>
    <s v="09"/>
    <s v="09"/>
    <s v="Novorozenecké oddělení"/>
    <x v="8"/>
    <s v="0911"/>
    <s v="lůžkové oddělení 16C "/>
    <s v="0911 - lůžkové oddělení 16C "/>
    <s v="50115020     diagnostika laboratorní-LEK (sk.Z_501)"/>
    <x v="10"/>
    <x v="2"/>
    <n v="15.600989999999999"/>
    <n v="27.950640624365999"/>
  </r>
  <r>
    <s v="09"/>
    <s v="09"/>
    <s v="Novorozenecké oddělení"/>
    <x v="8"/>
    <s v="0911"/>
    <s v="lůžkové oddělení 16C "/>
    <s v="0911 - lůžkové oddělení 16C "/>
    <s v="50115040     laboratorní materiál (sk.Z_505)"/>
    <x v="11"/>
    <x v="0"/>
    <n v="1.3068"/>
    <n v="0.94990943338099998"/>
  </r>
  <r>
    <s v="09"/>
    <s v="09"/>
    <s v="Novorozenecké oddělení"/>
    <x v="8"/>
    <s v="0911"/>
    <s v="lůžkové oddělení 16C "/>
    <s v="0911 - lůžkové oddělení 16C "/>
    <s v="50115040     laboratorní materiál (sk.Z_505)"/>
    <x v="11"/>
    <x v="1"/>
    <n v="0"/>
    <n v="1.306882613572"/>
  </r>
  <r>
    <s v="09"/>
    <s v="09"/>
    <s v="Novorozenecké oddělení"/>
    <x v="8"/>
    <s v="0911"/>
    <s v="lůžkové oddělení 16C "/>
    <s v="0911 - lůžkové oddělení 16C "/>
    <s v="50115050     obvazový materiál (sk.Z_502)"/>
    <x v="12"/>
    <x v="0"/>
    <n v="35.514300000000006"/>
    <n v="51.127140212072"/>
  </r>
  <r>
    <s v="09"/>
    <s v="09"/>
    <s v="Novorozenecké oddělení"/>
    <x v="8"/>
    <s v="0911"/>
    <s v="lůžkové oddělení 16C "/>
    <s v="0911 - lůžkové oddělení 16C "/>
    <s v="50115050     obvazový materiál (sk.Z_502)"/>
    <x v="12"/>
    <x v="1"/>
    <n v="18.029739999999997"/>
    <n v="33.595062961204"/>
  </r>
  <r>
    <s v="09"/>
    <s v="09"/>
    <s v="Novorozenecké oddělení"/>
    <x v="8"/>
    <s v="0911"/>
    <s v="lůžkové oddělení 16C "/>
    <s v="0911 - lůžkové oddělení 16C "/>
    <s v="50115050     obvazový materiál (sk.Z_502)"/>
    <x v="12"/>
    <x v="2"/>
    <n v="19.63036"/>
    <n v="24.748156110034"/>
  </r>
  <r>
    <s v="09"/>
    <s v="09"/>
    <s v="Novorozenecké oddělení"/>
    <x v="8"/>
    <s v="0911"/>
    <s v="lůžkové oddělení 16C "/>
    <s v="0911 - lůžkové oddělení 16C "/>
    <s v="50115060     ostatní ZPr - mimo níže uvedené (sk.Z_503)"/>
    <x v="1"/>
    <x v="0"/>
    <n v="167.93916999999999"/>
    <n v="162.94982052256401"/>
  </r>
  <r>
    <s v="09"/>
    <s v="09"/>
    <s v="Novorozenecké oddělení"/>
    <x v="8"/>
    <s v="0911"/>
    <s v="lůžkové oddělení 16C "/>
    <s v="0911 - lůžkové oddělení 16C "/>
    <s v="50115060     ostatní ZPr - mimo níže uvedené (sk.Z_503)"/>
    <x v="1"/>
    <x v="1"/>
    <n v="181.76004"/>
    <n v="169.93800044678099"/>
  </r>
  <r>
    <s v="09"/>
    <s v="09"/>
    <s v="Novorozenecké oddělení"/>
    <x v="8"/>
    <s v="0911"/>
    <s v="lůžkové oddělení 16C "/>
    <s v="0911 - lůžkové oddělení 16C "/>
    <s v="50115060     ostatní ZPr - mimo níže uvedené (sk.Z_503)"/>
    <x v="1"/>
    <x v="2"/>
    <n v="176.14631"/>
    <n v="239.36448655522599"/>
  </r>
  <r>
    <s v="09"/>
    <s v="09"/>
    <s v="Novorozenecké oddělení"/>
    <x v="8"/>
    <s v="0911"/>
    <s v="lůžkové oddělení 16C "/>
    <s v="0911 - lůžkové oddělení 16C "/>
    <s v="50115063     ostatní ZPr - vaky, sety (sk.Z_528)"/>
    <x v="13"/>
    <x v="0"/>
    <n v="4.2107999999999999"/>
    <n v="3"/>
  </r>
  <r>
    <s v="09"/>
    <s v="09"/>
    <s v="Novorozenecké oddělení"/>
    <x v="8"/>
    <s v="0911"/>
    <s v="lůžkové oddělení 16C "/>
    <s v="0911 - lůžkové oddělení 16C "/>
    <s v="50115063     ostatní ZPr - vaky, sety (sk.Z_528)"/>
    <x v="13"/>
    <x v="1"/>
    <n v="0"/>
    <n v="4.125002313175"/>
  </r>
  <r>
    <s v="09"/>
    <s v="09"/>
    <s v="Novorozenecké oddělení"/>
    <x v="8"/>
    <s v="0911"/>
    <s v="lůžkové oddělení 16C "/>
    <s v="0911 - lůžkové oddělení 16C "/>
    <s v="50115065     ostatní ZPr - vpichovací materiál (sk.Z_530)"/>
    <x v="14"/>
    <x v="0"/>
    <n v="0.93599999999899985"/>
    <n v="0.95009885242400005"/>
  </r>
  <r>
    <s v="09"/>
    <s v="09"/>
    <s v="Novorozenecké oddělení"/>
    <x v="8"/>
    <s v="0911"/>
    <s v="lůžkové oddělení 16C "/>
    <s v="0911 - lůžkové oddělení 16C "/>
    <s v="50115065     ostatní ZPr - vpichovací materiál (sk.Z_530)"/>
    <x v="14"/>
    <x v="1"/>
    <n v="0.78800000000000003"/>
    <n v="0.96016355640899997"/>
  </r>
  <r>
    <s v="09"/>
    <s v="09"/>
    <s v="Novorozenecké oddělení"/>
    <x v="8"/>
    <s v="0911"/>
    <s v="lůžkové oddělení 16C "/>
    <s v="0911 - lůžkové oddělení 16C "/>
    <s v="50115065     ostatní ZPr - vpichovací materiál (sk.Z_530)"/>
    <x v="14"/>
    <x v="2"/>
    <n v="0.53500000000000003"/>
    <n v="0.68736459928799998"/>
  </r>
  <r>
    <s v="09"/>
    <s v="09"/>
    <s v="Novorozenecké oddělení"/>
    <x v="8"/>
    <s v="0911"/>
    <s v="lůžkové oddělení 16C "/>
    <s v="0911 - lůžkové oddělení 16C "/>
    <s v="50115067     ostatní ZPr - rukavice (sk.Z_532)"/>
    <x v="15"/>
    <x v="0"/>
    <n v="28.395319999999998"/>
    <n v="29.453935540380002"/>
  </r>
  <r>
    <s v="09"/>
    <s v="09"/>
    <s v="Novorozenecké oddělení"/>
    <x v="8"/>
    <s v="0911"/>
    <s v="lůžkové oddělení 16C "/>
    <s v="0911 - lůžkové oddělení 16C "/>
    <s v="50115067     ostatní ZPr - rukavice (sk.Z_532)"/>
    <x v="15"/>
    <x v="1"/>
    <n v="27.322690000000001"/>
    <n v="28.797127447225002"/>
  </r>
  <r>
    <s v="09"/>
    <s v="09"/>
    <s v="Novorozenecké oddělení"/>
    <x v="8"/>
    <s v="0911"/>
    <s v="lůžkové oddělení 16C "/>
    <s v="0911 - lůžkové oddělení 16C "/>
    <s v="50115067     ostatní ZPr - rukavice (sk.Z_532)"/>
    <x v="15"/>
    <x v="2"/>
    <n v="28.747019999999999"/>
    <n v="32.416827188977003"/>
  </r>
  <r>
    <s v="09"/>
    <s v="09"/>
    <s v="Novorozenecké oddělení"/>
    <x v="8"/>
    <s v="0911"/>
    <s v="lůžkové oddělení 16C "/>
    <s v="0911 - lůžkové oddělení 16C "/>
    <s v="50115079     ostatní ZPr - intenzivní péče (sk.Z_542)"/>
    <x v="18"/>
    <x v="2"/>
    <n v="0.97889999999999999"/>
    <n v="0"/>
  </r>
  <r>
    <s v="09"/>
    <s v="09"/>
    <s v="Novorozenecké oddělení"/>
    <x v="8"/>
    <s v="0912"/>
    <s v="lůžkové oddělení 16B + 16D"/>
    <s v="0912 - lůžkové oddělení 16B + 16D"/>
    <s v="50113     Léky a léčiva"/>
    <x v="2"/>
    <x v="0"/>
    <n v="155.09374000000003"/>
    <n v="227.601463498318"/>
  </r>
  <r>
    <s v="09"/>
    <s v="09"/>
    <s v="Novorozenecké oddělení"/>
    <x v="8"/>
    <s v="0912"/>
    <s v="lůžkové oddělení 16B + 16D"/>
    <s v="0912 - lůžkové oddělení 16B + 16D"/>
    <s v="50113     Léky a léčiva"/>
    <x v="2"/>
    <x v="1"/>
    <n v="132.13343"/>
    <n v="176.337113198178"/>
  </r>
  <r>
    <s v="09"/>
    <s v="09"/>
    <s v="Novorozenecké oddělení"/>
    <x v="8"/>
    <s v="0912"/>
    <s v="lůžkové oddělení 16B + 16D"/>
    <s v="0912 - lůžkové oddělení 16B + 16D"/>
    <s v="50113     Léky a léčiva"/>
    <x v="2"/>
    <x v="2"/>
    <n v="111.01459"/>
    <n v="144.03034235177"/>
  </r>
  <r>
    <s v="09"/>
    <s v="09"/>
    <s v="Novorozenecké oddělení"/>
    <x v="8"/>
    <s v="0912"/>
    <s v="lůžkové oddělení 16B + 16D"/>
    <s v="0912 - lůžkové oddělení 16B + 16D"/>
    <s v="50113001     léky - paušál+TISS (LEK)"/>
    <x v="3"/>
    <x v="0"/>
    <n v="136.69005999999899"/>
    <n v="185.600220950345"/>
  </r>
  <r>
    <s v="09"/>
    <s v="09"/>
    <s v="Novorozenecké oddělení"/>
    <x v="8"/>
    <s v="0912"/>
    <s v="lůžkové oddělení 16B + 16D"/>
    <s v="0912 - lůžkové oddělení 16B + 16D"/>
    <s v="50113001     léky - paušál+TISS (LEK)"/>
    <x v="3"/>
    <x v="1"/>
    <n v="120.72506000000001"/>
    <n v="136.869237754832"/>
  </r>
  <r>
    <s v="09"/>
    <s v="09"/>
    <s v="Novorozenecké oddělení"/>
    <x v="8"/>
    <s v="0912"/>
    <s v="lůžkové oddělení 16B + 16D"/>
    <s v="0912 - lůžkové oddělení 16B + 16D"/>
    <s v="50113001     léky - paušál+TISS (LEK)"/>
    <x v="3"/>
    <x v="2"/>
    <n v="93.99503"/>
    <n v="130.04628985399501"/>
  </r>
  <r>
    <s v="09"/>
    <s v="09"/>
    <s v="Novorozenecké oddělení"/>
    <x v="8"/>
    <s v="0912"/>
    <s v="lůžkové oddělení 16B + 16D"/>
    <s v="0912 - lůžkové oddělení 16B + 16D"/>
    <s v="50113006     léky - enterální výživa (LEK)"/>
    <x v="4"/>
    <x v="0"/>
    <n v="3.3359599999999996"/>
    <n v="10.699675059754"/>
  </r>
  <r>
    <s v="09"/>
    <s v="09"/>
    <s v="Novorozenecké oddělení"/>
    <x v="8"/>
    <s v="0912"/>
    <s v="lůžkové oddělení 16B + 16D"/>
    <s v="0912 - lůžkové oddělení 16B + 16D"/>
    <s v="50113006     léky - enterální výživa (LEK)"/>
    <x v="4"/>
    <x v="1"/>
    <n v="1.9333299999999998"/>
    <n v="19.330976026167001"/>
  </r>
  <r>
    <s v="09"/>
    <s v="09"/>
    <s v="Novorozenecké oddělení"/>
    <x v="8"/>
    <s v="0912"/>
    <s v="lůžkové oddělení 16B + 16D"/>
    <s v="0912 - lůžkové oddělení 16B + 16D"/>
    <s v="50113006     léky - enterální výživa (LEK)"/>
    <x v="4"/>
    <x v="2"/>
    <n v="0.59521000000000002"/>
    <n v="2.6927407045059999"/>
  </r>
  <r>
    <s v="09"/>
    <s v="09"/>
    <s v="Novorozenecké oddělení"/>
    <x v="8"/>
    <s v="0912"/>
    <s v="lůžkové oddělení 16B + 16D"/>
    <s v="0912 - lůžkové oddělení 16B + 16D"/>
    <s v="50113013     léky (paušál) - antibiotika (LEK)"/>
    <x v="7"/>
    <x v="0"/>
    <n v="13.911679999999002"/>
    <n v="30.031587436881001"/>
  </r>
  <r>
    <s v="09"/>
    <s v="09"/>
    <s v="Novorozenecké oddělení"/>
    <x v="8"/>
    <s v="0912"/>
    <s v="lůžkové oddělení 16B + 16D"/>
    <s v="0912 - lůžkové oddělení 16B + 16D"/>
    <s v="50113013     léky (paušál) - antibiotika (LEK)"/>
    <x v="7"/>
    <x v="1"/>
    <n v="8.3713499999999996"/>
    <n v="18.998846452738"/>
  </r>
  <r>
    <s v="09"/>
    <s v="09"/>
    <s v="Novorozenecké oddělení"/>
    <x v="8"/>
    <s v="0912"/>
    <s v="lůžkové oddělení 16B + 16D"/>
    <s v="0912 - lůžkové oddělení 16B + 16D"/>
    <s v="50113013     léky (paušál) - antibiotika (LEK)"/>
    <x v="7"/>
    <x v="2"/>
    <n v="15.226469999999999"/>
    <n v="10.240661473635001"/>
  </r>
  <r>
    <s v="09"/>
    <s v="09"/>
    <s v="Novorozenecké oddělení"/>
    <x v="8"/>
    <s v="0912"/>
    <s v="lůžkové oddělení 16B + 16D"/>
    <s v="0912 - lůžkové oddělení 16B + 16D"/>
    <s v="50113014     léky (paušál) - antimykotika (LEK)"/>
    <x v="8"/>
    <x v="0"/>
    <n v="1.1560399999989999"/>
    <n v="1.2699800513370001"/>
  </r>
  <r>
    <s v="09"/>
    <s v="09"/>
    <s v="Novorozenecké oddělení"/>
    <x v="8"/>
    <s v="0912"/>
    <s v="lůžkové oddělení 16B + 16D"/>
    <s v="0912 - lůžkové oddělení 16B + 16D"/>
    <s v="50113014     léky (paušál) - antimykotika (LEK)"/>
    <x v="8"/>
    <x v="1"/>
    <n v="1.1036899999999998"/>
    <n v="1.1380529644399999"/>
  </r>
  <r>
    <s v="09"/>
    <s v="09"/>
    <s v="Novorozenecké oddělení"/>
    <x v="8"/>
    <s v="0912"/>
    <s v="lůžkové oddělení 16B + 16D"/>
    <s v="0912 - lůžkové oddělení 16B + 16D"/>
    <s v="50113014     léky (paušál) - antimykotika (LEK)"/>
    <x v="8"/>
    <x v="2"/>
    <n v="1.1978800000000001"/>
    <n v="1.0506503196329999"/>
  </r>
  <r>
    <s v="09"/>
    <s v="09"/>
    <s v="Novorozenecké oddělení"/>
    <x v="8"/>
    <s v="0912"/>
    <s v="lůžkové oddělení 16B + 16D"/>
    <s v="0912 - lůžkové oddělení 16B + 16D"/>
    <s v="50115     Zdravotnické prostředky"/>
    <x v="0"/>
    <x v="0"/>
    <n v="382.07874999999893"/>
    <n v="406.04290231787797"/>
  </r>
  <r>
    <s v="09"/>
    <s v="09"/>
    <s v="Novorozenecké oddělení"/>
    <x v="8"/>
    <s v="0912"/>
    <s v="lůžkové oddělení 16B + 16D"/>
    <s v="0912 - lůžkové oddělení 16B + 16D"/>
    <s v="50115     Zdravotnické prostředky"/>
    <x v="0"/>
    <x v="1"/>
    <n v="969.79989999999998"/>
    <n v="1121.96996165788"/>
  </r>
  <r>
    <s v="09"/>
    <s v="09"/>
    <s v="Novorozenecké oddělení"/>
    <x v="8"/>
    <s v="0912"/>
    <s v="lůžkové oddělení 16B + 16D"/>
    <s v="0912 - lůžkové oddělení 16B + 16D"/>
    <s v="50115     Zdravotnické prostředky"/>
    <x v="0"/>
    <x v="2"/>
    <n v="971.33198000000016"/>
    <n v="1086.6587181503101"/>
  </r>
  <r>
    <s v="09"/>
    <s v="09"/>
    <s v="Novorozenecké oddělení"/>
    <x v="8"/>
    <s v="0912"/>
    <s v="lůžkové oddělení 16B + 16D"/>
    <s v="0912 - lůžkové oddělení 16B + 16D"/>
    <s v="50115020     diagnostika laboratorní-LEK (sk.Z_501)"/>
    <x v="10"/>
    <x v="0"/>
    <n v="1.6504399999999999"/>
    <n v="0"/>
  </r>
  <r>
    <s v="09"/>
    <s v="09"/>
    <s v="Novorozenecké oddělení"/>
    <x v="8"/>
    <s v="0912"/>
    <s v="lůžkové oddělení 16B + 16D"/>
    <s v="0912 - lůžkové oddělení 16B + 16D"/>
    <s v="50115020     diagnostika laboratorní-LEK (sk.Z_501)"/>
    <x v="10"/>
    <x v="1"/>
    <n v="0.15246000000000001"/>
    <n v="1.6504382519330001"/>
  </r>
  <r>
    <s v="09"/>
    <s v="09"/>
    <s v="Novorozenecké oddělení"/>
    <x v="8"/>
    <s v="0912"/>
    <s v="lůžkové oddělení 16B + 16D"/>
    <s v="0912 - lůžkové oddělení 16B + 16D"/>
    <s v="50115020     diagnostika laboratorní-LEK (sk.Z_501)"/>
    <x v="10"/>
    <x v="2"/>
    <n v="58.76558"/>
    <n v="100.160141099947"/>
  </r>
  <r>
    <s v="09"/>
    <s v="09"/>
    <s v="Novorozenecké oddělení"/>
    <x v="8"/>
    <s v="0912"/>
    <s v="lůžkové oddělení 16B + 16D"/>
    <s v="0912 - lůžkové oddělení 16B + 16D"/>
    <s v="50115040     laboratorní materiál (sk.Z_505)"/>
    <x v="11"/>
    <x v="0"/>
    <n v="0.10174"/>
    <n v="0.94990943338099998"/>
  </r>
  <r>
    <s v="09"/>
    <s v="09"/>
    <s v="Novorozenecké oddělení"/>
    <x v="8"/>
    <s v="0912"/>
    <s v="lůžkové oddělení 16B + 16D"/>
    <s v="0912 - lůžkové oddělení 16B + 16D"/>
    <s v="50115040     laboratorní materiál (sk.Z_505)"/>
    <x v="11"/>
    <x v="1"/>
    <n v="0.42791000000000001"/>
    <n v="0.101746431821"/>
  </r>
  <r>
    <s v="09"/>
    <s v="09"/>
    <s v="Novorozenecké oddělení"/>
    <x v="8"/>
    <s v="0912"/>
    <s v="lůžkové oddělení 16B + 16D"/>
    <s v="0912 - lůžkové oddělení 16B + 16D"/>
    <s v="50115050     obvazový materiál (sk.Z_502)"/>
    <x v="12"/>
    <x v="0"/>
    <n v="18.485959999999999"/>
    <n v="24.137828347132"/>
  </r>
  <r>
    <s v="09"/>
    <s v="09"/>
    <s v="Novorozenecké oddělení"/>
    <x v="8"/>
    <s v="0912"/>
    <s v="lůžkové oddělení 16B + 16D"/>
    <s v="0912 - lůžkové oddělení 16B + 16D"/>
    <s v="50115050     obvazový materiál (sk.Z_502)"/>
    <x v="12"/>
    <x v="1"/>
    <n v="24.17286"/>
    <n v="18.527998024388999"/>
  </r>
  <r>
    <s v="09"/>
    <s v="09"/>
    <s v="Novorozenecké oddělení"/>
    <x v="8"/>
    <s v="0912"/>
    <s v="lůžkové oddělení 16B + 16D"/>
    <s v="0912 - lůžkové oddělení 16B + 16D"/>
    <s v="50115050     obvazový materiál (sk.Z_502)"/>
    <x v="12"/>
    <x v="2"/>
    <n v="20.868729999999999"/>
    <n v="21.782476533511002"/>
  </r>
  <r>
    <s v="09"/>
    <s v="09"/>
    <s v="Novorozenecké oddělení"/>
    <x v="8"/>
    <s v="0912"/>
    <s v="lůžkové oddělení 16B + 16D"/>
    <s v="0912 - lůžkové oddělení 16B + 16D"/>
    <s v="50115060     ostatní ZPr - mimo níže uvedené (sk.Z_503)"/>
    <x v="1"/>
    <x v="0"/>
    <n v="325.64750000000004"/>
    <n v="340.09968217167"/>
  </r>
  <r>
    <s v="09"/>
    <s v="09"/>
    <s v="Novorozenecké oddělení"/>
    <x v="8"/>
    <s v="0912"/>
    <s v="lůžkové oddělení 16B + 16D"/>
    <s v="0912 - lůžkové oddělení 16B + 16D"/>
    <s v="50115060     ostatní ZPr - mimo níže uvedené (sk.Z_503)"/>
    <x v="1"/>
    <x v="1"/>
    <n v="906.76062999999999"/>
    <n v="1064.9992607731299"/>
  </r>
  <r>
    <s v="09"/>
    <s v="09"/>
    <s v="Novorozenecké oddělení"/>
    <x v="8"/>
    <s v="0912"/>
    <s v="lůžkové oddělení 16B + 16D"/>
    <s v="0912 - lůžkové oddělení 16B + 16D"/>
    <s v="50115060     ostatní ZPr - mimo níže uvedené (sk.Z_503)"/>
    <x v="1"/>
    <x v="2"/>
    <n v="859.64158999999995"/>
    <n v="924.91190873984897"/>
  </r>
  <r>
    <s v="09"/>
    <s v="09"/>
    <s v="Novorozenecké oddělení"/>
    <x v="8"/>
    <s v="0912"/>
    <s v="lůžkové oddělení 16B + 16D"/>
    <s v="0912 - lůžkové oddělení 16B + 16D"/>
    <s v="50115063     ostatní ZPr - vaky, sety (sk.Z_528)"/>
    <x v="13"/>
    <x v="1"/>
    <n v="2.1755"/>
    <n v="0"/>
  </r>
  <r>
    <s v="09"/>
    <s v="09"/>
    <s v="Novorozenecké oddělení"/>
    <x v="8"/>
    <s v="0912"/>
    <s v="lůžkové oddělení 16B + 16D"/>
    <s v="0912 - lůžkové oddělení 16B + 16D"/>
    <s v="50115063     ostatní ZPr - vaky, sety (sk.Z_528)"/>
    <x v="13"/>
    <x v="2"/>
    <n v="0.14000000000000001"/>
    <n v="2.5159045068679999"/>
  </r>
  <r>
    <s v="09"/>
    <s v="09"/>
    <s v="Novorozenecké oddělení"/>
    <x v="8"/>
    <s v="0912"/>
    <s v="lůžkové oddělení 16B + 16D"/>
    <s v="0912 - lůžkové oddělení 16B + 16D"/>
    <s v="50115064     ostatní ZPr - šicí materiál (sk.Z_529)"/>
    <x v="21"/>
    <x v="0"/>
    <n v="0.66683999999900001"/>
    <n v="0"/>
  </r>
  <r>
    <s v="09"/>
    <s v="09"/>
    <s v="Novorozenecké oddělení"/>
    <x v="8"/>
    <s v="0912"/>
    <s v="lůžkové oddělení 16B + 16D"/>
    <s v="0912 - lůžkové oddělení 16B + 16D"/>
    <s v="50115064     ostatní ZPr - šicí materiál (sk.Z_529)"/>
    <x v="21"/>
    <x v="1"/>
    <n v="0"/>
    <n v="0.653783122843"/>
  </r>
  <r>
    <s v="09"/>
    <s v="09"/>
    <s v="Novorozenecké oddělení"/>
    <x v="8"/>
    <s v="0912"/>
    <s v="lůžkové oddělení 16B + 16D"/>
    <s v="0912 - lůžkové oddělení 16B + 16D"/>
    <s v="50115065     ostatní ZPr - vpichovací materiál (sk.Z_530)"/>
    <x v="14"/>
    <x v="0"/>
    <n v="0.66446999999900003"/>
    <n v="0.95009885242400005"/>
  </r>
  <r>
    <s v="09"/>
    <s v="09"/>
    <s v="Novorozenecké oddělení"/>
    <x v="8"/>
    <s v="0912"/>
    <s v="lůžkové oddělení 16B + 16D"/>
    <s v="0912 - lůžkové oddělení 16B + 16D"/>
    <s v="50115065     ostatní ZPr - vpichovací materiál (sk.Z_530)"/>
    <x v="14"/>
    <x v="1"/>
    <n v="2.6887400000000001"/>
    <n v="0.681623801631"/>
  </r>
  <r>
    <s v="09"/>
    <s v="09"/>
    <s v="Novorozenecké oddělení"/>
    <x v="8"/>
    <s v="0912"/>
    <s v="lůžkové oddělení 16B + 16D"/>
    <s v="0912 - lůžkové oddělení 16B + 16D"/>
    <s v="50115065     ostatní ZPr - vpichovací materiál (sk.Z_530)"/>
    <x v="14"/>
    <x v="2"/>
    <n v="0.54688000000000003"/>
    <n v="2.0944565405270001"/>
  </r>
  <r>
    <s v="09"/>
    <s v="09"/>
    <s v="Novorozenecké oddělení"/>
    <x v="8"/>
    <s v="0912"/>
    <s v="lůžkové oddělení 16B + 16D"/>
    <s v="0912 - lůžkové oddělení 16B + 16D"/>
    <s v="50115067     ostatní ZPr - rukavice (sk.Z_532)"/>
    <x v="15"/>
    <x v="0"/>
    <n v="34.861799999999008"/>
    <n v="39.905383513267999"/>
  </r>
  <r>
    <s v="09"/>
    <s v="09"/>
    <s v="Novorozenecké oddělení"/>
    <x v="8"/>
    <s v="0912"/>
    <s v="lůžkové oddělení 16B + 16D"/>
    <s v="0912 - lůžkové oddělení 16B + 16D"/>
    <s v="50115067     ostatní ZPr - rukavice (sk.Z_532)"/>
    <x v="15"/>
    <x v="1"/>
    <n v="33.421800000000005"/>
    <n v="35.355111252124999"/>
  </r>
  <r>
    <s v="09"/>
    <s v="09"/>
    <s v="Novorozenecké oddělení"/>
    <x v="8"/>
    <s v="0912"/>
    <s v="lůžkové oddělení 16B + 16D"/>
    <s v="0912 - lůžkové oddělení 16B + 16D"/>
    <s v="50115067     ostatní ZPr - rukavice (sk.Z_532)"/>
    <x v="15"/>
    <x v="2"/>
    <n v="18.001599999999996"/>
    <n v="35.193830729611001"/>
  </r>
  <r>
    <s v="09"/>
    <s v="09"/>
    <s v="Novorozenecké oddělení"/>
    <x v="8"/>
    <s v="0912"/>
    <s v="lůžkové oddělení 16B + 16D"/>
    <s v="0912 - lůžkové oddělení 16B + 16D"/>
    <s v="50115079     ostatní ZPr - intenzivní péče (sk.Z_542)"/>
    <x v="18"/>
    <x v="2"/>
    <n v="13.367599999999999"/>
    <n v="0"/>
  </r>
  <r>
    <s v="09"/>
    <s v="09"/>
    <s v="Novorozenecké oddělení"/>
    <x v="8"/>
    <s v="0921"/>
    <s v="ambulance"/>
    <s v="0921 - ambulance"/>
    <s v="50115     Zdravotnické prostředky"/>
    <x v="0"/>
    <x v="2"/>
    <n v="0"/>
    <n v="6"/>
  </r>
  <r>
    <s v="09"/>
    <s v="09"/>
    <s v="Novorozenecké oddělení"/>
    <x v="8"/>
    <s v="0921"/>
    <s v="ambulance"/>
    <s v="0921 - ambulance"/>
    <s v="50115060     ostatní ZPr - mimo níže uvedené (sk.Z_503)"/>
    <x v="1"/>
    <x v="2"/>
    <n v="0"/>
    <n v="6"/>
  </r>
  <r>
    <s v="09"/>
    <s v="09"/>
    <s v="Novorozenecké oddělení"/>
    <x v="8"/>
    <s v="0931"/>
    <s v="JIP 16A"/>
    <s v="0931 - JIP 16A"/>
    <s v="50113     Léky a léčiva"/>
    <x v="2"/>
    <x v="0"/>
    <n v="1960.3440300000009"/>
    <n v="2744.9411094370898"/>
  </r>
  <r>
    <s v="09"/>
    <s v="09"/>
    <s v="Novorozenecké oddělení"/>
    <x v="8"/>
    <s v="0931"/>
    <s v="JIP 16A"/>
    <s v="0931 - JIP 16A"/>
    <s v="50113     Léky a léčiva"/>
    <x v="2"/>
    <x v="1"/>
    <n v="1792.8359799999998"/>
    <n v="1937.9299537367799"/>
  </r>
  <r>
    <s v="09"/>
    <s v="09"/>
    <s v="Novorozenecké oddělení"/>
    <x v="8"/>
    <s v="0931"/>
    <s v="JIP 16A"/>
    <s v="0931 - JIP 16A"/>
    <s v="50113     Léky a léčiva"/>
    <x v="2"/>
    <x v="2"/>
    <n v="1472.6348599999999"/>
    <n v="2067.8896039544702"/>
  </r>
  <r>
    <s v="09"/>
    <s v="09"/>
    <s v="Novorozenecké oddělení"/>
    <x v="8"/>
    <s v="0931"/>
    <s v="JIP 16A"/>
    <s v="0931 - JIP 16A"/>
    <s v="50113001     léky - paušál+TISS (LEK)"/>
    <x v="3"/>
    <x v="0"/>
    <n v="1467.5538600000011"/>
    <n v="1725.2654637385599"/>
  </r>
  <r>
    <s v="09"/>
    <s v="09"/>
    <s v="Novorozenecké oddělení"/>
    <x v="8"/>
    <s v="0931"/>
    <s v="JIP 16A"/>
    <s v="0931 - JIP 16A"/>
    <s v="50113001     léky - paušál+TISS (LEK)"/>
    <x v="3"/>
    <x v="1"/>
    <n v="1240.5350599999999"/>
    <n v="1435.5968813715599"/>
  </r>
  <r>
    <s v="09"/>
    <s v="09"/>
    <s v="Novorozenecké oddělení"/>
    <x v="8"/>
    <s v="0931"/>
    <s v="JIP 16A"/>
    <s v="0931 - JIP 16A"/>
    <s v="50113001     léky - paušál+TISS (LEK)"/>
    <x v="3"/>
    <x v="2"/>
    <n v="1138.05466"/>
    <n v="1431.8298412731399"/>
  </r>
  <r>
    <s v="09"/>
    <s v="09"/>
    <s v="Novorozenecké oddělení"/>
    <x v="8"/>
    <s v="0931"/>
    <s v="JIP 16A"/>
    <s v="0931 - JIP 16A"/>
    <s v="50113002     léky - parenterální výživa (LEK)"/>
    <x v="17"/>
    <x v="2"/>
    <n v="93.934790000000007"/>
    <n v="125"/>
  </r>
  <r>
    <s v="09"/>
    <s v="09"/>
    <s v="Novorozenecké oddělení"/>
    <x v="8"/>
    <s v="0931"/>
    <s v="JIP 16A"/>
    <s v="0931 - JIP 16A"/>
    <s v="50113004     léky - enter. a parenter. výživa  - výroba (LEK-OPSL)"/>
    <x v="50"/>
    <x v="2"/>
    <n v="12.408810000000001"/>
    <n v="0"/>
  </r>
  <r>
    <s v="09"/>
    <s v="09"/>
    <s v="Novorozenecké oddělení"/>
    <x v="8"/>
    <s v="0931"/>
    <s v="JIP 16A"/>
    <s v="0931 - JIP 16A"/>
    <s v="50113006     léky - enterální výživa (LEK)"/>
    <x v="4"/>
    <x v="0"/>
    <n v="168.768709999999"/>
    <n v="302.963239995197"/>
  </r>
  <r>
    <s v="09"/>
    <s v="09"/>
    <s v="Novorozenecké oddělení"/>
    <x v="8"/>
    <s v="0931"/>
    <s v="JIP 16A"/>
    <s v="0931 - JIP 16A"/>
    <s v="50113006     léky - enterální výživa (LEK)"/>
    <x v="4"/>
    <x v="1"/>
    <n v="116.48188999999901"/>
    <n v="185.51656703833501"/>
  </r>
  <r>
    <s v="09"/>
    <s v="09"/>
    <s v="Novorozenecké oddělení"/>
    <x v="8"/>
    <s v="0931"/>
    <s v="JIP 16A"/>
    <s v="0931 - JIP 16A"/>
    <s v="50113006     léky - enterální výživa (LEK)"/>
    <x v="4"/>
    <x v="2"/>
    <n v="11.606659999999991"/>
    <n v="55"/>
  </r>
  <r>
    <s v="09"/>
    <s v="09"/>
    <s v="Novorozenecké oddělení"/>
    <x v="8"/>
    <s v="0931"/>
    <s v="JIP 16A"/>
    <s v="0931 - JIP 16A"/>
    <s v="50113008     léky - krev.deriváty ZUL (TO)"/>
    <x v="5"/>
    <x v="0"/>
    <n v="28.543990000000001"/>
    <n v="50.998433645429003"/>
  </r>
  <r>
    <s v="09"/>
    <s v="09"/>
    <s v="Novorozenecké oddělení"/>
    <x v="8"/>
    <s v="0931"/>
    <s v="JIP 16A"/>
    <s v="0931 - JIP 16A"/>
    <s v="50113008     léky - krev.deriváty ZUL (TO)"/>
    <x v="5"/>
    <x v="1"/>
    <n v="20.892779999999998"/>
    <n v="29.000254639383002"/>
  </r>
  <r>
    <s v="09"/>
    <s v="09"/>
    <s v="Novorozenecké oddělení"/>
    <x v="8"/>
    <s v="0931"/>
    <s v="JIP 16A"/>
    <s v="0931 - JIP 16A"/>
    <s v="50113008     léky - krev.deriváty ZUL (TO)"/>
    <x v="5"/>
    <x v="2"/>
    <n v="13.44444"/>
    <n v="25.825966599986"/>
  </r>
  <r>
    <s v="09"/>
    <s v="09"/>
    <s v="Novorozenecké oddělení"/>
    <x v="8"/>
    <s v="0931"/>
    <s v="JIP 16A"/>
    <s v="0931 - JIP 16A"/>
    <s v="50113013     léky (paušál) - antibiotika (LEK)"/>
    <x v="7"/>
    <x v="0"/>
    <n v="131.70735999999999"/>
    <n v="213.03827117698199"/>
  </r>
  <r>
    <s v="09"/>
    <s v="09"/>
    <s v="Novorozenecké oddělení"/>
    <x v="8"/>
    <s v="0931"/>
    <s v="JIP 16A"/>
    <s v="0931 - JIP 16A"/>
    <s v="50113013     léky (paušál) - antibiotika (LEK)"/>
    <x v="7"/>
    <x v="1"/>
    <n v="113.93892"/>
    <n v="138.98904130101101"/>
  </r>
  <r>
    <s v="09"/>
    <s v="09"/>
    <s v="Novorozenecké oddělení"/>
    <x v="8"/>
    <s v="0931"/>
    <s v="JIP 16A"/>
    <s v="0931 - JIP 16A"/>
    <s v="50113013     léky (paušál) - antibiotika (LEK)"/>
    <x v="7"/>
    <x v="2"/>
    <n v="78.267790000000005"/>
    <n v="121.29611060250799"/>
  </r>
  <r>
    <s v="09"/>
    <s v="09"/>
    <s v="Novorozenecké oddělení"/>
    <x v="8"/>
    <s v="0931"/>
    <s v="JIP 16A"/>
    <s v="0931 - JIP 16A"/>
    <s v="50113014     léky (paušál) - antimykotika (LEK)"/>
    <x v="8"/>
    <x v="0"/>
    <n v="14.374939999999997"/>
    <n v="23.951109649671"/>
  </r>
  <r>
    <s v="09"/>
    <s v="09"/>
    <s v="Novorozenecké oddělení"/>
    <x v="8"/>
    <s v="0931"/>
    <s v="JIP 16A"/>
    <s v="0931 - JIP 16A"/>
    <s v="50113014     léky (paušál) - antimykotika (LEK)"/>
    <x v="8"/>
    <x v="1"/>
    <n v="4.8909900000000004"/>
    <n v="5.8976852674150004"/>
  </r>
  <r>
    <s v="09"/>
    <s v="09"/>
    <s v="Novorozenecké oddělení"/>
    <x v="8"/>
    <s v="0931"/>
    <s v="JIP 16A"/>
    <s v="0931 - JIP 16A"/>
    <s v="50113014     léky (paušál) - antimykotika (LEK)"/>
    <x v="8"/>
    <x v="2"/>
    <n v="3.5787299999999993"/>
    <n v="3.9420344341160001"/>
  </r>
  <r>
    <s v="09"/>
    <s v="09"/>
    <s v="Novorozenecké oddělení"/>
    <x v="8"/>
    <s v="0931"/>
    <s v="JIP 16A"/>
    <s v="0931 - JIP 16A"/>
    <s v="50113190     medicinální plyny"/>
    <x v="9"/>
    <x v="0"/>
    <n v="149.39517000000001"/>
    <n v="428.72459123124099"/>
  </r>
  <r>
    <s v="09"/>
    <s v="09"/>
    <s v="Novorozenecké oddělení"/>
    <x v="8"/>
    <s v="0931"/>
    <s v="JIP 16A"/>
    <s v="0931 - JIP 16A"/>
    <s v="50113190     medicinální plyny"/>
    <x v="9"/>
    <x v="1"/>
    <n v="296.09633999999994"/>
    <n v="142.929524119078"/>
  </r>
  <r>
    <s v="09"/>
    <s v="09"/>
    <s v="Novorozenecké oddělení"/>
    <x v="8"/>
    <s v="0931"/>
    <s v="JIP 16A"/>
    <s v="0931 - JIP 16A"/>
    <s v="50113190     medicinální plyny"/>
    <x v="9"/>
    <x v="2"/>
    <n v="121.33898000000002"/>
    <n v="304.995651044716"/>
  </r>
  <r>
    <s v="09"/>
    <s v="09"/>
    <s v="Novorozenecké oddělení"/>
    <x v="8"/>
    <s v="0931"/>
    <s v="JIP 16A"/>
    <s v="0931 - JIP 16A"/>
    <s v="50115     Zdravotnické prostředky"/>
    <x v="0"/>
    <x v="0"/>
    <n v="2652.0906000000009"/>
    <n v="2946.7433247925101"/>
  </r>
  <r>
    <s v="09"/>
    <s v="09"/>
    <s v="Novorozenecké oddělení"/>
    <x v="8"/>
    <s v="0931"/>
    <s v="JIP 16A"/>
    <s v="0931 - JIP 16A"/>
    <s v="50115     Zdravotnické prostředky"/>
    <x v="0"/>
    <x v="1"/>
    <n v="2585.1593700000008"/>
    <n v="2859.1735440069401"/>
  </r>
  <r>
    <s v="09"/>
    <s v="09"/>
    <s v="Novorozenecké oddělení"/>
    <x v="8"/>
    <s v="0931"/>
    <s v="JIP 16A"/>
    <s v="0931 - JIP 16A"/>
    <s v="50115     Zdravotnické prostředky"/>
    <x v="0"/>
    <x v="2"/>
    <n v="2351.4536700000012"/>
    <n v="2939.66868876628"/>
  </r>
  <r>
    <s v="09"/>
    <s v="09"/>
    <s v="Novorozenecké oddělení"/>
    <x v="8"/>
    <s v="0931"/>
    <s v="JIP 16A"/>
    <s v="0931 - JIP 16A"/>
    <s v="50115004     implant.umělé těl.náhr.-kovové (s.Z_506)"/>
    <x v="25"/>
    <x v="1"/>
    <n v="0.495"/>
    <n v="0"/>
  </r>
  <r>
    <s v="09"/>
    <s v="09"/>
    <s v="Novorozenecké oddělení"/>
    <x v="8"/>
    <s v="0931"/>
    <s v="JIP 16A"/>
    <s v="0931 - JIP 16A"/>
    <s v="50115004     implant.umělé těl.náhr.-kovové (s.Z_506)"/>
    <x v="25"/>
    <x v="2"/>
    <n v="0"/>
    <n v="0.49499998440800003"/>
  </r>
  <r>
    <s v="09"/>
    <s v="09"/>
    <s v="Novorozenecké oddělení"/>
    <x v="8"/>
    <s v="0931"/>
    <s v="JIP 16A"/>
    <s v="0931 - JIP 16A"/>
    <s v="50115020     diagnostika laboratorní-LEK (sk.Z_501)"/>
    <x v="10"/>
    <x v="0"/>
    <n v="255.37528999999998"/>
    <n v="291.63065242969401"/>
  </r>
  <r>
    <s v="09"/>
    <s v="09"/>
    <s v="Novorozenecké oddělení"/>
    <x v="8"/>
    <s v="0931"/>
    <s v="JIP 16A"/>
    <s v="0931 - JIP 16A"/>
    <s v="50115020     diagnostika laboratorní-LEK (sk.Z_501)"/>
    <x v="10"/>
    <x v="1"/>
    <n v="430.24493000000001"/>
    <n v="462.375019518795"/>
  </r>
  <r>
    <s v="09"/>
    <s v="09"/>
    <s v="Novorozenecké oddělení"/>
    <x v="8"/>
    <s v="0931"/>
    <s v="JIP 16A"/>
    <s v="0931 - JIP 16A"/>
    <s v="50115020     diagnostika laboratorní-LEK (sk.Z_501)"/>
    <x v="10"/>
    <x v="2"/>
    <n v="259.06581999999997"/>
    <n v="377.88920548766998"/>
  </r>
  <r>
    <s v="09"/>
    <s v="09"/>
    <s v="Novorozenecké oddělení"/>
    <x v="8"/>
    <s v="0931"/>
    <s v="JIP 16A"/>
    <s v="0931 - JIP 16A"/>
    <s v="50115040     laboratorní materiál (sk.Z_505)"/>
    <x v="11"/>
    <x v="0"/>
    <n v="3.9203999999999999"/>
    <n v="12.349278608726999"/>
  </r>
  <r>
    <s v="09"/>
    <s v="09"/>
    <s v="Novorozenecké oddělení"/>
    <x v="8"/>
    <s v="0931"/>
    <s v="JIP 16A"/>
    <s v="0931 - JIP 16A"/>
    <s v="50115040     laboratorní materiál (sk.Z_505)"/>
    <x v="11"/>
    <x v="1"/>
    <n v="3.4139699999999999"/>
    <n v="3.9206478407179999"/>
  </r>
  <r>
    <s v="09"/>
    <s v="09"/>
    <s v="Novorozenecké oddělení"/>
    <x v="8"/>
    <s v="0931"/>
    <s v="JIP 16A"/>
    <s v="0931 - JIP 16A"/>
    <s v="50115040     laboratorní materiál (sk.Z_505)"/>
    <x v="11"/>
    <x v="2"/>
    <n v="0.8236"/>
    <n v="4.9999998425119996"/>
  </r>
  <r>
    <s v="09"/>
    <s v="09"/>
    <s v="Novorozenecké oddělení"/>
    <x v="8"/>
    <s v="0931"/>
    <s v="JIP 16A"/>
    <s v="0931 - JIP 16A"/>
    <s v="50115050     obvazový materiál (sk.Z_502)"/>
    <x v="12"/>
    <x v="0"/>
    <n v="100.47767999999901"/>
    <n v="150.960142982787"/>
  </r>
  <r>
    <s v="09"/>
    <s v="09"/>
    <s v="Novorozenecké oddělení"/>
    <x v="8"/>
    <s v="0931"/>
    <s v="JIP 16A"/>
    <s v="0931 - JIP 16A"/>
    <s v="50115050     obvazový materiál (sk.Z_502)"/>
    <x v="12"/>
    <x v="1"/>
    <n v="123.59002000000001"/>
    <n v="109.70618110715399"/>
  </r>
  <r>
    <s v="09"/>
    <s v="09"/>
    <s v="Novorozenecké oddělení"/>
    <x v="8"/>
    <s v="0931"/>
    <s v="JIP 16A"/>
    <s v="0931 - JIP 16A"/>
    <s v="50115050     obvazový materiál (sk.Z_502)"/>
    <x v="12"/>
    <x v="2"/>
    <n v="83.509799999999984"/>
    <n v="117.469362190852"/>
  </r>
  <r>
    <s v="09"/>
    <s v="09"/>
    <s v="Novorozenecké oddělení"/>
    <x v="8"/>
    <s v="0931"/>
    <s v="JIP 16A"/>
    <s v="0931 - JIP 16A"/>
    <s v="50115060     ostatní ZPr - mimo níže uvedené (sk.Z_503)"/>
    <x v="1"/>
    <x v="0"/>
    <n v="2017.8962300000007"/>
    <n v="2100.8314686845401"/>
  </r>
  <r>
    <s v="09"/>
    <s v="09"/>
    <s v="Novorozenecké oddělení"/>
    <x v="8"/>
    <s v="0931"/>
    <s v="JIP 16A"/>
    <s v="0931 - JIP 16A"/>
    <s v="50115060     ostatní ZPr - mimo níže uvedené (sk.Z_503)"/>
    <x v="1"/>
    <x v="1"/>
    <n v="1832.310040000001"/>
    <n v="2004.8833608894399"/>
  </r>
  <r>
    <s v="09"/>
    <s v="09"/>
    <s v="Novorozenecké oddělení"/>
    <x v="8"/>
    <s v="0931"/>
    <s v="JIP 16A"/>
    <s v="0931 - JIP 16A"/>
    <s v="50115060     ostatní ZPr - mimo níže uvedené (sk.Z_503)"/>
    <x v="1"/>
    <x v="2"/>
    <n v="1608.2739900000001"/>
    <n v="2247.72351314147"/>
  </r>
  <r>
    <s v="09"/>
    <s v="09"/>
    <s v="Novorozenecké oddělení"/>
    <x v="8"/>
    <s v="0931"/>
    <s v="JIP 16A"/>
    <s v="0931 - JIP 16A"/>
    <s v="50115063     ostatní ZPr - vaky, sety (sk.Z_528)"/>
    <x v="13"/>
    <x v="0"/>
    <n v="68.594169999998996"/>
    <n v="83.859171225549005"/>
  </r>
  <r>
    <s v="09"/>
    <s v="09"/>
    <s v="Novorozenecké oddělení"/>
    <x v="8"/>
    <s v="0931"/>
    <s v="JIP 16A"/>
    <s v="0931 - JIP 16A"/>
    <s v="50115063     ostatní ZPr - vaky, sety (sk.Z_528)"/>
    <x v="13"/>
    <x v="1"/>
    <n v="34.334069999999997"/>
    <n v="67.196520832226994"/>
  </r>
  <r>
    <s v="09"/>
    <s v="09"/>
    <s v="Novorozenecké oddělení"/>
    <x v="8"/>
    <s v="0931"/>
    <s v="JIP 16A"/>
    <s v="0931 - JIP 16A"/>
    <s v="50115063     ostatní ZPr - vaky, sety (sk.Z_528)"/>
    <x v="13"/>
    <x v="2"/>
    <n v="27.258380000000002"/>
    <n v="25.484094611199001"/>
  </r>
  <r>
    <s v="09"/>
    <s v="09"/>
    <s v="Novorozenecké oddělení"/>
    <x v="8"/>
    <s v="0931"/>
    <s v="JIP 16A"/>
    <s v="0931 - JIP 16A"/>
    <s v="50115064     ostatní ZPr - šicí materiál (sk.Z_529)"/>
    <x v="21"/>
    <x v="0"/>
    <n v="7.3358299999990013"/>
    <n v="9.5001873979690004"/>
  </r>
  <r>
    <s v="09"/>
    <s v="09"/>
    <s v="Novorozenecké oddělení"/>
    <x v="8"/>
    <s v="0931"/>
    <s v="JIP 16A"/>
    <s v="0931 - JIP 16A"/>
    <s v="50115064     ostatní ZPr - šicí materiál (sk.Z_529)"/>
    <x v="21"/>
    <x v="1"/>
    <n v="4.6682199999999998"/>
    <n v="7.192192798942"/>
  </r>
  <r>
    <s v="09"/>
    <s v="09"/>
    <s v="Novorozenecké oddělení"/>
    <x v="8"/>
    <s v="0931"/>
    <s v="JIP 16A"/>
    <s v="0931 - JIP 16A"/>
    <s v="50115064     ostatní ZPr - šicí materiál (sk.Z_529)"/>
    <x v="21"/>
    <x v="2"/>
    <n v="4.7000100000000007"/>
    <n v="7.9999997480190004"/>
  </r>
  <r>
    <s v="09"/>
    <s v="09"/>
    <s v="Novorozenecké oddělení"/>
    <x v="8"/>
    <s v="0931"/>
    <s v="JIP 16A"/>
    <s v="0931 - JIP 16A"/>
    <s v="50115065     ostatní ZPr - vpichovací materiál (sk.Z_530)"/>
    <x v="14"/>
    <x v="0"/>
    <n v="5.5437899999989995"/>
    <n v="6.6509199998190001"/>
  </r>
  <r>
    <s v="09"/>
    <s v="09"/>
    <s v="Novorozenecké oddělení"/>
    <x v="8"/>
    <s v="0931"/>
    <s v="JIP 16A"/>
    <s v="0931 - JIP 16A"/>
    <s v="50115065     ostatní ZPr - vpichovací materiál (sk.Z_530)"/>
    <x v="14"/>
    <x v="1"/>
    <n v="5.1344100000000008"/>
    <n v="5.6869071820350001"/>
  </r>
  <r>
    <s v="09"/>
    <s v="09"/>
    <s v="Novorozenecké oddělení"/>
    <x v="8"/>
    <s v="0931"/>
    <s v="JIP 16A"/>
    <s v="0931 - JIP 16A"/>
    <s v="50115065     ostatní ZPr - vpichovací materiál (sk.Z_530)"/>
    <x v="14"/>
    <x v="2"/>
    <n v="6.4965900000000012"/>
    <n v="4.2181786396999996"/>
  </r>
  <r>
    <s v="09"/>
    <s v="09"/>
    <s v="Novorozenecké oddělení"/>
    <x v="8"/>
    <s v="0931"/>
    <s v="JIP 16A"/>
    <s v="0931 - JIP 16A"/>
    <s v="50115067     ostatní ZPr - rukavice (sk.Z_532)"/>
    <x v="15"/>
    <x v="0"/>
    <n v="89.142999999998992"/>
    <n v="81.418756937558996"/>
  </r>
  <r>
    <s v="09"/>
    <s v="09"/>
    <s v="Novorozenecké oddělení"/>
    <x v="8"/>
    <s v="0931"/>
    <s v="JIP 16A"/>
    <s v="0931 - JIP 16A"/>
    <s v="50115067     ostatní ZPr - rukavice (sk.Z_532)"/>
    <x v="15"/>
    <x v="1"/>
    <n v="67.462000000000003"/>
    <n v="90.404416362556006"/>
  </r>
  <r>
    <s v="09"/>
    <s v="09"/>
    <s v="Novorozenecké oddělení"/>
    <x v="8"/>
    <s v="0931"/>
    <s v="JIP 16A"/>
    <s v="0931 - JIP 16A"/>
    <s v="50115067     ostatní ZPr - rukavice (sk.Z_532)"/>
    <x v="15"/>
    <x v="2"/>
    <n v="79.633640000000014"/>
    <n v="74.389337608755"/>
  </r>
  <r>
    <s v="09"/>
    <s v="09"/>
    <s v="Novorozenecké oddělení"/>
    <x v="8"/>
    <s v="0931"/>
    <s v="JIP 16A"/>
    <s v="0931 - JIP 16A"/>
    <s v="50115070     ostatní ZPr - katetry (sk.Z_513)"/>
    <x v="16"/>
    <x v="0"/>
    <n v="103.58810000000001"/>
    <n v="209.542746525865"/>
  </r>
  <r>
    <s v="09"/>
    <s v="09"/>
    <s v="Novorozenecké oddělení"/>
    <x v="8"/>
    <s v="0931"/>
    <s v="JIP 16A"/>
    <s v="0931 - JIP 16A"/>
    <s v="50115070     ostatní ZPr - katetry (sk.Z_513)"/>
    <x v="16"/>
    <x v="1"/>
    <n v="83.506709999999998"/>
    <n v="107.587622938149"/>
  </r>
  <r>
    <s v="09"/>
    <s v="09"/>
    <s v="Novorozenecké oddělení"/>
    <x v="8"/>
    <s v="0931"/>
    <s v="JIP 16A"/>
    <s v="0931 - JIP 16A"/>
    <s v="50115070     ostatní ZPr - katetry (sk.Z_513)"/>
    <x v="16"/>
    <x v="2"/>
    <n v="57.418520000000001"/>
    <n v="78.999997511691006"/>
  </r>
  <r>
    <s v="09"/>
    <s v="09"/>
    <s v="Novorozenecké oddělení"/>
    <x v="8"/>
    <s v="0931"/>
    <s v="JIP 16A"/>
    <s v="0931 - JIP 16A"/>
    <s v="50115079     ostatní ZPr - intenzivní péče (sk.Z_542)"/>
    <x v="18"/>
    <x v="2"/>
    <n v="224.27332000000001"/>
    <n v="0"/>
  </r>
  <r>
    <s v="09"/>
    <s v="09"/>
    <s v="Novorozenecké oddělení"/>
    <x v="8"/>
    <s v="0931"/>
    <s v="JIP 16A"/>
    <s v="0931 - JIP 16A"/>
    <s v="50115090     ostatní ZPr - zubolékařský materiál (sk.Z_509)"/>
    <x v="51"/>
    <x v="0"/>
    <n v="0.21611"/>
    <n v="0"/>
  </r>
  <r>
    <s v="09"/>
    <s v="09"/>
    <s v="Novorozenecké oddělení"/>
    <x v="8"/>
    <s v="0931"/>
    <s v="JIP 16A"/>
    <s v="0931 - JIP 16A"/>
    <s v="50115090     ostatní ZPr - zubolékařský materiál (sk.Z_509)"/>
    <x v="51"/>
    <x v="1"/>
    <n v="0"/>
    <n v="0.22067453692399999"/>
  </r>
  <r>
    <s v="09"/>
    <s v="09"/>
    <s v="Novorozenecké oddělení"/>
    <x v="8"/>
    <s v="0994"/>
    <s v="centrum - novorozenecké"/>
    <s v="0994 - centrum - novorozenecké"/>
    <s v="50113     Léky a léčiva"/>
    <x v="2"/>
    <x v="0"/>
    <n v="101.73084"/>
    <n v="47.999999999997002"/>
  </r>
  <r>
    <s v="09"/>
    <s v="09"/>
    <s v="Novorozenecké oddělení"/>
    <x v="8"/>
    <s v="0994"/>
    <s v="centrum - novorozenecké"/>
    <s v="0994 - centrum - novorozenecké"/>
    <s v="50113016     léky - spotřeba v centrech (LEK)"/>
    <x v="39"/>
    <x v="0"/>
    <n v="101.73084"/>
    <n v="47.999999999997002"/>
  </r>
  <r>
    <s v="10"/>
    <s v="10"/>
    <s v="Dětská klinika"/>
    <x v="9"/>
    <s v="1011"/>
    <s v="lůžkové oddělení 28B"/>
    <s v="1011 - lůžkové oddělení 28B"/>
    <s v="50113     Léky a léčiva"/>
    <x v="2"/>
    <x v="0"/>
    <n v="689.52440999999908"/>
    <n v="785.86117926427903"/>
  </r>
  <r>
    <s v="10"/>
    <s v="10"/>
    <s v="Dětská klinika"/>
    <x v="9"/>
    <s v="1011"/>
    <s v="lůžkové oddělení 28B"/>
    <s v="1011 - lůžkové oddělení 28B"/>
    <s v="50113     Léky a léčiva"/>
    <x v="2"/>
    <x v="1"/>
    <n v="769.30610999999999"/>
    <n v="670.68354989823797"/>
  </r>
  <r>
    <s v="10"/>
    <s v="10"/>
    <s v="Dětská klinika"/>
    <x v="9"/>
    <s v="1011"/>
    <s v="lůžkové oddělení 28B"/>
    <s v="1011 - lůžkové oddělení 28B"/>
    <s v="50113     Léky a léčiva"/>
    <x v="2"/>
    <x v="2"/>
    <n v="471.11372999999998"/>
    <n v="761.01524610055696"/>
  </r>
  <r>
    <s v="10"/>
    <s v="10"/>
    <s v="Dětská klinika"/>
    <x v="9"/>
    <s v="1011"/>
    <s v="lůžkové oddělení 28B"/>
    <s v="1011 - lůžkové oddělení 28B"/>
    <s v="50113001     léky - paušál+TISS (LEK)"/>
    <x v="3"/>
    <x v="0"/>
    <n v="350.43708999999996"/>
    <n v="338"/>
  </r>
  <r>
    <s v="10"/>
    <s v="10"/>
    <s v="Dětská klinika"/>
    <x v="9"/>
    <s v="1011"/>
    <s v="lůžkové oddělení 28B"/>
    <s v="1011 - lůžkové oddělení 28B"/>
    <s v="50113001     léky - paušál+TISS (LEK)"/>
    <x v="3"/>
    <x v="1"/>
    <n v="384.70233999999994"/>
    <n v="344.71534534104001"/>
  </r>
  <r>
    <s v="10"/>
    <s v="10"/>
    <s v="Dětská klinika"/>
    <x v="9"/>
    <s v="1011"/>
    <s v="lůžkové oddělení 28B"/>
    <s v="1011 - lůžkové oddělení 28B"/>
    <s v="50113001     léky - paušál+TISS (LEK)"/>
    <x v="3"/>
    <x v="2"/>
    <n v="173.15685999999999"/>
    <n v="349.86729276503002"/>
  </r>
  <r>
    <s v="10"/>
    <s v="10"/>
    <s v="Dětská klinika"/>
    <x v="9"/>
    <s v="1011"/>
    <s v="lůžkové oddělení 28B"/>
    <s v="1011 - lůžkové oddělení 28B"/>
    <s v="50113002     léky - parenterální výživa (LEK)"/>
    <x v="17"/>
    <x v="2"/>
    <n v="0.92967"/>
    <n v="1"/>
  </r>
  <r>
    <s v="10"/>
    <s v="10"/>
    <s v="Dětská klinika"/>
    <x v="9"/>
    <s v="1011"/>
    <s v="lůžkové oddělení 28B"/>
    <s v="1011 - lůžkové oddělení 28B"/>
    <s v="50113006     léky - enterální výživa (LEK)"/>
    <x v="4"/>
    <x v="0"/>
    <n v="104.560659999999"/>
    <n v="184.168752114363"/>
  </r>
  <r>
    <s v="10"/>
    <s v="10"/>
    <s v="Dětská klinika"/>
    <x v="9"/>
    <s v="1011"/>
    <s v="lůžkové oddělení 28B"/>
    <s v="1011 - lůžkové oddělení 28B"/>
    <s v="50113006     léky - enterální výživa (LEK)"/>
    <x v="4"/>
    <x v="1"/>
    <n v="90.359349999999992"/>
    <n v="125.404444819555"/>
  </r>
  <r>
    <s v="10"/>
    <s v="10"/>
    <s v="Dětská klinika"/>
    <x v="9"/>
    <s v="1011"/>
    <s v="lůžkové oddělení 28B"/>
    <s v="1011 - lůžkové oddělení 28B"/>
    <s v="50113006     léky - enterální výživa (LEK)"/>
    <x v="4"/>
    <x v="2"/>
    <n v="52.877599999999994"/>
    <n v="101"/>
  </r>
  <r>
    <s v="10"/>
    <s v="10"/>
    <s v="Dětská klinika"/>
    <x v="9"/>
    <s v="1011"/>
    <s v="lůžkové oddělení 28B"/>
    <s v="1011 - lůžkové oddělení 28B"/>
    <s v="50113008     léky - krev.deriváty ZUL (TO)"/>
    <x v="5"/>
    <x v="0"/>
    <n v="4.1830800000000004"/>
    <n v="15.2763910005"/>
  </r>
  <r>
    <s v="10"/>
    <s v="10"/>
    <s v="Dětská klinika"/>
    <x v="9"/>
    <s v="1011"/>
    <s v="lůžkové oddělení 28B"/>
    <s v="1011 - lůžkové oddělení 28B"/>
    <s v="50113008     léky - krev.deriváty ZUL (TO)"/>
    <x v="5"/>
    <x v="1"/>
    <n v="88.182000000000002"/>
    <n v="4.0000351226730002"/>
  </r>
  <r>
    <s v="10"/>
    <s v="10"/>
    <s v="Dětská klinika"/>
    <x v="9"/>
    <s v="1011"/>
    <s v="lůžkové oddělení 28B"/>
    <s v="1011 - lůžkové oddělení 28B"/>
    <s v="50113008     léky - krev.deriváty ZUL (TO)"/>
    <x v="5"/>
    <x v="2"/>
    <n v="92.232599999999991"/>
    <n v="81.293505035826996"/>
  </r>
  <r>
    <s v="10"/>
    <s v="10"/>
    <s v="Dětská klinika"/>
    <x v="9"/>
    <s v="1011"/>
    <s v="lůžkové oddělení 28B"/>
    <s v="1011 - lůžkové oddělení 28B"/>
    <s v="50113013     léky (paušál) - antibiotika (LEK)"/>
    <x v="7"/>
    <x v="0"/>
    <n v="107.49409999999901"/>
    <n v="120"/>
  </r>
  <r>
    <s v="10"/>
    <s v="10"/>
    <s v="Dětská klinika"/>
    <x v="9"/>
    <s v="1011"/>
    <s v="lůžkové oddělení 28B"/>
    <s v="1011 - lůžkové oddělení 28B"/>
    <s v="50113013     léky (paušál) - antibiotika (LEK)"/>
    <x v="7"/>
    <x v="1"/>
    <n v="78.067850000000007"/>
    <n v="76.992213555980996"/>
  </r>
  <r>
    <s v="10"/>
    <s v="10"/>
    <s v="Dětská klinika"/>
    <x v="9"/>
    <s v="1011"/>
    <s v="lůžkové oddělení 28B"/>
    <s v="1011 - lůžkové oddělení 28B"/>
    <s v="50113013     léky (paušál) - antibiotika (LEK)"/>
    <x v="7"/>
    <x v="2"/>
    <n v="61.940930000000002"/>
    <n v="92.193585013196994"/>
  </r>
  <r>
    <s v="10"/>
    <s v="10"/>
    <s v="Dětská klinika"/>
    <x v="9"/>
    <s v="1011"/>
    <s v="lůžkové oddělení 28B"/>
    <s v="1011 - lůžkové oddělení 28B"/>
    <s v="50113014     léky (paušál) - antimykotika (LEK)"/>
    <x v="8"/>
    <x v="0"/>
    <n v="0.88180999999899989"/>
    <n v="4"/>
  </r>
  <r>
    <s v="10"/>
    <s v="10"/>
    <s v="Dětská klinika"/>
    <x v="9"/>
    <s v="1011"/>
    <s v="lůžkové oddělení 28B"/>
    <s v="1011 - lůžkové oddělení 28B"/>
    <s v="50113014     léky (paušál) - antimykotika (LEK)"/>
    <x v="8"/>
    <x v="1"/>
    <n v="4.97438"/>
    <n v="2.8824572494649998"/>
  </r>
  <r>
    <s v="10"/>
    <s v="10"/>
    <s v="Dětská klinika"/>
    <x v="9"/>
    <s v="1011"/>
    <s v="lůžkové oddělení 28B"/>
    <s v="1011 - lůžkové oddělení 28B"/>
    <s v="50113014     léky (paušál) - antimykotika (LEK)"/>
    <x v="8"/>
    <x v="2"/>
    <n v="1.3890899999999999"/>
    <n v="7.1606663734450002"/>
  </r>
  <r>
    <s v="10"/>
    <s v="10"/>
    <s v="Dětská klinika"/>
    <x v="9"/>
    <s v="1011"/>
    <s v="lůžkové oddělení 28B"/>
    <s v="1011 - lůžkové oddělení 28B"/>
    <s v="50113190     medicinální plyny"/>
    <x v="9"/>
    <x v="0"/>
    <n v="121.967669999999"/>
    <n v="124.41603614941501"/>
  </r>
  <r>
    <s v="10"/>
    <s v="10"/>
    <s v="Dětská klinika"/>
    <x v="9"/>
    <s v="1011"/>
    <s v="lůžkové oddělení 28B"/>
    <s v="1011 - lůžkové oddělení 28B"/>
    <s v="50113190     medicinální plyny"/>
    <x v="9"/>
    <x v="1"/>
    <n v="123.02019"/>
    <n v="116.68905380952199"/>
  </r>
  <r>
    <s v="10"/>
    <s v="10"/>
    <s v="Dětská klinika"/>
    <x v="9"/>
    <s v="1011"/>
    <s v="lůžkové oddělení 28B"/>
    <s v="1011 - lůžkové oddělení 28B"/>
    <s v="50113190     medicinální plyny"/>
    <x v="9"/>
    <x v="2"/>
    <n v="88.586979999999997"/>
    <n v="128.50019691305701"/>
  </r>
  <r>
    <s v="10"/>
    <s v="10"/>
    <s v="Dětská klinika"/>
    <x v="9"/>
    <s v="1011"/>
    <s v="lůžkové oddělení 28B"/>
    <s v="1011 - lůžkové oddělení 28B"/>
    <s v="50115     Zdravotnické prostředky"/>
    <x v="0"/>
    <x v="0"/>
    <n v="364.13540999999998"/>
    <n v="392.57934194219098"/>
  </r>
  <r>
    <s v="10"/>
    <s v="10"/>
    <s v="Dětská klinika"/>
    <x v="9"/>
    <s v="1011"/>
    <s v="lůžkové oddělení 28B"/>
    <s v="1011 - lůžkové oddělení 28B"/>
    <s v="50115     Zdravotnické prostředky"/>
    <x v="0"/>
    <x v="1"/>
    <n v="721.90978000000007"/>
    <n v="870.34175376895701"/>
  </r>
  <r>
    <s v="10"/>
    <s v="10"/>
    <s v="Dětská klinika"/>
    <x v="9"/>
    <s v="1011"/>
    <s v="lůžkové oddělení 28B"/>
    <s v="1011 - lůžkové oddělení 28B"/>
    <s v="50115     Zdravotnické prostředky"/>
    <x v="0"/>
    <x v="2"/>
    <n v="607.83820999999989"/>
    <n v="993.76429129703195"/>
  </r>
  <r>
    <s v="10"/>
    <s v="10"/>
    <s v="Dětská klinika"/>
    <x v="9"/>
    <s v="1011"/>
    <s v="lůžkové oddělení 28B"/>
    <s v="1011 - lůžkové oddělení 28B"/>
    <s v="50115020     diagnostika laboratorní-LEK (sk.Z_501)"/>
    <x v="10"/>
    <x v="0"/>
    <n v="0.18876000000000001"/>
    <n v="0"/>
  </r>
  <r>
    <s v="10"/>
    <s v="10"/>
    <s v="Dětská klinika"/>
    <x v="9"/>
    <s v="1011"/>
    <s v="lůžkové oddělení 28B"/>
    <s v="1011 - lůžkové oddělení 28B"/>
    <s v="50115020     diagnostika laboratorní-LEK (sk.Z_501)"/>
    <x v="10"/>
    <x v="1"/>
    <n v="4.3355199999999998"/>
    <n v="3.1887598000740001"/>
  </r>
  <r>
    <s v="10"/>
    <s v="10"/>
    <s v="Dětská klinika"/>
    <x v="9"/>
    <s v="1011"/>
    <s v="lůžkové oddělení 28B"/>
    <s v="1011 - lůžkové oddělení 28B"/>
    <s v="50115020     diagnostika laboratorní-LEK (sk.Z_501)"/>
    <x v="10"/>
    <x v="2"/>
    <n v="3.9040699999999999"/>
    <n v="3.2341831180509999"/>
  </r>
  <r>
    <s v="10"/>
    <s v="10"/>
    <s v="Dětská klinika"/>
    <x v="9"/>
    <s v="1011"/>
    <s v="lůžkové oddělení 28B"/>
    <s v="1011 - lůžkové oddělení 28B"/>
    <s v="50115040     laboratorní materiál (sk.Z_505)"/>
    <x v="11"/>
    <x v="0"/>
    <n v="23.384"/>
    <n v="13.000344994260001"/>
  </r>
  <r>
    <s v="10"/>
    <s v="10"/>
    <s v="Dětská klinika"/>
    <x v="9"/>
    <s v="1011"/>
    <s v="lůžkové oddělení 28B"/>
    <s v="1011 - lůžkové oddělení 28B"/>
    <s v="50115040     laboratorní materiál (sk.Z_505)"/>
    <x v="11"/>
    <x v="1"/>
    <n v="0.23974000000000001"/>
    <n v="23.504437887961"/>
  </r>
  <r>
    <s v="10"/>
    <s v="10"/>
    <s v="Dětská klinika"/>
    <x v="9"/>
    <s v="1011"/>
    <s v="lůžkové oddělení 28B"/>
    <s v="1011 - lůžkové oddělení 28B"/>
    <s v="50115040     laboratorní materiál (sk.Z_505)"/>
    <x v="11"/>
    <x v="2"/>
    <n v="0.10043000000000001"/>
    <n v="0.53391666339499999"/>
  </r>
  <r>
    <s v="10"/>
    <s v="10"/>
    <s v="Dětská klinika"/>
    <x v="9"/>
    <s v="1011"/>
    <s v="lůžkové oddělení 28B"/>
    <s v="1011 - lůžkové oddělení 28B"/>
    <s v="50115050     obvazový materiál (sk.Z_502)"/>
    <x v="12"/>
    <x v="0"/>
    <n v="16.355689999999001"/>
    <n v="16.983539346909001"/>
  </r>
  <r>
    <s v="10"/>
    <s v="10"/>
    <s v="Dětská klinika"/>
    <x v="9"/>
    <s v="1011"/>
    <s v="lůžkové oddělení 28B"/>
    <s v="1011 - lůžkové oddělení 28B"/>
    <s v="50115050     obvazový materiál (sk.Z_502)"/>
    <x v="12"/>
    <x v="1"/>
    <n v="14.82765"/>
    <n v="13.392885296097999"/>
  </r>
  <r>
    <s v="10"/>
    <s v="10"/>
    <s v="Dětská klinika"/>
    <x v="9"/>
    <s v="1011"/>
    <s v="lůžkové oddělení 28B"/>
    <s v="1011 - lůžkové oddělení 28B"/>
    <s v="50115050     obvazový materiál (sk.Z_502)"/>
    <x v="12"/>
    <x v="2"/>
    <n v="14.41258"/>
    <n v="15.429893357788"/>
  </r>
  <r>
    <s v="10"/>
    <s v="10"/>
    <s v="Dětská klinika"/>
    <x v="9"/>
    <s v="1011"/>
    <s v="lůžkové oddělení 28B"/>
    <s v="1011 - lůžkové oddělení 28B"/>
    <s v="50115060     ostatní ZPr - mimo níže uvedené (sk.Z_503)"/>
    <x v="1"/>
    <x v="0"/>
    <n v="284.15765999999996"/>
    <n v="315.52463845793898"/>
  </r>
  <r>
    <s v="10"/>
    <s v="10"/>
    <s v="Dětská klinika"/>
    <x v="9"/>
    <s v="1011"/>
    <s v="lůžkové oddělení 28B"/>
    <s v="1011 - lůžkové oddělení 28B"/>
    <s v="50115060     ostatní ZPr - mimo níže uvedené (sk.Z_503)"/>
    <x v="1"/>
    <x v="1"/>
    <n v="657.80000999999993"/>
    <n v="792.99950293365703"/>
  </r>
  <r>
    <s v="10"/>
    <s v="10"/>
    <s v="Dětská klinika"/>
    <x v="9"/>
    <s v="1011"/>
    <s v="lůžkové oddělení 28B"/>
    <s v="1011 - lůžkové oddělení 28B"/>
    <s v="50115060     ostatní ZPr - mimo níže uvedené (sk.Z_503)"/>
    <x v="1"/>
    <x v="2"/>
    <n v="553.4405999999999"/>
    <n v="927.99997077024898"/>
  </r>
  <r>
    <s v="10"/>
    <s v="10"/>
    <s v="Dětská klinika"/>
    <x v="9"/>
    <s v="1011"/>
    <s v="lůžkové oddělení 28B"/>
    <s v="1011 - lůžkové oddělení 28B"/>
    <s v="50115063     ostatní ZPr - vaky, sety (sk.Z_528)"/>
    <x v="13"/>
    <x v="0"/>
    <n v="11.980800000000002"/>
    <n v="16.545974901676001"/>
  </r>
  <r>
    <s v="10"/>
    <s v="10"/>
    <s v="Dětská klinika"/>
    <x v="9"/>
    <s v="1011"/>
    <s v="lůžkové oddělení 28B"/>
    <s v="1011 - lůžkové oddělení 28B"/>
    <s v="50115063     ostatní ZPr - vaky, sety (sk.Z_528)"/>
    <x v="13"/>
    <x v="1"/>
    <n v="10.92365"/>
    <n v="10.736684236001"/>
  </r>
  <r>
    <s v="10"/>
    <s v="10"/>
    <s v="Dětská klinika"/>
    <x v="9"/>
    <s v="1011"/>
    <s v="lůžkové oddělení 28B"/>
    <s v="1011 - lůžkové oddělení 28B"/>
    <s v="50115063     ostatní ZPr - vaky, sety (sk.Z_528)"/>
    <x v="13"/>
    <x v="2"/>
    <n v="8.7419000000000011"/>
    <n v="12.248337485475"/>
  </r>
  <r>
    <s v="10"/>
    <s v="10"/>
    <s v="Dětská klinika"/>
    <x v="9"/>
    <s v="1011"/>
    <s v="lůžkové oddělení 28B"/>
    <s v="1011 - lůžkové oddělení 28B"/>
    <s v="50115065     ostatní ZPr - vpichovací materiál (sk.Z_530)"/>
    <x v="14"/>
    <x v="0"/>
    <n v="4.611999999999"/>
    <n v="7.4669427251859997"/>
  </r>
  <r>
    <s v="10"/>
    <s v="10"/>
    <s v="Dětská klinika"/>
    <x v="9"/>
    <s v="1011"/>
    <s v="lůžkové oddělení 28B"/>
    <s v="1011 - lůžkové oddělení 28B"/>
    <s v="50115065     ostatní ZPr - vpichovací materiál (sk.Z_530)"/>
    <x v="14"/>
    <x v="1"/>
    <n v="3.3"/>
    <n v="2.731062848438"/>
  </r>
  <r>
    <s v="10"/>
    <s v="10"/>
    <s v="Dětská klinika"/>
    <x v="9"/>
    <s v="1011"/>
    <s v="lůžkové oddělení 28B"/>
    <s v="1011 - lůžkové oddělení 28B"/>
    <s v="50115065     ostatní ZPr - vpichovací materiál (sk.Z_530)"/>
    <x v="14"/>
    <x v="2"/>
    <n v="3.1819999999999999"/>
    <n v="3.9666257540399998"/>
  </r>
  <r>
    <s v="10"/>
    <s v="10"/>
    <s v="Dětská klinika"/>
    <x v="9"/>
    <s v="1011"/>
    <s v="lůžkové oddělení 28B"/>
    <s v="1011 - lůžkové oddělení 28B"/>
    <s v="50115067     ostatní ZPr - rukavice (sk.Z_532)"/>
    <x v="15"/>
    <x v="0"/>
    <n v="23.456499999999998"/>
    <n v="22.884127020409998"/>
  </r>
  <r>
    <s v="10"/>
    <s v="10"/>
    <s v="Dětská klinika"/>
    <x v="9"/>
    <s v="1011"/>
    <s v="lůžkové oddělení 28B"/>
    <s v="1011 - lůžkové oddělení 28B"/>
    <s v="50115067     ostatní ZPr - rukavice (sk.Z_532)"/>
    <x v="15"/>
    <x v="1"/>
    <n v="30.48321"/>
    <n v="23.788420766725999"/>
  </r>
  <r>
    <s v="10"/>
    <s v="10"/>
    <s v="Dětská klinika"/>
    <x v="9"/>
    <s v="1011"/>
    <s v="lůžkové oddělení 28B"/>
    <s v="1011 - lůžkové oddělení 28B"/>
    <s v="50115067     ostatní ZPr - rukavice (sk.Z_532)"/>
    <x v="15"/>
    <x v="2"/>
    <n v="20.442499999999999"/>
    <n v="30.351364148030999"/>
  </r>
  <r>
    <s v="10"/>
    <s v="10"/>
    <s v="Dětská klinika"/>
    <x v="9"/>
    <s v="1011"/>
    <s v="lůžkové oddělení 28B"/>
    <s v="1011 - lůžkové oddělení 28B"/>
    <s v="50115070     ostatní ZPr - katetry (sk.Z_513)"/>
    <x v="16"/>
    <x v="0"/>
    <n v="0"/>
    <n v="0.17377449580900001"/>
  </r>
  <r>
    <s v="10"/>
    <s v="10"/>
    <s v="Dětská klinika"/>
    <x v="9"/>
    <s v="1011"/>
    <s v="lůžkové oddělení 28B"/>
    <s v="1011 - lůžkové oddělení 28B"/>
    <s v="50115079     ostatní ZPr - intenzivní péče (sk.Z_542)"/>
    <x v="18"/>
    <x v="2"/>
    <n v="3.6141300000000003"/>
    <n v="0"/>
  </r>
  <r>
    <s v="10"/>
    <s v="10"/>
    <s v="Dětská klinika"/>
    <x v="9"/>
    <s v="1012"/>
    <s v="lůžkové oddělení 28C vč.dospávací haly + odd. 28D"/>
    <s v="1012 - lůžkové oddělení 28C vč.dospávací haly + odd. 28D"/>
    <s v="50113     Léky a léčiva"/>
    <x v="2"/>
    <x v="0"/>
    <n v="332.80989"/>
    <n v="367.01688750816101"/>
  </r>
  <r>
    <s v="10"/>
    <s v="10"/>
    <s v="Dětská klinika"/>
    <x v="9"/>
    <s v="1012"/>
    <s v="lůžkové oddělení 28C vč.dospávací haly + odd. 28D"/>
    <s v="1012 - lůžkové oddělení 28C vč.dospávací haly + odd. 28D"/>
    <s v="50113     Léky a léčiva"/>
    <x v="2"/>
    <x v="1"/>
    <n v="503.78847000000007"/>
    <n v="359.80080548267301"/>
  </r>
  <r>
    <s v="10"/>
    <s v="10"/>
    <s v="Dětská klinika"/>
    <x v="9"/>
    <s v="1012"/>
    <s v="lůžkové oddělení 28C vč.dospávací haly + odd. 28D"/>
    <s v="1012 - lůžkové oddělení 28C vč.dospávací haly + odd. 28D"/>
    <s v="50113     Léky a léčiva"/>
    <x v="2"/>
    <x v="2"/>
    <n v="351.94870000000003"/>
    <n v="532.61824774676199"/>
  </r>
  <r>
    <s v="10"/>
    <s v="10"/>
    <s v="Dětská klinika"/>
    <x v="9"/>
    <s v="1012"/>
    <s v="lůžkové oddělení 28C vč.dospávací haly + odd. 28D"/>
    <s v="1012 - lůžkové oddělení 28C vč.dospávací haly + odd. 28D"/>
    <s v="50113001     léky - paušál+TISS (LEK)"/>
    <x v="3"/>
    <x v="0"/>
    <n v="256.84711000000004"/>
    <n v="242"/>
  </r>
  <r>
    <s v="10"/>
    <s v="10"/>
    <s v="Dětská klinika"/>
    <x v="9"/>
    <s v="1012"/>
    <s v="lůžkové oddělení 28C vč.dospávací haly + odd. 28D"/>
    <s v="1012 - lůžkové oddělení 28C vč.dospávací haly + odd. 28D"/>
    <s v="50113001     léky - paušál+TISS (LEK)"/>
    <x v="3"/>
    <x v="1"/>
    <n v="319.37200999999999"/>
    <n v="282.79586170801099"/>
  </r>
  <r>
    <s v="10"/>
    <s v="10"/>
    <s v="Dětská klinika"/>
    <x v="9"/>
    <s v="1012"/>
    <s v="lůžkové oddělení 28C vč.dospávací haly + odd. 28D"/>
    <s v="1012 - lůžkové oddělení 28C vč.dospávací haly + odd. 28D"/>
    <s v="50113001     léky - paušál+TISS (LEK)"/>
    <x v="3"/>
    <x v="2"/>
    <n v="236.35235999999998"/>
    <n v="321.79069360043201"/>
  </r>
  <r>
    <s v="10"/>
    <s v="10"/>
    <s v="Dětská klinika"/>
    <x v="9"/>
    <s v="1012"/>
    <s v="lůžkové oddělení 28C vč.dospávací haly + odd. 28D"/>
    <s v="1012 - lůžkové oddělení 28C vč.dospávací haly + odd. 28D"/>
    <s v="50113002     léky - parenterální výživa (LEK)"/>
    <x v="17"/>
    <x v="2"/>
    <n v="2.7191999999999998"/>
    <n v="4"/>
  </r>
  <r>
    <s v="10"/>
    <s v="10"/>
    <s v="Dětská klinika"/>
    <x v="9"/>
    <s v="1012"/>
    <s v="lůžkové oddělení 28C vč.dospávací haly + odd. 28D"/>
    <s v="1012 - lůžkové oddělení 28C vč.dospávací haly + odd. 28D"/>
    <s v="50113006     léky - enterální výživa (LEK)"/>
    <x v="4"/>
    <x v="0"/>
    <n v="7.9416199999990003"/>
    <n v="24.787285942935"/>
  </r>
  <r>
    <s v="10"/>
    <s v="10"/>
    <s v="Dětská klinika"/>
    <x v="9"/>
    <s v="1012"/>
    <s v="lůžkové oddělení 28C vč.dospávací haly + odd. 28D"/>
    <s v="1012 - lůžkové oddělení 28C vč.dospávací haly + odd. 28D"/>
    <s v="50113006     léky - enterální výživa (LEK)"/>
    <x v="4"/>
    <x v="1"/>
    <n v="20.451270000000001"/>
    <n v="16.929755101659001"/>
  </r>
  <r>
    <s v="10"/>
    <s v="10"/>
    <s v="Dětská klinika"/>
    <x v="9"/>
    <s v="1012"/>
    <s v="lůžkové oddělení 28C vč.dospávací haly + odd. 28D"/>
    <s v="1012 - lůžkové oddělení 28C vč.dospávací haly + odd. 28D"/>
    <s v="50113006     léky - enterální výživa (LEK)"/>
    <x v="4"/>
    <x v="2"/>
    <n v="11.710470000000001"/>
    <n v="28"/>
  </r>
  <r>
    <s v="10"/>
    <s v="10"/>
    <s v="Dětská klinika"/>
    <x v="9"/>
    <s v="1012"/>
    <s v="lůžkové oddělení 28C vč.dospávací haly + odd. 28D"/>
    <s v="1012 - lůžkové oddělení 28C vč.dospávací haly + odd. 28D"/>
    <s v="50113007     léky - krev.deriváty ZUL (LEK)"/>
    <x v="45"/>
    <x v="0"/>
    <n v="0"/>
    <n v="6.9711089857959996"/>
  </r>
  <r>
    <s v="10"/>
    <s v="10"/>
    <s v="Dětská klinika"/>
    <x v="9"/>
    <s v="1012"/>
    <s v="lůžkové oddělení 28C vč.dospávací haly + odd. 28D"/>
    <s v="1012 - lůžkové oddělení 28C vč.dospávací haly + odd. 28D"/>
    <s v="50113008     léky - krev.deriváty ZUL (TO)"/>
    <x v="5"/>
    <x v="0"/>
    <n v="0"/>
    <n v="1.444616144092"/>
  </r>
  <r>
    <s v="10"/>
    <s v="10"/>
    <s v="Dětská klinika"/>
    <x v="9"/>
    <s v="1012"/>
    <s v="lůžkové oddělení 28C vč.dospávací haly + odd. 28D"/>
    <s v="1012 - lůžkové oddělení 28C vč.dospávací haly + odd. 28D"/>
    <s v="50113008     léky - krev.deriváty ZUL (TO)"/>
    <x v="5"/>
    <x v="2"/>
    <n v="8.8780999999999999"/>
    <n v="0"/>
  </r>
  <r>
    <s v="10"/>
    <s v="10"/>
    <s v="Dětská klinika"/>
    <x v="9"/>
    <s v="1012"/>
    <s v="lůžkové oddělení 28C vč.dospávací haly + odd. 28D"/>
    <s v="1012 - lůžkové oddělení 28C vč.dospávací haly + odd. 28D"/>
    <s v="50113011     léky - hemofilici ZUL (TO)"/>
    <x v="6"/>
    <x v="1"/>
    <n v="103.70197"/>
    <n v="0"/>
  </r>
  <r>
    <s v="10"/>
    <s v="10"/>
    <s v="Dětská klinika"/>
    <x v="9"/>
    <s v="1012"/>
    <s v="lůžkové oddělení 28C vč.dospávací haly + odd. 28D"/>
    <s v="1012 - lůžkové oddělení 28C vč.dospávací haly + odd. 28D"/>
    <s v="50113011     léky - hemofilici ZUL (TO)"/>
    <x v="6"/>
    <x v="2"/>
    <n v="0"/>
    <n v="115.014440846005"/>
  </r>
  <r>
    <s v="10"/>
    <s v="10"/>
    <s v="Dětská klinika"/>
    <x v="9"/>
    <s v="1012"/>
    <s v="lůžkové oddělení 28C vč.dospávací haly + odd. 28D"/>
    <s v="1012 - lůžkové oddělení 28C vč.dospávací haly + odd. 28D"/>
    <s v="50113013     léky (paušál) - antibiotika (LEK)"/>
    <x v="7"/>
    <x v="0"/>
    <n v="64.943519999998998"/>
    <n v="88.214593722860997"/>
  </r>
  <r>
    <s v="10"/>
    <s v="10"/>
    <s v="Dětská klinika"/>
    <x v="9"/>
    <s v="1012"/>
    <s v="lůžkové oddělení 28C vč.dospávací haly + odd. 28D"/>
    <s v="1012 - lůžkové oddělení 28C vč.dospávací haly + odd. 28D"/>
    <s v="50113013     léky (paušál) - antibiotika (LEK)"/>
    <x v="7"/>
    <x v="1"/>
    <n v="57.749809999999989"/>
    <n v="56.995289682013002"/>
  </r>
  <r>
    <s v="10"/>
    <s v="10"/>
    <s v="Dětská klinika"/>
    <x v="9"/>
    <s v="1012"/>
    <s v="lůžkové oddělení 28C vč.dospávací haly + odd. 28D"/>
    <s v="1012 - lůžkové oddělení 28C vč.dospávací haly + odd. 28D"/>
    <s v="50113013     léky (paušál) - antibiotika (LEK)"/>
    <x v="7"/>
    <x v="2"/>
    <n v="40.858200000000011"/>
    <n v="59.824392717918002"/>
  </r>
  <r>
    <s v="10"/>
    <s v="10"/>
    <s v="Dětská klinika"/>
    <x v="9"/>
    <s v="1012"/>
    <s v="lůžkové oddělení 28C vč.dospávací haly + odd. 28D"/>
    <s v="1012 - lůžkové oddělení 28C vč.dospávací haly + odd. 28D"/>
    <s v="50113014     léky (paušál) - antimykotika (LEK)"/>
    <x v="8"/>
    <x v="0"/>
    <n v="3.0776399999999997"/>
    <n v="3.599282712475"/>
  </r>
  <r>
    <s v="10"/>
    <s v="10"/>
    <s v="Dětská klinika"/>
    <x v="9"/>
    <s v="1012"/>
    <s v="lůžkové oddělení 28C vč.dospávací haly + odd. 28D"/>
    <s v="1012 - lůžkové oddělení 28C vč.dospávací haly + odd. 28D"/>
    <s v="50113014     léky (paušál) - antimykotika (LEK)"/>
    <x v="8"/>
    <x v="1"/>
    <n v="2.0994099999999998"/>
    <n v="3.0798989909890002"/>
  </r>
  <r>
    <s v="10"/>
    <s v="10"/>
    <s v="Dětská klinika"/>
    <x v="9"/>
    <s v="1012"/>
    <s v="lůžkové oddělení 28C vč.dospávací haly + odd. 28D"/>
    <s v="1012 - lůžkové oddělení 28C vč.dospávací haly + odd. 28D"/>
    <s v="50113014     léky (paušál) - antimykotika (LEK)"/>
    <x v="8"/>
    <x v="2"/>
    <n v="51.016369999999995"/>
    <n v="3.9887205824060001"/>
  </r>
  <r>
    <s v="10"/>
    <s v="10"/>
    <s v="Dětská klinika"/>
    <x v="9"/>
    <s v="1012"/>
    <s v="lůžkové oddělení 28C vč.dospávací haly + odd. 28D"/>
    <s v="1012 - lůžkové oddělení 28C vč.dospávací haly + odd. 28D"/>
    <s v="50113190     medicinální plyny"/>
    <x v="9"/>
    <x v="1"/>
    <n v="0.41399999999999998"/>
    <n v="0"/>
  </r>
  <r>
    <s v="10"/>
    <s v="10"/>
    <s v="Dětská klinika"/>
    <x v="9"/>
    <s v="1012"/>
    <s v="lůžkové oddělení 28C vč.dospávací haly + odd. 28D"/>
    <s v="1012 - lůžkové oddělení 28C vč.dospávací haly + odd. 28D"/>
    <s v="50113190     medicinální plyny"/>
    <x v="9"/>
    <x v="2"/>
    <n v="0.41399999999999998"/>
    <n v="0"/>
  </r>
  <r>
    <s v="10"/>
    <s v="10"/>
    <s v="Dětská klinika"/>
    <x v="9"/>
    <s v="1012"/>
    <s v="lůžkové oddělení 28C vč.dospávací haly + odd. 28D"/>
    <s v="1012 - lůžkové oddělení 28C vč.dospávací haly + odd. 28D"/>
    <s v="50115     Zdravotnické prostředky"/>
    <x v="0"/>
    <x v="0"/>
    <n v="258.08149000000003"/>
    <n v="292.49623497139498"/>
  </r>
  <r>
    <s v="10"/>
    <s v="10"/>
    <s v="Dětská klinika"/>
    <x v="9"/>
    <s v="1012"/>
    <s v="lůžkové oddělení 28C vč.dospávací haly + odd. 28D"/>
    <s v="1012 - lůžkové oddělení 28C vč.dospávací haly + odd. 28D"/>
    <s v="50115     Zdravotnické prostředky"/>
    <x v="0"/>
    <x v="1"/>
    <n v="328.30187999999998"/>
    <n v="305.27356022460299"/>
  </r>
  <r>
    <s v="10"/>
    <s v="10"/>
    <s v="Dětská klinika"/>
    <x v="9"/>
    <s v="1012"/>
    <s v="lůžkové oddělení 28C vč.dospávací haly + odd. 28D"/>
    <s v="1012 - lůžkové oddělení 28C vč.dospávací haly + odd. 28D"/>
    <s v="50115     Zdravotnické prostředky"/>
    <x v="0"/>
    <x v="2"/>
    <n v="151.58194"/>
    <n v="349.01745087984301"/>
  </r>
  <r>
    <s v="10"/>
    <s v="10"/>
    <s v="Dětská klinika"/>
    <x v="9"/>
    <s v="1012"/>
    <s v="lůžkové oddělení 28C vč.dospávací haly + odd. 28D"/>
    <s v="1012 - lůžkové oddělení 28C vč.dospávací haly + odd. 28D"/>
    <s v="50115020     diagnostika laboratorní-LEK (sk.Z_501)"/>
    <x v="10"/>
    <x v="0"/>
    <n v="0.17784"/>
    <n v="0"/>
  </r>
  <r>
    <s v="10"/>
    <s v="10"/>
    <s v="Dětská klinika"/>
    <x v="9"/>
    <s v="1012"/>
    <s v="lůžkové oddělení 28C vč.dospávací haly + odd. 28D"/>
    <s v="1012 - lůžkové oddělení 28C vč.dospávací haly + odd. 28D"/>
    <s v="50115020     diagnostika laboratorní-LEK (sk.Z_501)"/>
    <x v="10"/>
    <x v="1"/>
    <n v="0.19239000000000001"/>
    <n v="0.17783981164000001"/>
  </r>
  <r>
    <s v="10"/>
    <s v="10"/>
    <s v="Dětská klinika"/>
    <x v="9"/>
    <s v="1012"/>
    <s v="lůžkové oddělení 28C vč.dospávací haly + odd. 28D"/>
    <s v="1012 - lůžkové oddělení 28C vč.dospávací haly + odd. 28D"/>
    <s v="50115020     diagnostika laboratorní-LEK (sk.Z_501)"/>
    <x v="10"/>
    <x v="2"/>
    <n v="0"/>
    <n v="0.21155175710900001"/>
  </r>
  <r>
    <s v="10"/>
    <s v="10"/>
    <s v="Dětská klinika"/>
    <x v="9"/>
    <s v="1012"/>
    <s v="lůžkové oddělení 28C vč.dospávací haly + odd. 28D"/>
    <s v="1012 - lůžkové oddělení 28C vč.dospávací haly + odd. 28D"/>
    <s v="50115040     laboratorní materiál (sk.Z_505)"/>
    <x v="11"/>
    <x v="0"/>
    <n v="2.5282499999999999"/>
    <n v="0"/>
  </r>
  <r>
    <s v="10"/>
    <s v="10"/>
    <s v="Dětská klinika"/>
    <x v="9"/>
    <s v="1012"/>
    <s v="lůžkové oddělení 28C vč.dospávací haly + odd. 28D"/>
    <s v="1012 - lůžkové oddělení 28C vč.dospávací haly + odd. 28D"/>
    <s v="50115040     laboratorní materiál (sk.Z_505)"/>
    <x v="11"/>
    <x v="1"/>
    <n v="0.24479999999999999"/>
    <n v="2.5412715998220001"/>
  </r>
  <r>
    <s v="10"/>
    <s v="10"/>
    <s v="Dětská klinika"/>
    <x v="9"/>
    <s v="1012"/>
    <s v="lůžkové oddělení 28C vč.dospávací haly + odd. 28D"/>
    <s v="1012 - lůžkové oddělení 28C vč.dospávací haly + odd. 28D"/>
    <s v="50115040     laboratorní materiál (sk.Z_505)"/>
    <x v="11"/>
    <x v="2"/>
    <n v="0"/>
    <n v="9.6428558550999993E-2"/>
  </r>
  <r>
    <s v="10"/>
    <s v="10"/>
    <s v="Dětská klinika"/>
    <x v="9"/>
    <s v="1012"/>
    <s v="lůžkové oddělení 28C vč.dospávací haly + odd. 28D"/>
    <s v="1012 - lůžkové oddělení 28C vč.dospávací haly + odd. 28D"/>
    <s v="50115050     obvazový materiál (sk.Z_502)"/>
    <x v="12"/>
    <x v="0"/>
    <n v="35.283729999998997"/>
    <n v="54.042697908576997"/>
  </r>
  <r>
    <s v="10"/>
    <s v="10"/>
    <s v="Dětská klinika"/>
    <x v="9"/>
    <s v="1012"/>
    <s v="lůžkové oddělení 28C vč.dospávací haly + odd. 28D"/>
    <s v="1012 - lůžkové oddělení 28C vč.dospávací haly + odd. 28D"/>
    <s v="50115050     obvazový materiál (sk.Z_502)"/>
    <x v="12"/>
    <x v="1"/>
    <n v="57.752849999999995"/>
    <n v="44.363968633158002"/>
  </r>
  <r>
    <s v="10"/>
    <s v="10"/>
    <s v="Dětská klinika"/>
    <x v="9"/>
    <s v="1012"/>
    <s v="lůžkové oddělení 28C vč.dospávací haly + odd. 28D"/>
    <s v="1012 - lůžkové oddělení 28C vč.dospávací haly + odd. 28D"/>
    <s v="50115050     obvazový materiál (sk.Z_502)"/>
    <x v="12"/>
    <x v="2"/>
    <n v="32.689610000000002"/>
    <n v="63.875506139408998"/>
  </r>
  <r>
    <s v="10"/>
    <s v="10"/>
    <s v="Dětská klinika"/>
    <x v="9"/>
    <s v="1012"/>
    <s v="lůžkové oddělení 28C vč.dospávací haly + odd. 28D"/>
    <s v="1012 - lůžkové oddělení 28C vč.dospávací haly + odd. 28D"/>
    <s v="50115060     ostatní ZPr - mimo níže uvedené (sk.Z_503)"/>
    <x v="1"/>
    <x v="0"/>
    <n v="184.24329999999998"/>
    <n v="197.59979941819"/>
  </r>
  <r>
    <s v="10"/>
    <s v="10"/>
    <s v="Dětská klinika"/>
    <x v="9"/>
    <s v="1012"/>
    <s v="lůžkové oddělení 28C vč.dospávací haly + odd. 28D"/>
    <s v="1012 - lůžkové oddělení 28C vč.dospávací haly + odd. 28D"/>
    <s v="50115060     ostatní ZPr - mimo níže uvedené (sk.Z_503)"/>
    <x v="1"/>
    <x v="1"/>
    <n v="230.61066"/>
    <n v="210.24211595719501"/>
  </r>
  <r>
    <s v="10"/>
    <s v="10"/>
    <s v="Dětská klinika"/>
    <x v="9"/>
    <s v="1012"/>
    <s v="lůžkové oddělení 28C vč.dospávací haly + odd. 28D"/>
    <s v="1012 - lůžkové oddělení 28C vč.dospávací haly + odd. 28D"/>
    <s v="50115060     ostatní ZPr - mimo níže uvedené (sk.Z_503)"/>
    <x v="1"/>
    <x v="2"/>
    <n v="96.724610000000013"/>
    <n v="234.99999259807001"/>
  </r>
  <r>
    <s v="10"/>
    <s v="10"/>
    <s v="Dětská klinika"/>
    <x v="9"/>
    <s v="1012"/>
    <s v="lůžkové oddělení 28C vč.dospávací haly + odd. 28D"/>
    <s v="1012 - lůžkové oddělení 28C vč.dospávací haly + odd. 28D"/>
    <s v="50115063     ostatní ZPr - vaky, sety (sk.Z_528)"/>
    <x v="13"/>
    <x v="0"/>
    <n v="12.4595"/>
    <n v="14.250151925208"/>
  </r>
  <r>
    <s v="10"/>
    <s v="10"/>
    <s v="Dětská klinika"/>
    <x v="9"/>
    <s v="1012"/>
    <s v="lůžkové oddělení 28C vč.dospávací haly + odd. 28D"/>
    <s v="1012 - lůžkové oddělení 28C vč.dospávací haly + odd. 28D"/>
    <s v="50115063     ostatní ZPr - vaky, sety (sk.Z_528)"/>
    <x v="13"/>
    <x v="1"/>
    <n v="13.068"/>
    <n v="17.205630423736"/>
  </r>
  <r>
    <s v="10"/>
    <s v="10"/>
    <s v="Dětská klinika"/>
    <x v="9"/>
    <s v="1012"/>
    <s v="lůžkové oddělení 28C vč.dospávací haly + odd. 28D"/>
    <s v="1012 - lůžkové oddělení 28C vč.dospávací haly + odd. 28D"/>
    <s v="50115063     ostatní ZPr - vaky, sety (sk.Z_528)"/>
    <x v="13"/>
    <x v="2"/>
    <n v="4.085"/>
    <n v="17.709354125196"/>
  </r>
  <r>
    <s v="10"/>
    <s v="10"/>
    <s v="Dětská klinika"/>
    <x v="9"/>
    <s v="1012"/>
    <s v="lůžkové oddělení 28C vč.dospávací haly + odd. 28D"/>
    <s v="1012 - lůžkové oddělení 28C vč.dospávací haly + odd. 28D"/>
    <s v="50115065     ostatní ZPr - vpichovací materiál (sk.Z_530)"/>
    <x v="14"/>
    <x v="0"/>
    <n v="1.962999999999"/>
    <n v="3.8005094261219998"/>
  </r>
  <r>
    <s v="10"/>
    <s v="10"/>
    <s v="Dětská klinika"/>
    <x v="9"/>
    <s v="1012"/>
    <s v="lůžkové oddělení 28C vč.dospávací haly + odd. 28D"/>
    <s v="1012 - lůžkové oddělení 28C vč.dospávací haly + odd. 28D"/>
    <s v="50115065     ostatní ZPr - vpichovací materiál (sk.Z_530)"/>
    <x v="14"/>
    <x v="1"/>
    <n v="3.0331000000000001"/>
    <n v="4.0136763474689996"/>
  </r>
  <r>
    <s v="10"/>
    <s v="10"/>
    <s v="Dětská klinika"/>
    <x v="9"/>
    <s v="1012"/>
    <s v="lůžkové oddělení 28C vč.dospávací haly + odd. 28D"/>
    <s v="1012 - lůžkové oddělení 28C vč.dospávací haly + odd. 28D"/>
    <s v="50115065     ostatní ZPr - vpichovací materiál (sk.Z_530)"/>
    <x v="14"/>
    <x v="2"/>
    <n v="1.222"/>
    <n v="4.1900107140529999"/>
  </r>
  <r>
    <s v="10"/>
    <s v="10"/>
    <s v="Dětská klinika"/>
    <x v="9"/>
    <s v="1012"/>
    <s v="lůžkové oddělení 28C vč.dospávací haly + odd. 28D"/>
    <s v="1012 - lůžkové oddělení 28C vč.dospávací haly + odd. 28D"/>
    <s v="50115067     ostatní ZPr - rukavice (sk.Z_532)"/>
    <x v="15"/>
    <x v="0"/>
    <n v="21.425869999999001"/>
    <n v="22.803076293296002"/>
  </r>
  <r>
    <s v="10"/>
    <s v="10"/>
    <s v="Dětská klinika"/>
    <x v="9"/>
    <s v="1012"/>
    <s v="lůžkové oddělení 28C vč.dospávací haly + odd. 28D"/>
    <s v="1012 - lůžkové oddělení 28C vč.dospávací haly + odd. 28D"/>
    <s v="50115067     ostatní ZPr - rukavice (sk.Z_532)"/>
    <x v="15"/>
    <x v="1"/>
    <n v="23.400080000000003"/>
    <n v="26.729057451580001"/>
  </r>
  <r>
    <s v="10"/>
    <s v="10"/>
    <s v="Dětská klinika"/>
    <x v="9"/>
    <s v="1012"/>
    <s v="lůžkové oddělení 28C vč.dospávací haly + odd. 28D"/>
    <s v="1012 - lůžkové oddělení 28C vč.dospávací haly + odd. 28D"/>
    <s v="50115067     ostatní ZPr - rukavice (sk.Z_532)"/>
    <x v="15"/>
    <x v="2"/>
    <n v="13.853999999999999"/>
    <n v="27.934606987451001"/>
  </r>
  <r>
    <s v="10"/>
    <s v="10"/>
    <s v="Dětská klinika"/>
    <x v="9"/>
    <s v="1012"/>
    <s v="lůžkové oddělení 28C vč.dospávací haly + odd. 28D"/>
    <s v="1012 - lůžkové oddělení 28C vč.dospávací haly + odd. 28D"/>
    <s v="50115079     ostatní ZPr - intenzivní péče (sk.Z_542)"/>
    <x v="18"/>
    <x v="2"/>
    <n v="3.0067200000000001"/>
    <n v="0"/>
  </r>
  <r>
    <s v="10"/>
    <s v="10"/>
    <s v="Dětská klinika"/>
    <x v="9"/>
    <s v="1013"/>
    <s v="lůžkové oddělení 21A"/>
    <s v="1013 - lůžkové oddělení 21A"/>
    <s v="50113     Léky a léčiva"/>
    <x v="2"/>
    <x v="0"/>
    <n v="1767.9319400000006"/>
    <n v="1676.7808755536901"/>
  </r>
  <r>
    <s v="10"/>
    <s v="10"/>
    <s v="Dětská klinika"/>
    <x v="9"/>
    <s v="1013"/>
    <s v="lůžkové oddělení 21A"/>
    <s v="1013 - lůžkové oddělení 21A"/>
    <s v="50113     Léky a léčiva"/>
    <x v="2"/>
    <x v="1"/>
    <n v="1620.4143000000006"/>
    <n v="1657.16093698998"/>
  </r>
  <r>
    <s v="10"/>
    <s v="10"/>
    <s v="Dětská klinika"/>
    <x v="9"/>
    <s v="1013"/>
    <s v="lůžkové oddělení 21A"/>
    <s v="1013 - lůžkové oddělení 21A"/>
    <s v="50113     Léky a léčiva"/>
    <x v="2"/>
    <x v="2"/>
    <n v="958.82808"/>
    <n v="1640.38292222469"/>
  </r>
  <r>
    <s v="10"/>
    <s v="10"/>
    <s v="Dětská klinika"/>
    <x v="9"/>
    <s v="1013"/>
    <s v="lůžkové oddělení 21A"/>
    <s v="1013 - lůžkové oddělení 21A"/>
    <s v="50113001     léky - paušál+TISS (LEK)"/>
    <x v="3"/>
    <x v="0"/>
    <n v="602.77761000000112"/>
    <n v="613.50673304216298"/>
  </r>
  <r>
    <s v="10"/>
    <s v="10"/>
    <s v="Dětská klinika"/>
    <x v="9"/>
    <s v="1013"/>
    <s v="lůžkové oddělení 21A"/>
    <s v="1013 - lůžkové oddělení 21A"/>
    <s v="50113001     léky - paušál+TISS (LEK)"/>
    <x v="3"/>
    <x v="1"/>
    <n v="475.85906"/>
    <n v="587.77837706768798"/>
  </r>
  <r>
    <s v="10"/>
    <s v="10"/>
    <s v="Dětská klinika"/>
    <x v="9"/>
    <s v="1013"/>
    <s v="lůžkové oddělení 21A"/>
    <s v="1013 - lůžkové oddělení 21A"/>
    <s v="50113001     léky - paušál+TISS (LEK)"/>
    <x v="3"/>
    <x v="2"/>
    <n v="317.60621000000003"/>
    <n v="467.36311379909"/>
  </r>
  <r>
    <s v="10"/>
    <s v="10"/>
    <s v="Dětská klinika"/>
    <x v="9"/>
    <s v="1013"/>
    <s v="lůžkové oddělení 21A"/>
    <s v="1013 - lůžkové oddělení 21A"/>
    <s v="50113002     léky - parenterální výživa (LEK)"/>
    <x v="17"/>
    <x v="2"/>
    <n v="8.6800200000000007"/>
    <n v="12"/>
  </r>
  <r>
    <s v="10"/>
    <s v="10"/>
    <s v="Dětská klinika"/>
    <x v="9"/>
    <s v="1013"/>
    <s v="lůžkové oddělení 21A"/>
    <s v="1013 - lůžkové oddělení 21A"/>
    <s v="50113006     léky - enterální výživa (LEK)"/>
    <x v="4"/>
    <x v="0"/>
    <n v="95.556539999999018"/>
    <n v="69"/>
  </r>
  <r>
    <s v="10"/>
    <s v="10"/>
    <s v="Dětská klinika"/>
    <x v="9"/>
    <s v="1013"/>
    <s v="lůžkové oddělení 21A"/>
    <s v="1013 - lůžkové oddělení 21A"/>
    <s v="50113006     léky - enterální výživa (LEK)"/>
    <x v="4"/>
    <x v="1"/>
    <n v="146.42598999999998"/>
    <n v="105.41377710869099"/>
  </r>
  <r>
    <s v="10"/>
    <s v="10"/>
    <s v="Dětská klinika"/>
    <x v="9"/>
    <s v="1013"/>
    <s v="lůžkové oddělení 21A"/>
    <s v="1013 - lůžkové oddělení 21A"/>
    <s v="50113006     léky - enterální výživa (LEK)"/>
    <x v="4"/>
    <x v="2"/>
    <n v="52.16046"/>
    <n v="117"/>
  </r>
  <r>
    <s v="10"/>
    <s v="10"/>
    <s v="Dětská klinika"/>
    <x v="9"/>
    <s v="1013"/>
    <s v="lůžkové oddělení 21A"/>
    <s v="1013 - lůžkové oddělení 21A"/>
    <s v="50113008     léky - krev.deriváty ZUL (TO)"/>
    <x v="5"/>
    <x v="0"/>
    <n v="728.91277999999909"/>
    <n v="600.41148357659097"/>
  </r>
  <r>
    <s v="10"/>
    <s v="10"/>
    <s v="Dětská klinika"/>
    <x v="9"/>
    <s v="1013"/>
    <s v="lůžkové oddělení 21A"/>
    <s v="1013 - lůžkové oddělení 21A"/>
    <s v="50113008     léky - krev.deriváty ZUL (TO)"/>
    <x v="5"/>
    <x v="1"/>
    <n v="725.44309999999996"/>
    <n v="730.006409887931"/>
  </r>
  <r>
    <s v="10"/>
    <s v="10"/>
    <s v="Dětská klinika"/>
    <x v="9"/>
    <s v="1013"/>
    <s v="lůžkové oddělení 21A"/>
    <s v="1013 - lůžkové oddělení 21A"/>
    <s v="50113008     léky - krev.deriváty ZUL (TO)"/>
    <x v="5"/>
    <x v="2"/>
    <n v="454.8026099999999"/>
    <n v="736.66334079225999"/>
  </r>
  <r>
    <s v="10"/>
    <s v="10"/>
    <s v="Dětská klinika"/>
    <x v="9"/>
    <s v="1013"/>
    <s v="lůžkové oddělení 21A"/>
    <s v="1013 - lůžkové oddělení 21A"/>
    <s v="50113013     léky (paušál) - antibiotika (LEK)"/>
    <x v="7"/>
    <x v="0"/>
    <n v="318.14713999999896"/>
    <n v="369.86265893493299"/>
  </r>
  <r>
    <s v="10"/>
    <s v="10"/>
    <s v="Dětská klinika"/>
    <x v="9"/>
    <s v="1013"/>
    <s v="lůžkové oddělení 21A"/>
    <s v="1013 - lůžkové oddělení 21A"/>
    <s v="50113013     léky (paušál) - antibiotika (LEK)"/>
    <x v="7"/>
    <x v="1"/>
    <n v="257.93777999999998"/>
    <n v="211.979620665037"/>
  </r>
  <r>
    <s v="10"/>
    <s v="10"/>
    <s v="Dětská klinika"/>
    <x v="9"/>
    <s v="1013"/>
    <s v="lůžkové oddělení 21A"/>
    <s v="1013 - lůžkové oddělení 21A"/>
    <s v="50113013     léky (paušál) - antibiotika (LEK)"/>
    <x v="7"/>
    <x v="2"/>
    <n v="111.29792999999999"/>
    <n v="288.74434538977101"/>
  </r>
  <r>
    <s v="10"/>
    <s v="10"/>
    <s v="Dětská klinika"/>
    <x v="9"/>
    <s v="1013"/>
    <s v="lůžkové oddělení 21A"/>
    <s v="1013 - lůžkové oddělení 21A"/>
    <s v="50113014     léky (paušál) - antimykotika (LEK)"/>
    <x v="8"/>
    <x v="0"/>
    <n v="22.537870000000002"/>
    <n v="24"/>
  </r>
  <r>
    <s v="10"/>
    <s v="10"/>
    <s v="Dětská klinika"/>
    <x v="9"/>
    <s v="1013"/>
    <s v="lůžkové oddělení 21A"/>
    <s v="1013 - lůžkové oddělení 21A"/>
    <s v="50113014     léky (paušál) - antimykotika (LEK)"/>
    <x v="8"/>
    <x v="1"/>
    <n v="14.748370000000001"/>
    <n v="21.982752260634999"/>
  </r>
  <r>
    <s v="10"/>
    <s v="10"/>
    <s v="Dětská klinika"/>
    <x v="9"/>
    <s v="1013"/>
    <s v="lůžkové oddělení 21A"/>
    <s v="1013 - lůžkové oddělení 21A"/>
    <s v="50113014     léky (paušál) - antimykotika (LEK)"/>
    <x v="8"/>
    <x v="2"/>
    <n v="14.280850000000003"/>
    <n v="18.612122243567999"/>
  </r>
  <r>
    <s v="10"/>
    <s v="10"/>
    <s v="Dětská klinika"/>
    <x v="9"/>
    <s v="1013"/>
    <s v="lůžkové oddělení 21A"/>
    <s v="1013 - lůžkové oddělení 21A"/>
    <s v="50115     Zdravotnické prostředky"/>
    <x v="0"/>
    <x v="0"/>
    <n v="290.22073"/>
    <n v="294.870084006544"/>
  </r>
  <r>
    <s v="10"/>
    <s v="10"/>
    <s v="Dětská klinika"/>
    <x v="9"/>
    <s v="1013"/>
    <s v="lůžkové oddělení 21A"/>
    <s v="1013 - lůžkové oddělení 21A"/>
    <s v="50115     Zdravotnické prostředky"/>
    <x v="0"/>
    <x v="1"/>
    <n v="277.26650000000001"/>
    <n v="276.42637904936299"/>
  </r>
  <r>
    <s v="10"/>
    <s v="10"/>
    <s v="Dětská klinika"/>
    <x v="9"/>
    <s v="1013"/>
    <s v="lůžkové oddělení 21A"/>
    <s v="1013 - lůžkové oddělení 21A"/>
    <s v="50115     Zdravotnické prostředky"/>
    <x v="0"/>
    <x v="2"/>
    <n v="201.30721"/>
    <n v="298.45913316751802"/>
  </r>
  <r>
    <s v="10"/>
    <s v="10"/>
    <s v="Dětská klinika"/>
    <x v="9"/>
    <s v="1013"/>
    <s v="lůžkové oddělení 21A"/>
    <s v="1013 - lůžkové oddělení 21A"/>
    <s v="50115020     diagnostika laboratorní-LEK (sk.Z_501)"/>
    <x v="10"/>
    <x v="0"/>
    <n v="0.49314000000000002"/>
    <n v="1.836995819442"/>
  </r>
  <r>
    <s v="10"/>
    <s v="10"/>
    <s v="Dětská klinika"/>
    <x v="9"/>
    <s v="1013"/>
    <s v="lůžkové oddělení 21A"/>
    <s v="1013 - lůžkové oddělení 21A"/>
    <s v="50115020     diagnostika laboratorní-LEK (sk.Z_501)"/>
    <x v="10"/>
    <x v="1"/>
    <n v="0.18876000000000001"/>
    <n v="0.49313947768900002"/>
  </r>
  <r>
    <s v="10"/>
    <s v="10"/>
    <s v="Dětská klinika"/>
    <x v="9"/>
    <s v="1013"/>
    <s v="lůžkové oddělení 21A"/>
    <s v="1013 - lůžkové oddělení 21A"/>
    <s v="50115020     diagnostika laboratorní-LEK (sk.Z_501)"/>
    <x v="10"/>
    <x v="2"/>
    <n v="1.0260799999999999"/>
    <n v="30.207559269594999"/>
  </r>
  <r>
    <s v="10"/>
    <s v="10"/>
    <s v="Dětská klinika"/>
    <x v="9"/>
    <s v="1013"/>
    <s v="lůžkové oddělení 21A"/>
    <s v="1013 - lůžkové oddělení 21A"/>
    <s v="50115040     laboratorní materiál (sk.Z_505)"/>
    <x v="11"/>
    <x v="0"/>
    <n v="0.73793999999999993"/>
    <n v="0.94990943338099998"/>
  </r>
  <r>
    <s v="10"/>
    <s v="10"/>
    <s v="Dětská klinika"/>
    <x v="9"/>
    <s v="1013"/>
    <s v="lůžkové oddělení 21A"/>
    <s v="1013 - lůžkové oddělení 21A"/>
    <s v="50115040     laboratorní materiál (sk.Z_505)"/>
    <x v="11"/>
    <x v="1"/>
    <n v="0"/>
    <n v="0.74174071566199995"/>
  </r>
  <r>
    <s v="10"/>
    <s v="10"/>
    <s v="Dětská klinika"/>
    <x v="9"/>
    <s v="1013"/>
    <s v="lůžkové oddělení 21A"/>
    <s v="1013 - lůžkové oddělení 21A"/>
    <s v="50115050     obvazový materiál (sk.Z_502)"/>
    <x v="12"/>
    <x v="0"/>
    <n v="19.297119999998998"/>
    <n v="17.695755553630999"/>
  </r>
  <r>
    <s v="10"/>
    <s v="10"/>
    <s v="Dětská klinika"/>
    <x v="9"/>
    <s v="1013"/>
    <s v="lůžkové oddělení 21A"/>
    <s v="1013 - lůžkové oddělení 21A"/>
    <s v="50115050     obvazový materiál (sk.Z_502)"/>
    <x v="12"/>
    <x v="1"/>
    <n v="27.226299999999998"/>
    <n v="24.341005874612001"/>
  </r>
  <r>
    <s v="10"/>
    <s v="10"/>
    <s v="Dětská klinika"/>
    <x v="9"/>
    <s v="1013"/>
    <s v="lůžkové oddělení 21A"/>
    <s v="1013 - lůžkové oddělení 21A"/>
    <s v="50115050     obvazový materiál (sk.Z_502)"/>
    <x v="12"/>
    <x v="2"/>
    <n v="25.58642"/>
    <n v="24.756017260939998"/>
  </r>
  <r>
    <s v="10"/>
    <s v="10"/>
    <s v="Dětská klinika"/>
    <x v="9"/>
    <s v="1013"/>
    <s v="lůžkové oddělení 21A"/>
    <s v="1013 - lůžkové oddělení 21A"/>
    <s v="50115060     ostatní ZPr - mimo níže uvedené (sk.Z_503)"/>
    <x v="1"/>
    <x v="0"/>
    <n v="225.64311999999998"/>
    <n v="228.593536528198"/>
  </r>
  <r>
    <s v="10"/>
    <s v="10"/>
    <s v="Dětská klinika"/>
    <x v="9"/>
    <s v="1013"/>
    <s v="lůžkové oddělení 21A"/>
    <s v="1013 - lůžkové oddělení 21A"/>
    <s v="50115060     ostatní ZPr - mimo níže uvedené (sk.Z_503)"/>
    <x v="1"/>
    <x v="1"/>
    <n v="199.74530999999999"/>
    <n v="209.64179613969401"/>
  </r>
  <r>
    <s v="10"/>
    <s v="10"/>
    <s v="Dětská klinika"/>
    <x v="9"/>
    <s v="1013"/>
    <s v="lůžkové oddělení 21A"/>
    <s v="1013 - lůžkové oddělení 21A"/>
    <s v="50115060     ostatní ZPr - mimo níže uvedené (sk.Z_503)"/>
    <x v="1"/>
    <x v="2"/>
    <n v="139.42739999999998"/>
    <n v="193.99999388947001"/>
  </r>
  <r>
    <s v="10"/>
    <s v="10"/>
    <s v="Dětská klinika"/>
    <x v="9"/>
    <s v="1013"/>
    <s v="lůžkové oddělení 21A"/>
    <s v="1013 - lůžkové oddělení 21A"/>
    <s v="50115063     ostatní ZPr - vaky, sety (sk.Z_528)"/>
    <x v="13"/>
    <x v="0"/>
    <n v="18.449900000000003"/>
    <n v="21.028012360752001"/>
  </r>
  <r>
    <s v="10"/>
    <s v="10"/>
    <s v="Dětská klinika"/>
    <x v="9"/>
    <s v="1013"/>
    <s v="lůžkové oddělení 21A"/>
    <s v="1013 - lůžkové oddělení 21A"/>
    <s v="50115063     ostatní ZPr - vaky, sety (sk.Z_528)"/>
    <x v="13"/>
    <x v="1"/>
    <n v="20.423000000000002"/>
    <n v="18.073972272517"/>
  </r>
  <r>
    <s v="10"/>
    <s v="10"/>
    <s v="Dětská klinika"/>
    <x v="9"/>
    <s v="1013"/>
    <s v="lůžkové oddělení 21A"/>
    <s v="1013 - lůžkové oddělení 21A"/>
    <s v="50115063     ostatní ZPr - vaky, sety (sk.Z_528)"/>
    <x v="13"/>
    <x v="2"/>
    <n v="13.889000000000001"/>
    <n v="22.138318959372"/>
  </r>
  <r>
    <s v="10"/>
    <s v="10"/>
    <s v="Dětská klinika"/>
    <x v="9"/>
    <s v="1013"/>
    <s v="lůžkové oddělení 21A"/>
    <s v="1013 - lůžkové oddělení 21A"/>
    <s v="50115065     ostatní ZPr - vpichovací materiál (sk.Z_530)"/>
    <x v="14"/>
    <x v="0"/>
    <n v="14.82741"/>
    <n v="12.370819975724"/>
  </r>
  <r>
    <s v="10"/>
    <s v="10"/>
    <s v="Dětská klinika"/>
    <x v="9"/>
    <s v="1013"/>
    <s v="lůžkové oddělení 21A"/>
    <s v="1013 - lůžkové oddělení 21A"/>
    <s v="50115065     ostatní ZPr - vpichovací materiál (sk.Z_530)"/>
    <x v="14"/>
    <x v="1"/>
    <n v="13.435730000000003"/>
    <n v="13.210192553284999"/>
  </r>
  <r>
    <s v="10"/>
    <s v="10"/>
    <s v="Dětská klinika"/>
    <x v="9"/>
    <s v="1013"/>
    <s v="lůžkové oddělení 21A"/>
    <s v="1013 - lůžkové oddělení 21A"/>
    <s v="50115065     ostatní ZPr - vpichovací materiál (sk.Z_530)"/>
    <x v="14"/>
    <x v="2"/>
    <n v="11.70473"/>
    <n v="12.483418017886001"/>
  </r>
  <r>
    <s v="10"/>
    <s v="10"/>
    <s v="Dětská klinika"/>
    <x v="9"/>
    <s v="1013"/>
    <s v="lůžkové oddělení 21A"/>
    <s v="1013 - lůžkové oddělení 21A"/>
    <s v="50115067     ostatní ZPr - rukavice (sk.Z_532)"/>
    <x v="15"/>
    <x v="0"/>
    <n v="10.772099999999"/>
    <n v="12.395054335414001"/>
  </r>
  <r>
    <s v="10"/>
    <s v="10"/>
    <s v="Dětská klinika"/>
    <x v="9"/>
    <s v="1013"/>
    <s v="lůžkové oddělení 21A"/>
    <s v="1013 - lůžkové oddělení 21A"/>
    <s v="50115067     ostatní ZPr - rukavice (sk.Z_532)"/>
    <x v="15"/>
    <x v="1"/>
    <n v="16.247399999999999"/>
    <n v="9.9245320159010006"/>
  </r>
  <r>
    <s v="10"/>
    <s v="10"/>
    <s v="Dětská klinika"/>
    <x v="9"/>
    <s v="1013"/>
    <s v="lůžkové oddělení 21A"/>
    <s v="1013 - lůžkové oddělení 21A"/>
    <s v="50115067     ostatní ZPr - rukavice (sk.Z_532)"/>
    <x v="15"/>
    <x v="2"/>
    <n v="8.1340000000000003"/>
    <n v="14.873825770251999"/>
  </r>
  <r>
    <s v="10"/>
    <s v="10"/>
    <s v="Dětská klinika"/>
    <x v="9"/>
    <s v="1013"/>
    <s v="lůžkové oddělení 21A"/>
    <s v="1013 - lůžkové oddělení 21A"/>
    <s v="50115079     ostatní ZPr - intenzivní péče (sk.Z_542)"/>
    <x v="18"/>
    <x v="2"/>
    <n v="1.5395799999999999"/>
    <n v="0"/>
  </r>
  <r>
    <s v="10"/>
    <s v="10"/>
    <s v="Dětská klinika"/>
    <x v="9"/>
    <s v="1014"/>
    <s v="lůžkové oddělení 21B"/>
    <s v="1014 - lůžkové oddělení 21B"/>
    <s v="50113     Léky a léčiva"/>
    <x v="2"/>
    <x v="0"/>
    <n v="179.05478999999903"/>
    <n v="339.78649153587298"/>
  </r>
  <r>
    <s v="10"/>
    <s v="10"/>
    <s v="Dětská klinika"/>
    <x v="9"/>
    <s v="1014"/>
    <s v="lůžkové oddělení 21B"/>
    <s v="1014 - lůžkové oddělení 21B"/>
    <s v="50113     Léky a léčiva"/>
    <x v="2"/>
    <x v="1"/>
    <n v="237.61588"/>
    <n v="169.90908374192199"/>
  </r>
  <r>
    <s v="10"/>
    <s v="10"/>
    <s v="Dětská klinika"/>
    <x v="9"/>
    <s v="1014"/>
    <s v="lůžkové oddělení 21B"/>
    <s v="1014 - lůžkové oddělení 21B"/>
    <s v="50113     Léky a léčiva"/>
    <x v="2"/>
    <x v="2"/>
    <n v="76.675439999999995"/>
    <n v="323.858451311294"/>
  </r>
  <r>
    <s v="10"/>
    <s v="10"/>
    <s v="Dětská klinika"/>
    <x v="9"/>
    <s v="1014"/>
    <s v="lůžkové oddělení 21B"/>
    <s v="1014 - lůžkové oddělení 21B"/>
    <s v="50113001     léky - paušál+TISS (LEK)"/>
    <x v="3"/>
    <x v="0"/>
    <n v="13.710859999999998"/>
    <n v="10"/>
  </r>
  <r>
    <s v="10"/>
    <s v="10"/>
    <s v="Dětská klinika"/>
    <x v="9"/>
    <s v="1014"/>
    <s v="lůžkové oddělení 21B"/>
    <s v="1014 - lůžkové oddělení 21B"/>
    <s v="50113001     léky - paušál+TISS (LEK)"/>
    <x v="3"/>
    <x v="1"/>
    <n v="0.95901999999999998"/>
    <n v="10.991055972448001"/>
  </r>
  <r>
    <s v="10"/>
    <s v="10"/>
    <s v="Dětská klinika"/>
    <x v="9"/>
    <s v="1014"/>
    <s v="lůžkové oddělení 21B"/>
    <s v="1014 - lůžkové oddělení 21B"/>
    <s v="50113001     léky - paušál+TISS (LEK)"/>
    <x v="3"/>
    <x v="2"/>
    <n v="0"/>
    <n v="1.311051677522"/>
  </r>
  <r>
    <s v="10"/>
    <s v="10"/>
    <s v="Dětská klinika"/>
    <x v="9"/>
    <s v="1014"/>
    <s v="lůžkové oddělení 21B"/>
    <s v="1014 - lůžkové oddělení 21B"/>
    <s v="50113007     léky - krev.deriváty ZUL (LEK)"/>
    <x v="45"/>
    <x v="2"/>
    <n v="1"/>
    <n v="0"/>
  </r>
  <r>
    <s v="10"/>
    <s v="10"/>
    <s v="Dětská klinika"/>
    <x v="9"/>
    <s v="1014"/>
    <s v="lůžkové oddělení 21B"/>
    <s v="1014 - lůžkové oddělení 21B"/>
    <s v="50113008     léky - krev.deriváty ZUL (TO)"/>
    <x v="5"/>
    <x v="0"/>
    <n v="20.318999999999999"/>
    <n v="13.013491260564001"/>
  </r>
  <r>
    <s v="10"/>
    <s v="10"/>
    <s v="Dětská klinika"/>
    <x v="9"/>
    <s v="1014"/>
    <s v="lůžkové oddělení 21B"/>
    <s v="1014 - lůžkové oddělení 21B"/>
    <s v="50113008     léky - krev.deriváty ZUL (TO)"/>
    <x v="5"/>
    <x v="1"/>
    <n v="71.469149999999999"/>
    <n v="20.000175613368"/>
  </r>
  <r>
    <s v="10"/>
    <s v="10"/>
    <s v="Dětská klinika"/>
    <x v="9"/>
    <s v="1014"/>
    <s v="lůžkové oddělení 21B"/>
    <s v="1014 - lůžkové oddělení 21B"/>
    <s v="50113008     léky - krev.deriváty ZUL (TO)"/>
    <x v="5"/>
    <x v="2"/>
    <n v="2.2425000000000002"/>
    <n v="127.421397794071"/>
  </r>
  <r>
    <s v="10"/>
    <s v="10"/>
    <s v="Dětská klinika"/>
    <x v="9"/>
    <s v="1014"/>
    <s v="lůžkové oddělení 21B"/>
    <s v="1014 - lůžkové oddělení 21B"/>
    <s v="50113011     léky - hemofilici ZUL (TO)"/>
    <x v="6"/>
    <x v="1"/>
    <n v="28.152000000000001"/>
    <n v="0"/>
  </r>
  <r>
    <s v="10"/>
    <s v="10"/>
    <s v="Dětská klinika"/>
    <x v="9"/>
    <s v="1014"/>
    <s v="lůžkové oddělení 21B"/>
    <s v="1014 - lůžkové oddělení 21B"/>
    <s v="50113011     léky - hemofilici ZUL (TO)"/>
    <x v="6"/>
    <x v="2"/>
    <n v="17.481200000000001"/>
    <n v="8.3568873635780001"/>
  </r>
  <r>
    <s v="10"/>
    <s v="10"/>
    <s v="Dětská klinika"/>
    <x v="9"/>
    <s v="1014"/>
    <s v="lůžkové oddělení 21B"/>
    <s v="1014 - lůžkové oddělení 21B"/>
    <s v="50113013     léky (paušál) - antibiotika (LEK)"/>
    <x v="7"/>
    <x v="0"/>
    <n v="43.227519999999004"/>
    <n v="19.750146045287"/>
  </r>
  <r>
    <s v="10"/>
    <s v="10"/>
    <s v="Dětská klinika"/>
    <x v="9"/>
    <s v="1014"/>
    <s v="lůžkové oddělení 21B"/>
    <s v="1014 - lůžkové oddělení 21B"/>
    <s v="50113013     léky (paušál) - antibiotika (LEK)"/>
    <x v="7"/>
    <x v="1"/>
    <n v="12.154169999999997"/>
    <n v="38.996250971397998"/>
  </r>
  <r>
    <s v="10"/>
    <s v="10"/>
    <s v="Dětská klinika"/>
    <x v="9"/>
    <s v="1014"/>
    <s v="lůžkové oddělení 21B"/>
    <s v="1014 - lůžkové oddělení 21B"/>
    <s v="50113013     léky (paušál) - antibiotika (LEK)"/>
    <x v="7"/>
    <x v="2"/>
    <n v="5.4122399999999997"/>
    <n v="13.346756989884"/>
  </r>
  <r>
    <s v="10"/>
    <s v="10"/>
    <s v="Dětská klinika"/>
    <x v="9"/>
    <s v="1014"/>
    <s v="lůžkové oddělení 21B"/>
    <s v="1014 - lůžkové oddělení 21B"/>
    <s v="50113014     léky (paušál) - antimykotika (LEK)"/>
    <x v="8"/>
    <x v="0"/>
    <n v="101.79741"/>
    <n v="297.02285423002098"/>
  </r>
  <r>
    <s v="10"/>
    <s v="10"/>
    <s v="Dětská klinika"/>
    <x v="9"/>
    <s v="1014"/>
    <s v="lůžkové oddělení 21B"/>
    <s v="1014 - lůžkové oddělení 21B"/>
    <s v="50113014     léky (paušál) - antimykotika (LEK)"/>
    <x v="8"/>
    <x v="1"/>
    <n v="124.88154"/>
    <n v="99.921601184707001"/>
  </r>
  <r>
    <s v="10"/>
    <s v="10"/>
    <s v="Dětská klinika"/>
    <x v="9"/>
    <s v="1014"/>
    <s v="lůžkové oddělení 21B"/>
    <s v="1014 - lůžkové oddělení 21B"/>
    <s v="50113014     léky (paušál) - antimykotika (LEK)"/>
    <x v="8"/>
    <x v="2"/>
    <n v="50.539499999999997"/>
    <n v="173.42235748623699"/>
  </r>
  <r>
    <s v="10"/>
    <s v="10"/>
    <s v="Dětská klinika"/>
    <x v="9"/>
    <s v="1014"/>
    <s v="lůžkové oddělení 21B"/>
    <s v="1014 - lůžkové oddělení 21B"/>
    <s v="50115     Zdravotnické prostředky"/>
    <x v="0"/>
    <x v="0"/>
    <n v="3.319"/>
    <n v="8.6969231358620007"/>
  </r>
  <r>
    <s v="10"/>
    <s v="10"/>
    <s v="Dětská klinika"/>
    <x v="9"/>
    <s v="1014"/>
    <s v="lůžkové oddělení 21B"/>
    <s v="1014 - lůžkové oddělení 21B"/>
    <s v="50115     Zdravotnické prostředky"/>
    <x v="0"/>
    <x v="1"/>
    <n v="0.39"/>
    <n v="3.3529400741809998"/>
  </r>
  <r>
    <s v="10"/>
    <s v="10"/>
    <s v="Dětská klinika"/>
    <x v="9"/>
    <s v="1014"/>
    <s v="lůžkové oddělení 21B"/>
    <s v="1014 - lůžkové oddělení 21B"/>
    <s v="50115     Zdravotnické prostředky"/>
    <x v="0"/>
    <x v="2"/>
    <n v="0"/>
    <n v="0.36996262933500002"/>
  </r>
  <r>
    <s v="10"/>
    <s v="10"/>
    <s v="Dětská klinika"/>
    <x v="9"/>
    <s v="1014"/>
    <s v="lůžkové oddělení 21B"/>
    <s v="1014 - lůžkové oddělení 21B"/>
    <s v="50115060     ostatní ZPr - mimo níže uvedené (sk.Z_503)"/>
    <x v="1"/>
    <x v="0"/>
    <n v="0.92"/>
    <n v="5.0426161444790001"/>
  </r>
  <r>
    <s v="10"/>
    <s v="10"/>
    <s v="Dětská klinika"/>
    <x v="9"/>
    <s v="1014"/>
    <s v="lůžkové oddělení 21B"/>
    <s v="1014 - lůžkové oddělení 21B"/>
    <s v="50115060     ostatní ZPr - mimo níže uvedené (sk.Z_503)"/>
    <x v="1"/>
    <x v="1"/>
    <n v="0"/>
    <n v="0.91999306932699998"/>
  </r>
  <r>
    <s v="10"/>
    <s v="10"/>
    <s v="Dětská klinika"/>
    <x v="9"/>
    <s v="1014"/>
    <s v="lůžkové oddělení 21B"/>
    <s v="1014 - lůžkové oddělení 21B"/>
    <s v="50115067     ostatní ZPr - rukavice (sk.Z_532)"/>
    <x v="15"/>
    <x v="0"/>
    <n v="2.399"/>
    <n v="3.6543069913820001"/>
  </r>
  <r>
    <s v="10"/>
    <s v="10"/>
    <s v="Dětská klinika"/>
    <x v="9"/>
    <s v="1014"/>
    <s v="lůžkové oddělení 21B"/>
    <s v="1014 - lůžkové oddělení 21B"/>
    <s v="50115067     ostatní ZPr - rukavice (sk.Z_532)"/>
    <x v="15"/>
    <x v="1"/>
    <n v="0.39"/>
    <n v="2.4329470048539998"/>
  </r>
  <r>
    <s v="10"/>
    <s v="10"/>
    <s v="Dětská klinika"/>
    <x v="9"/>
    <s v="1014"/>
    <s v="lůžkové oddělení 21B"/>
    <s v="1014 - lůžkové oddělení 21B"/>
    <s v="50115067     ostatní ZPr - rukavice (sk.Z_532)"/>
    <x v="15"/>
    <x v="2"/>
    <n v="0"/>
    <n v="0.36996262933500002"/>
  </r>
  <r>
    <s v="10"/>
    <s v="10"/>
    <s v="Dětská klinika"/>
    <x v="9"/>
    <s v="1021"/>
    <s v="ambulance"/>
    <s v="1021 - ambulance"/>
    <s v="50113     Léky a léčiva"/>
    <x v="2"/>
    <x v="0"/>
    <n v="5602.0514400000029"/>
    <n v="5301.3916241593097"/>
  </r>
  <r>
    <s v="10"/>
    <s v="10"/>
    <s v="Dětská klinika"/>
    <x v="9"/>
    <s v="1021"/>
    <s v="ambulance"/>
    <s v="1021 - ambulance"/>
    <s v="50113     Léky a léčiva"/>
    <x v="2"/>
    <x v="1"/>
    <n v="8272.6563800000022"/>
    <n v="6818.7312782275803"/>
  </r>
  <r>
    <s v="10"/>
    <s v="10"/>
    <s v="Dětská klinika"/>
    <x v="9"/>
    <s v="1021"/>
    <s v="ambulance"/>
    <s v="1021 - ambulance"/>
    <s v="50113     Léky a léčiva"/>
    <x v="2"/>
    <x v="2"/>
    <n v="8505.5280600000024"/>
    <n v="7134.3745357676498"/>
  </r>
  <r>
    <s v="10"/>
    <s v="10"/>
    <s v="Dětská klinika"/>
    <x v="9"/>
    <s v="1021"/>
    <s v="ambulance"/>
    <s v="1021 - ambulance"/>
    <s v="50113001     léky - paušál+TISS (LEK)"/>
    <x v="3"/>
    <x v="0"/>
    <n v="1424.2390700000001"/>
    <n v="1496.0156011317999"/>
  </r>
  <r>
    <s v="10"/>
    <s v="10"/>
    <s v="Dětská klinika"/>
    <x v="9"/>
    <s v="1021"/>
    <s v="ambulance"/>
    <s v="1021 - ambulance"/>
    <s v="50113001     léky - paušál+TISS (LEK)"/>
    <x v="3"/>
    <x v="1"/>
    <n v="1379.6352000000011"/>
    <n v="1314.9045650768101"/>
  </r>
  <r>
    <s v="10"/>
    <s v="10"/>
    <s v="Dětská klinika"/>
    <x v="9"/>
    <s v="1021"/>
    <s v="ambulance"/>
    <s v="1021 - ambulance"/>
    <s v="50113001     léky - paušál+TISS (LEK)"/>
    <x v="3"/>
    <x v="2"/>
    <n v="956.73730999999998"/>
    <n v="1267.2903687342"/>
  </r>
  <r>
    <s v="10"/>
    <s v="10"/>
    <s v="Dětská klinika"/>
    <x v="9"/>
    <s v="1021"/>
    <s v="ambulance"/>
    <s v="1021 - ambulance"/>
    <s v="50113006     léky - enterální výživa (LEK)"/>
    <x v="4"/>
    <x v="0"/>
    <n v="56.765029999999996"/>
    <n v="54"/>
  </r>
  <r>
    <s v="10"/>
    <s v="10"/>
    <s v="Dětská klinika"/>
    <x v="9"/>
    <s v="1021"/>
    <s v="ambulance"/>
    <s v="1021 - ambulance"/>
    <s v="50113006     léky - enterální výživa (LEK)"/>
    <x v="4"/>
    <x v="1"/>
    <n v="2.8428"/>
    <n v="56.680222201306997"/>
  </r>
  <r>
    <s v="10"/>
    <s v="10"/>
    <s v="Dětská klinika"/>
    <x v="9"/>
    <s v="1021"/>
    <s v="ambulance"/>
    <s v="1021 - ambulance"/>
    <s v="50113006     léky - enterální výživa (LEK)"/>
    <x v="4"/>
    <x v="2"/>
    <n v="3.5211000000000001"/>
    <n v="3.718448534263"/>
  </r>
  <r>
    <s v="10"/>
    <s v="10"/>
    <s v="Dětská klinika"/>
    <x v="9"/>
    <s v="1021"/>
    <s v="ambulance"/>
    <s v="1021 - ambulance"/>
    <s v="50113007     léky - krev.deriváty ZUL (LEK)"/>
    <x v="45"/>
    <x v="0"/>
    <n v="898.61012000000005"/>
    <n v="870.92488257413902"/>
  </r>
  <r>
    <s v="10"/>
    <s v="10"/>
    <s v="Dětská klinika"/>
    <x v="9"/>
    <s v="1021"/>
    <s v="ambulance"/>
    <s v="1021 - ambulance"/>
    <s v="50113007     léky - krev.deriváty ZUL (LEK)"/>
    <x v="45"/>
    <x v="1"/>
    <n v="1190.8481900000002"/>
    <n v="875.43631117334598"/>
  </r>
  <r>
    <s v="10"/>
    <s v="10"/>
    <s v="Dětská klinika"/>
    <x v="9"/>
    <s v="1021"/>
    <s v="ambulance"/>
    <s v="1021 - ambulance"/>
    <s v="50113007     léky - krev.deriváty ZUL (LEK)"/>
    <x v="45"/>
    <x v="2"/>
    <n v="698.97620999999992"/>
    <n v="859"/>
  </r>
  <r>
    <s v="10"/>
    <s v="10"/>
    <s v="Dětská klinika"/>
    <x v="9"/>
    <s v="1021"/>
    <s v="ambulance"/>
    <s v="1021 - ambulance"/>
    <s v="50113008     léky - krev.deriváty ZUL (TO)"/>
    <x v="5"/>
    <x v="0"/>
    <n v="48.352440000000001"/>
    <n v="64.337552756243994"/>
  </r>
  <r>
    <s v="10"/>
    <s v="10"/>
    <s v="Dětská klinika"/>
    <x v="9"/>
    <s v="1021"/>
    <s v="ambulance"/>
    <s v="1021 - ambulance"/>
    <s v="50113008     léky - krev.deriváty ZUL (TO)"/>
    <x v="5"/>
    <x v="1"/>
    <n v="38.611350000000002"/>
    <n v="48.000421472082998"/>
  </r>
  <r>
    <s v="10"/>
    <s v="10"/>
    <s v="Dětská klinika"/>
    <x v="9"/>
    <s v="1021"/>
    <s v="ambulance"/>
    <s v="1021 - ambulance"/>
    <s v="50113008     léky - krev.deriváty ZUL (TO)"/>
    <x v="5"/>
    <x v="2"/>
    <n v="105.51819999999999"/>
    <n v="36.103657415057"/>
  </r>
  <r>
    <s v="10"/>
    <s v="10"/>
    <s v="Dětská klinika"/>
    <x v="9"/>
    <s v="1021"/>
    <s v="ambulance"/>
    <s v="1021 - ambulance"/>
    <s v="50113011     léky - hemofilici ZUL (TO)"/>
    <x v="6"/>
    <x v="0"/>
    <n v="3172.3955600000022"/>
    <n v="2776.9876455486701"/>
  </r>
  <r>
    <s v="10"/>
    <s v="10"/>
    <s v="Dětská klinika"/>
    <x v="9"/>
    <s v="1021"/>
    <s v="ambulance"/>
    <s v="1021 - ambulance"/>
    <s v="50113011     léky - hemofilici ZUL (TO)"/>
    <x v="6"/>
    <x v="1"/>
    <n v="2215.0158300000007"/>
    <n v="3171.99999999994"/>
  </r>
  <r>
    <s v="10"/>
    <s v="10"/>
    <s v="Dětská klinika"/>
    <x v="9"/>
    <s v="1021"/>
    <s v="ambulance"/>
    <s v="1021 - ambulance"/>
    <s v="50113011     léky - hemofilici ZUL (TO)"/>
    <x v="6"/>
    <x v="2"/>
    <n v="2110.22489"/>
    <n v="2176.1710772501801"/>
  </r>
  <r>
    <s v="10"/>
    <s v="10"/>
    <s v="Dětská klinika"/>
    <x v="9"/>
    <s v="1021"/>
    <s v="ambulance"/>
    <s v="1021 - ambulance"/>
    <s v="50113013     léky (paušál) - antibiotika (LEK)"/>
    <x v="7"/>
    <x v="0"/>
    <n v="1.6892199999999999"/>
    <n v="2.7436624310169999"/>
  </r>
  <r>
    <s v="10"/>
    <s v="10"/>
    <s v="Dětská klinika"/>
    <x v="9"/>
    <s v="1021"/>
    <s v="ambulance"/>
    <s v="1021 - ambulance"/>
    <s v="50113013     léky (paušál) - antibiotika (LEK)"/>
    <x v="7"/>
    <x v="1"/>
    <n v="1.93787"/>
    <n v="1.7097583040890001"/>
  </r>
  <r>
    <s v="10"/>
    <s v="10"/>
    <s v="Dětská klinika"/>
    <x v="9"/>
    <s v="1021"/>
    <s v="ambulance"/>
    <s v="1021 - ambulance"/>
    <s v="50113013     léky (paušál) - antibiotika (LEK)"/>
    <x v="7"/>
    <x v="2"/>
    <n v="1.61835"/>
    <n v="0.57029803778099997"/>
  </r>
  <r>
    <s v="10"/>
    <s v="10"/>
    <s v="Dětská klinika"/>
    <x v="9"/>
    <s v="1021"/>
    <s v="ambulance"/>
    <s v="1021 - ambulance"/>
    <s v="50113014     léky (paušál) - antimykotika (LEK)"/>
    <x v="8"/>
    <x v="0"/>
    <n v="0"/>
    <n v="36"/>
  </r>
  <r>
    <s v="10"/>
    <s v="10"/>
    <s v="Dětská klinika"/>
    <x v="9"/>
    <s v="1021"/>
    <s v="ambulance"/>
    <s v="1021 - ambulance"/>
    <s v="50113014     léky (paušál) - antimykotika (LEK)"/>
    <x v="8"/>
    <x v="1"/>
    <n v="540.16233999999997"/>
    <n v="1350"/>
  </r>
  <r>
    <s v="10"/>
    <s v="10"/>
    <s v="Dětská klinika"/>
    <x v="9"/>
    <s v="1021"/>
    <s v="ambulance"/>
    <s v="1021 - ambulance"/>
    <s v="50113014     léky (paušál) - antimykotika (LEK)"/>
    <x v="8"/>
    <x v="2"/>
    <n v="0"/>
    <n v="750.12068579617096"/>
  </r>
  <r>
    <s v="10"/>
    <s v="10"/>
    <s v="Dětská klinika"/>
    <x v="9"/>
    <s v="1021"/>
    <s v="ambulance"/>
    <s v="1021 - ambulance"/>
    <s v="50113017     léky - dle §16 (LEK)"/>
    <x v="40"/>
    <x v="1"/>
    <n v="2903.6028000000001"/>
    <n v="0"/>
  </r>
  <r>
    <s v="10"/>
    <s v="10"/>
    <s v="Dětská klinika"/>
    <x v="9"/>
    <s v="1021"/>
    <s v="ambulance"/>
    <s v="1021 - ambulance"/>
    <s v="50113017     léky - dle §16 (LEK)"/>
    <x v="40"/>
    <x v="2"/>
    <n v="4628.9319999999998"/>
    <n v="2041.4"/>
  </r>
  <r>
    <s v="10"/>
    <s v="10"/>
    <s v="Dětská klinika"/>
    <x v="9"/>
    <s v="1021"/>
    <s v="ambulance"/>
    <s v="1021 - ambulance"/>
    <s v="50113190     medicinální plyny"/>
    <x v="9"/>
    <x v="0"/>
    <n v="0"/>
    <n v="0.38227971744099998"/>
  </r>
  <r>
    <s v="10"/>
    <s v="10"/>
    <s v="Dětská klinika"/>
    <x v="9"/>
    <s v="1021"/>
    <s v="ambulance"/>
    <s v="1021 - ambulance"/>
    <s v="50115     Zdravotnické prostředky"/>
    <x v="0"/>
    <x v="0"/>
    <n v="336.46160999999995"/>
    <n v="377.684790908335"/>
  </r>
  <r>
    <s v="10"/>
    <s v="10"/>
    <s v="Dětská klinika"/>
    <x v="9"/>
    <s v="1021"/>
    <s v="ambulance"/>
    <s v="1021 - ambulance"/>
    <s v="50115     Zdravotnické prostředky"/>
    <x v="0"/>
    <x v="1"/>
    <n v="304.74565000000001"/>
    <n v="336.752844637088"/>
  </r>
  <r>
    <s v="10"/>
    <s v="10"/>
    <s v="Dětská klinika"/>
    <x v="9"/>
    <s v="1021"/>
    <s v="ambulance"/>
    <s v="1021 - ambulance"/>
    <s v="50115     Zdravotnické prostředky"/>
    <x v="0"/>
    <x v="2"/>
    <n v="603.79134999999997"/>
    <n v="872.21661811319996"/>
  </r>
  <r>
    <s v="10"/>
    <s v="10"/>
    <s v="Dětská klinika"/>
    <x v="9"/>
    <s v="1021"/>
    <s v="ambulance"/>
    <s v="1021 - ambulance"/>
    <s v="50115020     diagnostika laboratorní-LEK (sk.Z_501)"/>
    <x v="10"/>
    <x v="0"/>
    <n v="11.632680000000001"/>
    <n v="14.696308555505"/>
  </r>
  <r>
    <s v="10"/>
    <s v="10"/>
    <s v="Dětská klinika"/>
    <x v="9"/>
    <s v="1021"/>
    <s v="ambulance"/>
    <s v="1021 - ambulance"/>
    <s v="50115020     diagnostika laboratorní-LEK (sk.Z_501)"/>
    <x v="10"/>
    <x v="1"/>
    <n v="18.084620000000001"/>
    <n v="11.632667679224999"/>
  </r>
  <r>
    <s v="10"/>
    <s v="10"/>
    <s v="Dětská klinika"/>
    <x v="9"/>
    <s v="1021"/>
    <s v="ambulance"/>
    <s v="1021 - ambulance"/>
    <s v="50115020     diagnostika laboratorní-LEK (sk.Z_501)"/>
    <x v="10"/>
    <x v="2"/>
    <n v="20.567419999999998"/>
    <n v="111.99999647227099"/>
  </r>
  <r>
    <s v="10"/>
    <s v="10"/>
    <s v="Dětská klinika"/>
    <x v="9"/>
    <s v="1021"/>
    <s v="ambulance"/>
    <s v="1021 - ambulance"/>
    <s v="50115040     laboratorní materiál (sk.Z_505)"/>
    <x v="11"/>
    <x v="0"/>
    <n v="0.19359999999999999"/>
    <n v="0"/>
  </r>
  <r>
    <s v="10"/>
    <s v="10"/>
    <s v="Dětská klinika"/>
    <x v="9"/>
    <s v="1021"/>
    <s v="ambulance"/>
    <s v="1021 - ambulance"/>
    <s v="50115040     laboratorní materiál (sk.Z_505)"/>
    <x v="11"/>
    <x v="1"/>
    <n v="0"/>
    <n v="0.194597125175"/>
  </r>
  <r>
    <s v="10"/>
    <s v="10"/>
    <s v="Dětská klinika"/>
    <x v="9"/>
    <s v="1021"/>
    <s v="ambulance"/>
    <s v="1021 - ambulance"/>
    <s v="50115040     laboratorní materiál (sk.Z_505)"/>
    <x v="11"/>
    <x v="2"/>
    <n v="3.0325300000000004"/>
    <n v="0"/>
  </r>
  <r>
    <s v="10"/>
    <s v="10"/>
    <s v="Dětská klinika"/>
    <x v="9"/>
    <s v="1021"/>
    <s v="ambulance"/>
    <s v="1021 - ambulance"/>
    <s v="50115050     obvazový materiál (sk.Z_502)"/>
    <x v="12"/>
    <x v="0"/>
    <n v="12.119059999999001"/>
    <n v="18.834092158318001"/>
  </r>
  <r>
    <s v="10"/>
    <s v="10"/>
    <s v="Dětská klinika"/>
    <x v="9"/>
    <s v="1021"/>
    <s v="ambulance"/>
    <s v="1021 - ambulance"/>
    <s v="50115050     obvazový materiál (sk.Z_502)"/>
    <x v="12"/>
    <x v="1"/>
    <n v="9.8026899999999983"/>
    <n v="12.146619366127"/>
  </r>
  <r>
    <s v="10"/>
    <s v="10"/>
    <s v="Dětská klinika"/>
    <x v="9"/>
    <s v="1021"/>
    <s v="ambulance"/>
    <s v="1021 - ambulance"/>
    <s v="50115050     obvazový materiál (sk.Z_502)"/>
    <x v="12"/>
    <x v="2"/>
    <n v="8.7638700000000007"/>
    <n v="7.2954684433969996"/>
  </r>
  <r>
    <s v="10"/>
    <s v="10"/>
    <s v="Dětská klinika"/>
    <x v="9"/>
    <s v="1021"/>
    <s v="ambulance"/>
    <s v="1021 - ambulance"/>
    <s v="50115060     ostatní ZPr - mimo níže uvedené (sk.Z_503)"/>
    <x v="1"/>
    <x v="0"/>
    <n v="254.12183000000002"/>
    <n v="322.81230729760603"/>
  </r>
  <r>
    <s v="10"/>
    <s v="10"/>
    <s v="Dětská klinika"/>
    <x v="9"/>
    <s v="1021"/>
    <s v="ambulance"/>
    <s v="1021 - ambulance"/>
    <s v="50115060     ostatní ZPr - mimo níže uvedené (sk.Z_503)"/>
    <x v="1"/>
    <x v="1"/>
    <n v="232.84147999999999"/>
    <n v="249.120062184647"/>
  </r>
  <r>
    <s v="10"/>
    <s v="10"/>
    <s v="Dětská klinika"/>
    <x v="9"/>
    <s v="1021"/>
    <s v="ambulance"/>
    <s v="1021 - ambulance"/>
    <s v="50115060     ostatní ZPr - mimo níže uvedené (sk.Z_503)"/>
    <x v="1"/>
    <x v="2"/>
    <n v="458.45353"/>
    <n v="596.99998119594704"/>
  </r>
  <r>
    <s v="10"/>
    <s v="10"/>
    <s v="Dětská klinika"/>
    <x v="9"/>
    <s v="1021"/>
    <s v="ambulance"/>
    <s v="1021 - ambulance"/>
    <s v="50115063     ostatní ZPr - vaky, sety (sk.Z_528)"/>
    <x v="13"/>
    <x v="0"/>
    <n v="2.1713"/>
    <n v="2"/>
  </r>
  <r>
    <s v="10"/>
    <s v="10"/>
    <s v="Dětská klinika"/>
    <x v="9"/>
    <s v="1021"/>
    <s v="ambulance"/>
    <s v="1021 - ambulance"/>
    <s v="50115063     ostatní ZPr - vaky, sety (sk.Z_528)"/>
    <x v="13"/>
    <x v="1"/>
    <n v="2.3688000000000002"/>
    <n v="2.1270584028199999"/>
  </r>
  <r>
    <s v="10"/>
    <s v="10"/>
    <s v="Dětská klinika"/>
    <x v="9"/>
    <s v="1021"/>
    <s v="ambulance"/>
    <s v="1021 - ambulance"/>
    <s v="50115063     ostatní ZPr - vaky, sety (sk.Z_528)"/>
    <x v="13"/>
    <x v="2"/>
    <n v="1.7974000000000001"/>
    <n v="2.2139403161289999"/>
  </r>
  <r>
    <s v="10"/>
    <s v="10"/>
    <s v="Dětská klinika"/>
    <x v="9"/>
    <s v="1021"/>
    <s v="ambulance"/>
    <s v="1021 - ambulance"/>
    <s v="50115064     ostatní ZPr - šicí materiál (sk.Z_529)"/>
    <x v="21"/>
    <x v="0"/>
    <n v="2.3413400000000002"/>
    <n v="0"/>
  </r>
  <r>
    <s v="10"/>
    <s v="10"/>
    <s v="Dětská klinika"/>
    <x v="9"/>
    <s v="1021"/>
    <s v="ambulance"/>
    <s v="1021 - ambulance"/>
    <s v="50115064     ostatní ZPr - šicí materiál (sk.Z_529)"/>
    <x v="21"/>
    <x v="1"/>
    <n v="0"/>
    <n v="2.2954960362870001"/>
  </r>
  <r>
    <s v="10"/>
    <s v="10"/>
    <s v="Dětská klinika"/>
    <x v="9"/>
    <s v="1021"/>
    <s v="ambulance"/>
    <s v="1021 - ambulance"/>
    <s v="50115064     ostatní ZPr - šicí materiál (sk.Z_529)"/>
    <x v="21"/>
    <x v="2"/>
    <n v="1.0314000000000001"/>
    <n v="0"/>
  </r>
  <r>
    <s v="10"/>
    <s v="10"/>
    <s v="Dětská klinika"/>
    <x v="9"/>
    <s v="1021"/>
    <s v="ambulance"/>
    <s v="1021 - ambulance"/>
    <s v="50115065     ostatní ZPr - vpichovací materiál (sk.Z_530)"/>
    <x v="14"/>
    <x v="0"/>
    <n v="8.1114000000000015"/>
    <n v="8.6531408844219992"/>
  </r>
  <r>
    <s v="10"/>
    <s v="10"/>
    <s v="Dětská klinika"/>
    <x v="9"/>
    <s v="1021"/>
    <s v="ambulance"/>
    <s v="1021 - ambulance"/>
    <s v="50115065     ostatní ZPr - vpichovací materiál (sk.Z_530)"/>
    <x v="14"/>
    <x v="1"/>
    <n v="11.45966"/>
    <n v="12.320803076299001"/>
  </r>
  <r>
    <s v="10"/>
    <s v="10"/>
    <s v="Dětská klinika"/>
    <x v="9"/>
    <s v="1021"/>
    <s v="ambulance"/>
    <s v="1021 - ambulance"/>
    <s v="50115065     ostatní ZPr - vpichovací materiál (sk.Z_530)"/>
    <x v="14"/>
    <x v="2"/>
    <n v="6.75"/>
    <n v="11.862358462208"/>
  </r>
  <r>
    <s v="10"/>
    <s v="10"/>
    <s v="Dětská klinika"/>
    <x v="9"/>
    <s v="1021"/>
    <s v="ambulance"/>
    <s v="1021 - ambulance"/>
    <s v="50115067     ostatní ZPr - rukavice (sk.Z_532)"/>
    <x v="15"/>
    <x v="0"/>
    <n v="10.268699999999001"/>
    <n v="10.688942012482"/>
  </r>
  <r>
    <s v="10"/>
    <s v="10"/>
    <s v="Dětská klinika"/>
    <x v="9"/>
    <s v="1021"/>
    <s v="ambulance"/>
    <s v="1021 - ambulance"/>
    <s v="50115067     ostatní ZPr - rukavice (sk.Z_532)"/>
    <x v="15"/>
    <x v="1"/>
    <n v="12.841839999999999"/>
    <n v="11.414007586689999"/>
  </r>
  <r>
    <s v="10"/>
    <s v="10"/>
    <s v="Dětská klinika"/>
    <x v="9"/>
    <s v="1021"/>
    <s v="ambulance"/>
    <s v="1021 - ambulance"/>
    <s v="50115067     ostatní ZPr - rukavice (sk.Z_532)"/>
    <x v="15"/>
    <x v="2"/>
    <n v="8.9499999999999993"/>
    <n v="11.999999622029"/>
  </r>
  <r>
    <s v="10"/>
    <s v="10"/>
    <s v="Dětská klinika"/>
    <x v="9"/>
    <s v="1021"/>
    <s v="ambulance"/>
    <s v="1021 - ambulance"/>
    <s v="50115070     ostatní ZPr - katetry (sk.Z_513)"/>
    <x v="16"/>
    <x v="0"/>
    <n v="35.5017"/>
    <n v="0"/>
  </r>
  <r>
    <s v="10"/>
    <s v="10"/>
    <s v="Dětská klinika"/>
    <x v="9"/>
    <s v="1021"/>
    <s v="ambulance"/>
    <s v="1021 - ambulance"/>
    <s v="50115070     ostatní ZPr - katetry (sk.Z_513)"/>
    <x v="16"/>
    <x v="1"/>
    <n v="17.34656"/>
    <n v="35.501533179813002"/>
  </r>
  <r>
    <s v="10"/>
    <s v="10"/>
    <s v="Dětská klinika"/>
    <x v="9"/>
    <s v="1021"/>
    <s v="ambulance"/>
    <s v="1021 - ambulance"/>
    <s v="50115070     ostatní ZPr - katetry (sk.Z_513)"/>
    <x v="16"/>
    <x v="2"/>
    <n v="17.347000000000001"/>
    <n v="57.244873601217002"/>
  </r>
  <r>
    <s v="10"/>
    <s v="10"/>
    <s v="Dětská klinika"/>
    <x v="9"/>
    <s v="1021"/>
    <s v="ambulance"/>
    <s v="1021 - ambulance"/>
    <s v="50115079     ostatní ZPr - intenzivní péče (sk.Z_542)"/>
    <x v="18"/>
    <x v="2"/>
    <n v="4.4981999999999998"/>
    <n v="0"/>
  </r>
  <r>
    <s v="10"/>
    <s v="10"/>
    <s v="Dětská klinika"/>
    <x v="9"/>
    <s v="1021"/>
    <s v="ambulance"/>
    <s v="1021 - ambulance"/>
    <s v="50115080     ostatní ZPr - staplery, extraktory (sk.Z_523)"/>
    <x v="30"/>
    <x v="2"/>
    <n v="72.599999999999994"/>
    <n v="72.599999999999994"/>
  </r>
  <r>
    <s v="10"/>
    <s v="10"/>
    <s v="Dětská klinika"/>
    <x v="9"/>
    <s v="1022"/>
    <s v="LSPP dětská"/>
    <s v="1022 - LSPP dětská"/>
    <s v="50113     Léky a léčiva"/>
    <x v="2"/>
    <x v="0"/>
    <n v="22.575930000000003"/>
    <n v="72.710658728569001"/>
  </r>
  <r>
    <s v="10"/>
    <s v="10"/>
    <s v="Dětská klinika"/>
    <x v="9"/>
    <s v="1022"/>
    <s v="LSPP dětská"/>
    <s v="1022 - LSPP dětská"/>
    <s v="50113     Léky a léčiva"/>
    <x v="2"/>
    <x v="1"/>
    <n v="20.821810000000003"/>
    <n v="22.588291432319"/>
  </r>
  <r>
    <s v="10"/>
    <s v="10"/>
    <s v="Dětská klinika"/>
    <x v="9"/>
    <s v="1022"/>
    <s v="LSPP dětská"/>
    <s v="1022 - LSPP dětská"/>
    <s v="50113     Léky a léčiva"/>
    <x v="2"/>
    <x v="2"/>
    <n v="17.05387"/>
    <n v="22.750379107234"/>
  </r>
  <r>
    <s v="10"/>
    <s v="10"/>
    <s v="Dětská klinika"/>
    <x v="9"/>
    <s v="1022"/>
    <s v="LSPP dětská"/>
    <s v="1022 - LSPP dětská"/>
    <s v="50113001     léky - paušál+TISS (LEK)"/>
    <x v="3"/>
    <x v="0"/>
    <n v="21.561720000000001"/>
    <n v="71.255814253625999"/>
  </r>
  <r>
    <s v="10"/>
    <s v="10"/>
    <s v="Dětská klinika"/>
    <x v="9"/>
    <s v="1022"/>
    <s v="LSPP dětská"/>
    <s v="1022 - LSPP dětská"/>
    <s v="50113001     léky - paušál+TISS (LEK)"/>
    <x v="3"/>
    <x v="1"/>
    <n v="20.063360000000003"/>
    <n v="21.561750206433"/>
  </r>
  <r>
    <s v="10"/>
    <s v="10"/>
    <s v="Dětská klinika"/>
    <x v="9"/>
    <s v="1022"/>
    <s v="LSPP dětská"/>
    <s v="1022 - LSPP dětská"/>
    <s v="50113001     léky - paušál+TISS (LEK)"/>
    <x v="3"/>
    <x v="2"/>
    <n v="14.2471"/>
    <n v="22.441184041962"/>
  </r>
  <r>
    <s v="10"/>
    <s v="10"/>
    <s v="Dětská klinika"/>
    <x v="9"/>
    <s v="1022"/>
    <s v="LSPP dětská"/>
    <s v="1022 - LSPP dětská"/>
    <s v="50113013     léky (paušál) - antibiotika (LEK)"/>
    <x v="7"/>
    <x v="0"/>
    <n v="1.0142100000000001"/>
    <n v="1.4548444749430001"/>
  </r>
  <r>
    <s v="10"/>
    <s v="10"/>
    <s v="Dětská klinika"/>
    <x v="9"/>
    <s v="1022"/>
    <s v="LSPP dětská"/>
    <s v="1022 - LSPP dětská"/>
    <s v="50113013     léky (paušál) - antibiotika (LEK)"/>
    <x v="7"/>
    <x v="1"/>
    <n v="0.75845000000000007"/>
    <n v="1.026541225885"/>
  </r>
  <r>
    <s v="10"/>
    <s v="10"/>
    <s v="Dětská klinika"/>
    <x v="9"/>
    <s v="1022"/>
    <s v="LSPP dětská"/>
    <s v="1022 - LSPP dětská"/>
    <s v="50113013     léky (paušál) - antibiotika (LEK)"/>
    <x v="7"/>
    <x v="2"/>
    <n v="2.8067700000000002"/>
    <n v="0.30919506527099999"/>
  </r>
  <r>
    <s v="10"/>
    <s v="10"/>
    <s v="Dětská klinika"/>
    <x v="9"/>
    <s v="1022"/>
    <s v="LSPP dětská"/>
    <s v="1022 - LSPP dětská"/>
    <s v="50115     Zdravotnické prostředky"/>
    <x v="0"/>
    <x v="0"/>
    <n v="81.765469999999013"/>
    <n v="80.441478139870995"/>
  </r>
  <r>
    <s v="10"/>
    <s v="10"/>
    <s v="Dětská klinika"/>
    <x v="9"/>
    <s v="1022"/>
    <s v="LSPP dětská"/>
    <s v="1022 - LSPP dětská"/>
    <s v="50115     Zdravotnické prostředky"/>
    <x v="0"/>
    <x v="1"/>
    <n v="64.850970000000004"/>
    <n v="81.843998021645007"/>
  </r>
  <r>
    <s v="10"/>
    <s v="10"/>
    <s v="Dětská klinika"/>
    <x v="9"/>
    <s v="1022"/>
    <s v="LSPP dětská"/>
    <s v="1022 - LSPP dětská"/>
    <s v="50115     Zdravotnické prostředky"/>
    <x v="0"/>
    <x v="2"/>
    <n v="44.411360000000002"/>
    <n v="133.00236298590201"/>
  </r>
  <r>
    <s v="10"/>
    <s v="10"/>
    <s v="Dětská klinika"/>
    <x v="9"/>
    <s v="1022"/>
    <s v="LSPP dětská"/>
    <s v="1022 - LSPP dětská"/>
    <s v="50115020     diagnostika laboratorní-LEK (sk.Z_501)"/>
    <x v="10"/>
    <x v="0"/>
    <n v="38.315080000000002"/>
    <n v="41.355015935231002"/>
  </r>
  <r>
    <s v="10"/>
    <s v="10"/>
    <s v="Dětská klinika"/>
    <x v="9"/>
    <s v="1022"/>
    <s v="LSPP dětská"/>
    <s v="1022 - LSPP dětská"/>
    <s v="50115020     diagnostika laboratorní-LEK (sk.Z_501)"/>
    <x v="10"/>
    <x v="1"/>
    <n v="21.191369999999999"/>
    <n v="38.315039418513003"/>
  </r>
  <r>
    <s v="10"/>
    <s v="10"/>
    <s v="Dětská klinika"/>
    <x v="9"/>
    <s v="1022"/>
    <s v="LSPP dětská"/>
    <s v="1022 - LSPP dětská"/>
    <s v="50115020     diagnostika laboratorní-LEK (sk.Z_501)"/>
    <x v="10"/>
    <x v="2"/>
    <n v="7.5440099999999992"/>
    <n v="87.999997228213005"/>
  </r>
  <r>
    <s v="10"/>
    <s v="10"/>
    <s v="Dětská klinika"/>
    <x v="9"/>
    <s v="1022"/>
    <s v="LSPP dětská"/>
    <s v="1022 - LSPP dětská"/>
    <s v="50115040     laboratorní materiál (sk.Z_505)"/>
    <x v="11"/>
    <x v="0"/>
    <n v="0.10163999999999999"/>
    <n v="0"/>
  </r>
  <r>
    <s v="10"/>
    <s v="10"/>
    <s v="Dětská klinika"/>
    <x v="9"/>
    <s v="1022"/>
    <s v="LSPP dětská"/>
    <s v="1022 - LSPP dětská"/>
    <s v="50115040     laboratorní materiál (sk.Z_505)"/>
    <x v="11"/>
    <x v="1"/>
    <n v="0"/>
    <n v="0.102163490717"/>
  </r>
  <r>
    <s v="10"/>
    <s v="10"/>
    <s v="Dětská klinika"/>
    <x v="9"/>
    <s v="1022"/>
    <s v="LSPP dětská"/>
    <s v="1022 - LSPP dětská"/>
    <s v="50115050     obvazový materiál (sk.Z_502)"/>
    <x v="12"/>
    <x v="0"/>
    <n v="6.1013299999999999"/>
    <n v="7.6581302356499998"/>
  </r>
  <r>
    <s v="10"/>
    <s v="10"/>
    <s v="Dětská klinika"/>
    <x v="9"/>
    <s v="1022"/>
    <s v="LSPP dětská"/>
    <s v="1022 - LSPP dětská"/>
    <s v="50115050     obvazový materiál (sk.Z_502)"/>
    <x v="12"/>
    <x v="1"/>
    <n v="6.3408700000000007"/>
    <n v="6.1152047384149997"/>
  </r>
  <r>
    <s v="10"/>
    <s v="10"/>
    <s v="Dětská klinika"/>
    <x v="9"/>
    <s v="1022"/>
    <s v="LSPP dětská"/>
    <s v="1022 - LSPP dětská"/>
    <s v="50115050     obvazový materiál (sk.Z_502)"/>
    <x v="12"/>
    <x v="2"/>
    <n v="7.6241800000000008"/>
    <n v="6.5013311118150003"/>
  </r>
  <r>
    <s v="10"/>
    <s v="10"/>
    <s v="Dětská klinika"/>
    <x v="9"/>
    <s v="1022"/>
    <s v="LSPP dětská"/>
    <s v="1022 - LSPP dětská"/>
    <s v="50115060     ostatní ZPr - mimo níže uvedené (sk.Z_503)"/>
    <x v="1"/>
    <x v="0"/>
    <n v="32.016920000000006"/>
    <n v="23.827373869479"/>
  </r>
  <r>
    <s v="10"/>
    <s v="10"/>
    <s v="Dětská klinika"/>
    <x v="9"/>
    <s v="1022"/>
    <s v="LSPP dětská"/>
    <s v="1022 - LSPP dětská"/>
    <s v="50115060     ostatní ZPr - mimo níže uvedené (sk.Z_503)"/>
    <x v="1"/>
    <x v="1"/>
    <n v="28.893730000000001"/>
    <n v="32.016678805649001"/>
  </r>
  <r>
    <s v="10"/>
    <s v="10"/>
    <s v="Dětská klinika"/>
    <x v="9"/>
    <s v="1022"/>
    <s v="LSPP dětská"/>
    <s v="1022 - LSPP dětská"/>
    <s v="50115060     ostatní ZPr - mimo níže uvedené (sk.Z_503)"/>
    <x v="1"/>
    <x v="2"/>
    <n v="15.250800000000002"/>
    <n v="29.191764822203002"/>
  </r>
  <r>
    <s v="10"/>
    <s v="10"/>
    <s v="Dětská klinika"/>
    <x v="9"/>
    <s v="1022"/>
    <s v="LSPP dětská"/>
    <s v="1022 - LSPP dětská"/>
    <s v="50115063     ostatní ZPr - vaky, sety (sk.Z_528)"/>
    <x v="13"/>
    <x v="0"/>
    <n v="0.40550000000000003"/>
    <n v="0"/>
  </r>
  <r>
    <s v="10"/>
    <s v="10"/>
    <s v="Dětská klinika"/>
    <x v="9"/>
    <s v="1022"/>
    <s v="LSPP dětská"/>
    <s v="1022 - LSPP dětská"/>
    <s v="50115063     ostatní ZPr - vaky, sety (sk.Z_528)"/>
    <x v="13"/>
    <x v="1"/>
    <n v="0"/>
    <n v="0.39723768357299999"/>
  </r>
  <r>
    <s v="10"/>
    <s v="10"/>
    <s v="Dětská klinika"/>
    <x v="9"/>
    <s v="1022"/>
    <s v="LSPP dětská"/>
    <s v="1022 - LSPP dětská"/>
    <s v="50115065     ostatní ZPr - vpichovací materiál (sk.Z_530)"/>
    <x v="14"/>
    <x v="0"/>
    <n v="0.37700000000000011"/>
    <n v="0.95009885242400005"/>
  </r>
  <r>
    <s v="10"/>
    <s v="10"/>
    <s v="Dětská klinika"/>
    <x v="9"/>
    <s v="1022"/>
    <s v="LSPP dětská"/>
    <s v="1022 - LSPP dětská"/>
    <s v="50115065     ostatní ZPr - vpichovací materiál (sk.Z_530)"/>
    <x v="14"/>
    <x v="1"/>
    <n v="2.9330000000000003"/>
    <n v="0.38673254355300002"/>
  </r>
  <r>
    <s v="10"/>
    <s v="10"/>
    <s v="Dětská klinika"/>
    <x v="9"/>
    <s v="1022"/>
    <s v="LSPP dětská"/>
    <s v="1022 - LSPP dětská"/>
    <s v="50115065     ostatní ZPr - vpichovací materiál (sk.Z_530)"/>
    <x v="14"/>
    <x v="2"/>
    <n v="2.9570000000000003"/>
    <n v="4.0937453721689998"/>
  </r>
  <r>
    <s v="10"/>
    <s v="10"/>
    <s v="Dětská klinika"/>
    <x v="9"/>
    <s v="1022"/>
    <s v="LSPP dětská"/>
    <s v="1022 - LSPP dětská"/>
    <s v="50115067     ostatní ZPr - rukavice (sk.Z_532)"/>
    <x v="15"/>
    <x v="0"/>
    <n v="4.4480000000000004"/>
    <n v="6.650859247084"/>
  </r>
  <r>
    <s v="10"/>
    <s v="10"/>
    <s v="Dětská klinika"/>
    <x v="9"/>
    <s v="1022"/>
    <s v="LSPP dětská"/>
    <s v="1022 - LSPP dětská"/>
    <s v="50115067     ostatní ZPr - rukavice (sk.Z_532)"/>
    <x v="15"/>
    <x v="1"/>
    <n v="5.492"/>
    <n v="4.5109413412229999"/>
  </r>
  <r>
    <s v="10"/>
    <s v="10"/>
    <s v="Dětská klinika"/>
    <x v="9"/>
    <s v="1022"/>
    <s v="LSPP dětská"/>
    <s v="1022 - LSPP dětská"/>
    <s v="50115067     ostatní ZPr - rukavice (sk.Z_532)"/>
    <x v="15"/>
    <x v="2"/>
    <n v="5.2539999999999987"/>
    <n v="5.2155244514990002"/>
  </r>
  <r>
    <s v="10"/>
    <s v="10"/>
    <s v="Dětská klinika"/>
    <x v="9"/>
    <s v="1022"/>
    <s v="LSPP dětská"/>
    <s v="1022 - LSPP dětská"/>
    <s v="50115079     ostatní ZPr - intenzivní péče (sk.Z_542)"/>
    <x v="18"/>
    <x v="2"/>
    <n v="5.7813700000000008"/>
    <n v="0"/>
  </r>
  <r>
    <s v="10"/>
    <s v="10"/>
    <s v="Dětská klinika"/>
    <x v="9"/>
    <s v="1023"/>
    <s v="praktický lékař pro děti a dorost"/>
    <s v="1023 - praktický lékař pro děti a dorost"/>
    <s v="50113     Léky a léčiva"/>
    <x v="2"/>
    <x v="1"/>
    <n v="0"/>
    <n v="48"/>
  </r>
  <r>
    <s v="10"/>
    <s v="10"/>
    <s v="Dětská klinika"/>
    <x v="9"/>
    <s v="1023"/>
    <s v="praktický lékař pro děti a dorost"/>
    <s v="1023 - praktický lékař pro děti a dorost"/>
    <s v="50113     Léky a léčiva"/>
    <x v="2"/>
    <x v="2"/>
    <n v="142.81874999999999"/>
    <n v="250"/>
  </r>
  <r>
    <s v="10"/>
    <s v="10"/>
    <s v="Dětská klinika"/>
    <x v="9"/>
    <s v="1023"/>
    <s v="praktický lékař pro děti a dorost"/>
    <s v="1023 - praktický lékař pro děti a dorost"/>
    <s v="50113001     léky - paušál+TISS (LEK)"/>
    <x v="3"/>
    <x v="1"/>
    <n v="0"/>
    <n v="48"/>
  </r>
  <r>
    <s v="10"/>
    <s v="10"/>
    <s v="Dětská klinika"/>
    <x v="9"/>
    <s v="1023"/>
    <s v="praktický lékař pro děti a dorost"/>
    <s v="1023 - praktický lékař pro děti a dorost"/>
    <s v="50113001     léky - paušál+TISS (LEK)"/>
    <x v="3"/>
    <x v="2"/>
    <n v="142.81874999999999"/>
    <n v="250"/>
  </r>
  <r>
    <s v="10"/>
    <s v="10"/>
    <s v="Dětská klinika"/>
    <x v="9"/>
    <s v="1023"/>
    <s v="praktický lékař pro děti a dorost"/>
    <s v="1023 - praktický lékař pro děti a dorost"/>
    <s v="50115     Zdravotnické prostředky"/>
    <x v="0"/>
    <x v="1"/>
    <n v="20.44247"/>
    <n v="24"/>
  </r>
  <r>
    <s v="10"/>
    <s v="10"/>
    <s v="Dětská klinika"/>
    <x v="9"/>
    <s v="1023"/>
    <s v="praktický lékař pro děti a dorost"/>
    <s v="1023 - praktický lékař pro děti a dorost"/>
    <s v="50115     Zdravotnické prostředky"/>
    <x v="0"/>
    <x v="2"/>
    <n v="35.160550000000001"/>
    <n v="85.568950176661005"/>
  </r>
  <r>
    <s v="10"/>
    <s v="10"/>
    <s v="Dětská klinika"/>
    <x v="9"/>
    <s v="1023"/>
    <s v="praktický lékař pro děti a dorost"/>
    <s v="1023 - praktický lékař pro děti a dorost"/>
    <s v="50115020     diagnostika laboratorní-LEK (sk.Z_501)"/>
    <x v="10"/>
    <x v="1"/>
    <n v="1.992"/>
    <n v="2"/>
  </r>
  <r>
    <s v="10"/>
    <s v="10"/>
    <s v="Dětská klinika"/>
    <x v="9"/>
    <s v="1023"/>
    <s v="praktický lékař pro děti a dorost"/>
    <s v="1023 - praktický lékař pro děti a dorost"/>
    <s v="50115020     diagnostika laboratorní-LEK (sk.Z_501)"/>
    <x v="10"/>
    <x v="2"/>
    <n v="11.68854"/>
    <n v="54.999998267633003"/>
  </r>
  <r>
    <s v="10"/>
    <s v="10"/>
    <s v="Dětská klinika"/>
    <x v="9"/>
    <s v="1023"/>
    <s v="praktický lékař pro děti a dorost"/>
    <s v="1023 - praktický lékař pro děti a dorost"/>
    <s v="50115050     obvazový materiál (sk.Z_502)"/>
    <x v="12"/>
    <x v="1"/>
    <n v="0.69833999999999996"/>
    <n v="0"/>
  </r>
  <r>
    <s v="10"/>
    <s v="10"/>
    <s v="Dětská klinika"/>
    <x v="9"/>
    <s v="1023"/>
    <s v="praktický lékař pro děti a dorost"/>
    <s v="1023 - praktický lékař pro děti a dorost"/>
    <s v="50115050     obvazový materiál (sk.Z_502)"/>
    <x v="12"/>
    <x v="2"/>
    <n v="0.374"/>
    <n v="1.999999937004"/>
  </r>
  <r>
    <s v="10"/>
    <s v="10"/>
    <s v="Dětská klinika"/>
    <x v="9"/>
    <s v="1023"/>
    <s v="praktický lékař pro děti a dorost"/>
    <s v="1023 - praktický lékař pro děti a dorost"/>
    <s v="50115060     ostatní ZPr - mimo níže uvedené (sk.Z_503)"/>
    <x v="1"/>
    <x v="1"/>
    <n v="15.810129999999999"/>
    <n v="22"/>
  </r>
  <r>
    <s v="10"/>
    <s v="10"/>
    <s v="Dětská klinika"/>
    <x v="9"/>
    <s v="1023"/>
    <s v="praktický lékař pro děti a dorost"/>
    <s v="1023 - praktický lékař pro děti a dorost"/>
    <s v="50115060     ostatní ZPr - mimo níže uvedené (sk.Z_503)"/>
    <x v="1"/>
    <x v="2"/>
    <n v="18.728099999999998"/>
    <n v="24.999999212559999"/>
  </r>
  <r>
    <s v="10"/>
    <s v="10"/>
    <s v="Dětská klinika"/>
    <x v="9"/>
    <s v="1023"/>
    <s v="praktický lékař pro děti a dorost"/>
    <s v="1023 - praktický lékař pro děti a dorost"/>
    <s v="50115065     ostatní ZPr - vpichovací materiál (sk.Z_530)"/>
    <x v="14"/>
    <x v="1"/>
    <n v="0.52200000000000002"/>
    <n v="0"/>
  </r>
  <r>
    <s v="10"/>
    <s v="10"/>
    <s v="Dětská klinika"/>
    <x v="9"/>
    <s v="1023"/>
    <s v="praktický lékař pro děti a dorost"/>
    <s v="1023 - praktický lékař pro děti a dorost"/>
    <s v="50115065     ostatní ZPr - vpichovací materiál (sk.Z_530)"/>
    <x v="14"/>
    <x v="2"/>
    <n v="9.7000000000000003E-2"/>
    <n v="0.56895285395499995"/>
  </r>
  <r>
    <s v="10"/>
    <s v="10"/>
    <s v="Dětská klinika"/>
    <x v="9"/>
    <s v="1023"/>
    <s v="praktický lékař pro děti a dorost"/>
    <s v="1023 - praktický lékař pro děti a dorost"/>
    <s v="50115067     ostatní ZPr - rukavice (sk.Z_532)"/>
    <x v="15"/>
    <x v="1"/>
    <n v="1.42"/>
    <n v="0"/>
  </r>
  <r>
    <s v="10"/>
    <s v="10"/>
    <s v="Dětská klinika"/>
    <x v="9"/>
    <s v="1023"/>
    <s v="praktický lékař pro děti a dorost"/>
    <s v="1023 - praktický lékař pro děti a dorost"/>
    <s v="50115067     ostatní ZPr - rukavice (sk.Z_532)"/>
    <x v="15"/>
    <x v="2"/>
    <n v="3.55"/>
    <n v="2.9999999055069999"/>
  </r>
  <r>
    <s v="10"/>
    <s v="10"/>
    <s v="Dětská klinika"/>
    <x v="9"/>
    <s v="1023"/>
    <s v="praktický lékař pro děti a dorost"/>
    <s v="1023 - praktický lékař pro děti a dorost"/>
    <s v="50115079     ostatní ZPr - intenzivní péče (sk.Z_542)"/>
    <x v="18"/>
    <x v="2"/>
    <n v="0.72291000000000005"/>
    <n v="0"/>
  </r>
  <r>
    <s v="10"/>
    <s v="10"/>
    <s v="Dětská klinika"/>
    <x v="9"/>
    <s v="1031"/>
    <s v="JIP 21B"/>
    <s v="1031 - JIP 21B"/>
    <s v="50113     Léky a léčiva"/>
    <x v="2"/>
    <x v="0"/>
    <n v="9939.3633600000085"/>
    <n v="7628.0257312387503"/>
  </r>
  <r>
    <s v="10"/>
    <s v="10"/>
    <s v="Dětská klinika"/>
    <x v="9"/>
    <s v="1031"/>
    <s v="JIP 21B"/>
    <s v="1031 - JIP 21B"/>
    <s v="50113     Léky a léčiva"/>
    <x v="2"/>
    <x v="1"/>
    <n v="5860.2240300000039"/>
    <n v="8674.6982729209794"/>
  </r>
  <r>
    <s v="10"/>
    <s v="10"/>
    <s v="Dětská klinika"/>
    <x v="9"/>
    <s v="1031"/>
    <s v="JIP 21B"/>
    <s v="1031 - JIP 21B"/>
    <s v="50113     Léky a léčiva"/>
    <x v="2"/>
    <x v="2"/>
    <n v="4522.4087900000013"/>
    <n v="6432.1188358756699"/>
  </r>
  <r>
    <s v="10"/>
    <s v="10"/>
    <s v="Dětská klinika"/>
    <x v="9"/>
    <s v="1031"/>
    <s v="JIP 21B"/>
    <s v="1031 - JIP 21B"/>
    <s v="50113001     léky - paušál+TISS (LEK)"/>
    <x v="3"/>
    <x v="0"/>
    <n v="4193.8071399999999"/>
    <n v="4095.4681217432499"/>
  </r>
  <r>
    <s v="10"/>
    <s v="10"/>
    <s v="Dětská klinika"/>
    <x v="9"/>
    <s v="1031"/>
    <s v="JIP 21B"/>
    <s v="1031 - JIP 21B"/>
    <s v="50113001     léky - paušál+TISS (LEK)"/>
    <x v="3"/>
    <x v="1"/>
    <n v="1795.030480000001"/>
    <n v="3997.7251063952999"/>
  </r>
  <r>
    <s v="10"/>
    <s v="10"/>
    <s v="Dětská klinika"/>
    <x v="9"/>
    <s v="1031"/>
    <s v="JIP 21B"/>
    <s v="1031 - JIP 21B"/>
    <s v="50113001     léky - paušál+TISS (LEK)"/>
    <x v="3"/>
    <x v="2"/>
    <n v="2287.4312200000008"/>
    <n v="1642.97917769633"/>
  </r>
  <r>
    <s v="10"/>
    <s v="10"/>
    <s v="Dětská klinika"/>
    <x v="9"/>
    <s v="1031"/>
    <s v="JIP 21B"/>
    <s v="1031 - JIP 21B"/>
    <s v="50113002     léky - parenterální výživa (LEK)"/>
    <x v="17"/>
    <x v="2"/>
    <n v="90.3339"/>
    <n v="120"/>
  </r>
  <r>
    <s v="10"/>
    <s v="10"/>
    <s v="Dětská klinika"/>
    <x v="9"/>
    <s v="1031"/>
    <s v="JIP 21B"/>
    <s v="1031 - JIP 21B"/>
    <s v="50113006     léky - enterální výživa (LEK)"/>
    <x v="4"/>
    <x v="0"/>
    <n v="158.45711999999997"/>
    <n v="137"/>
  </r>
  <r>
    <s v="10"/>
    <s v="10"/>
    <s v="Dětská klinika"/>
    <x v="9"/>
    <s v="1031"/>
    <s v="JIP 21B"/>
    <s v="1031 - JIP 21B"/>
    <s v="50113006     léky - enterální výživa (LEK)"/>
    <x v="4"/>
    <x v="1"/>
    <n v="110.53340999999999"/>
    <n v="158.220382707087"/>
  </r>
  <r>
    <s v="10"/>
    <s v="10"/>
    <s v="Dětská klinika"/>
    <x v="9"/>
    <s v="1031"/>
    <s v="JIP 21B"/>
    <s v="1031 - JIP 21B"/>
    <s v="50113006     léky - enterální výživa (LEK)"/>
    <x v="4"/>
    <x v="2"/>
    <n v="40.749970000000005"/>
    <n v="21"/>
  </r>
  <r>
    <s v="10"/>
    <s v="10"/>
    <s v="Dětská klinika"/>
    <x v="9"/>
    <s v="1031"/>
    <s v="JIP 21B"/>
    <s v="1031 - JIP 21B"/>
    <s v="50113007     léky - krev.deriváty ZUL (LEK)"/>
    <x v="45"/>
    <x v="0"/>
    <n v="0"/>
    <n v="9.9987686441979999"/>
  </r>
  <r>
    <s v="10"/>
    <s v="10"/>
    <s v="Dětská klinika"/>
    <x v="9"/>
    <s v="1031"/>
    <s v="JIP 21B"/>
    <s v="1031 - JIP 21B"/>
    <s v="50113007     léky - krev.deriváty ZUL (LEK)"/>
    <x v="45"/>
    <x v="2"/>
    <n v="122.76137"/>
    <n v="0"/>
  </r>
  <r>
    <s v="10"/>
    <s v="10"/>
    <s v="Dětská klinika"/>
    <x v="9"/>
    <s v="1031"/>
    <s v="JIP 21B"/>
    <s v="1031 - JIP 21B"/>
    <s v="50113008     léky - krev.deriváty ZUL (TO)"/>
    <x v="5"/>
    <x v="0"/>
    <n v="1509.9292999999991"/>
    <n v="790.63935888803098"/>
  </r>
  <r>
    <s v="10"/>
    <s v="10"/>
    <s v="Dětská klinika"/>
    <x v="9"/>
    <s v="1031"/>
    <s v="JIP 21B"/>
    <s v="1031 - JIP 21B"/>
    <s v="50113008     léky - krev.deriváty ZUL (TO)"/>
    <x v="5"/>
    <x v="1"/>
    <n v="1630.3922100000009"/>
    <n v="1510.0132588092799"/>
  </r>
  <r>
    <s v="10"/>
    <s v="10"/>
    <s v="Dětská klinika"/>
    <x v="9"/>
    <s v="1031"/>
    <s v="JIP 21B"/>
    <s v="1031 - JIP 21B"/>
    <s v="50113008     léky - krev.deriváty ZUL (TO)"/>
    <x v="5"/>
    <x v="2"/>
    <n v="810.07574"/>
    <n v="1686.36536284364"/>
  </r>
  <r>
    <s v="10"/>
    <s v="10"/>
    <s v="Dětská klinika"/>
    <x v="9"/>
    <s v="1031"/>
    <s v="JIP 21B"/>
    <s v="1031 - JIP 21B"/>
    <s v="50113011     léky - hemofilici ZUL (TO)"/>
    <x v="6"/>
    <x v="0"/>
    <n v="163.09300000000002"/>
    <n v="99.999555115183995"/>
  </r>
  <r>
    <s v="10"/>
    <s v="10"/>
    <s v="Dětská klinika"/>
    <x v="9"/>
    <s v="1031"/>
    <s v="JIP 21B"/>
    <s v="1031 - JIP 21B"/>
    <s v="50113011     léky - hemofilici ZUL (TO)"/>
    <x v="6"/>
    <x v="1"/>
    <n v="192.37200000000001"/>
    <n v="162.99999999999699"/>
  </r>
  <r>
    <s v="10"/>
    <s v="10"/>
    <s v="Dětská klinika"/>
    <x v="9"/>
    <s v="1031"/>
    <s v="JIP 21B"/>
    <s v="1031 - JIP 21B"/>
    <s v="50113011     léky - hemofilici ZUL (TO)"/>
    <x v="6"/>
    <x v="2"/>
    <n v="148.54300000000001"/>
    <n v="221.457515134842"/>
  </r>
  <r>
    <s v="10"/>
    <s v="10"/>
    <s v="Dětská klinika"/>
    <x v="9"/>
    <s v="1031"/>
    <s v="JIP 21B"/>
    <s v="1031 - JIP 21B"/>
    <s v="50113012     léky - trombolýza (LEK)"/>
    <x v="19"/>
    <x v="0"/>
    <n v="5.5452300000000001"/>
    <n v="10.796938544915999"/>
  </r>
  <r>
    <s v="10"/>
    <s v="10"/>
    <s v="Dětská klinika"/>
    <x v="9"/>
    <s v="1031"/>
    <s v="JIP 21B"/>
    <s v="1031 - JIP 21B"/>
    <s v="50113012     léky - trombolýza (LEK)"/>
    <x v="19"/>
    <x v="1"/>
    <n v="15.1707"/>
    <n v="5.5821328901219998"/>
  </r>
  <r>
    <s v="10"/>
    <s v="10"/>
    <s v="Dětská klinika"/>
    <x v="9"/>
    <s v="1031"/>
    <s v="JIP 21B"/>
    <s v="1031 - JIP 21B"/>
    <s v="50113012     léky - trombolýza (LEK)"/>
    <x v="19"/>
    <x v="2"/>
    <n v="0"/>
    <n v="9.9383982523570005"/>
  </r>
  <r>
    <s v="10"/>
    <s v="10"/>
    <s v="Dětská klinika"/>
    <x v="9"/>
    <s v="1031"/>
    <s v="JIP 21B"/>
    <s v="1031 - JIP 21B"/>
    <s v="50113013     léky (paušál) - antibiotika (LEK)"/>
    <x v="7"/>
    <x v="0"/>
    <n v="550.91949999999997"/>
    <n v="424.03195191277001"/>
  </r>
  <r>
    <s v="10"/>
    <s v="10"/>
    <s v="Dětská klinika"/>
    <x v="9"/>
    <s v="1031"/>
    <s v="JIP 21B"/>
    <s v="1031 - JIP 21B"/>
    <s v="50113013     léky (paušál) - antibiotika (LEK)"/>
    <x v="7"/>
    <x v="1"/>
    <n v="227.70943"/>
    <n v="306.97048841588003"/>
  </r>
  <r>
    <s v="10"/>
    <s v="10"/>
    <s v="Dětská klinika"/>
    <x v="9"/>
    <s v="1031"/>
    <s v="JIP 21B"/>
    <s v="1031 - JIP 21B"/>
    <s v="50113013     léky (paušál) - antibiotika (LEK)"/>
    <x v="7"/>
    <x v="2"/>
    <n v="156.93339999999998"/>
    <n v="221.28347838674799"/>
  </r>
  <r>
    <s v="10"/>
    <s v="10"/>
    <s v="Dětská klinika"/>
    <x v="9"/>
    <s v="1031"/>
    <s v="JIP 21B"/>
    <s v="1031 - JIP 21B"/>
    <s v="50113014     léky (paušál) - antimykotika (LEK)"/>
    <x v="8"/>
    <x v="0"/>
    <n v="3296.6282400000027"/>
    <n v="1997.8830339368001"/>
  </r>
  <r>
    <s v="10"/>
    <s v="10"/>
    <s v="Dětská klinika"/>
    <x v="9"/>
    <s v="1031"/>
    <s v="JIP 21B"/>
    <s v="1031 - JIP 21B"/>
    <s v="50113014     léky (paušál) - antimykotika (LEK)"/>
    <x v="8"/>
    <x v="1"/>
    <n v="1827.690880000001"/>
    <n v="2474.8423815821502"/>
  </r>
  <r>
    <s v="10"/>
    <s v="10"/>
    <s v="Dětská klinika"/>
    <x v="9"/>
    <s v="1031"/>
    <s v="JIP 21B"/>
    <s v="1031 - JIP 21B"/>
    <s v="50113014     léky (paušál) - antimykotika (LEK)"/>
    <x v="8"/>
    <x v="2"/>
    <n v="821.80133999999998"/>
    <n v="2445.0177265126999"/>
  </r>
  <r>
    <s v="10"/>
    <s v="10"/>
    <s v="Dětská klinika"/>
    <x v="9"/>
    <s v="1031"/>
    <s v="JIP 21B"/>
    <s v="1031 - JIP 21B"/>
    <s v="50113190     medicinální plyny"/>
    <x v="9"/>
    <x v="0"/>
    <n v="60.983829999998996"/>
    <n v="62.208002453601999"/>
  </r>
  <r>
    <s v="10"/>
    <s v="10"/>
    <s v="Dětská klinika"/>
    <x v="9"/>
    <s v="1031"/>
    <s v="JIP 21B"/>
    <s v="1031 - JIP 21B"/>
    <s v="50113190     medicinální plyny"/>
    <x v="9"/>
    <x v="1"/>
    <n v="61.324919999999999"/>
    <n v="58.344522121155002"/>
  </r>
  <r>
    <s v="10"/>
    <s v="10"/>
    <s v="Dětská klinika"/>
    <x v="9"/>
    <s v="1031"/>
    <s v="JIP 21B"/>
    <s v="1031 - JIP 21B"/>
    <s v="50113190     medicinální plyny"/>
    <x v="9"/>
    <x v="2"/>
    <n v="43.778849999999998"/>
    <n v="64.077177049054995"/>
  </r>
  <r>
    <s v="10"/>
    <s v="10"/>
    <s v="Dětská klinika"/>
    <x v="9"/>
    <s v="1031"/>
    <s v="JIP 21B"/>
    <s v="1031 - JIP 21B"/>
    <s v="50115     Zdravotnické prostředky"/>
    <x v="0"/>
    <x v="0"/>
    <n v="799.45465000000002"/>
    <n v="879.35419087481796"/>
  </r>
  <r>
    <s v="10"/>
    <s v="10"/>
    <s v="Dětská klinika"/>
    <x v="9"/>
    <s v="1031"/>
    <s v="JIP 21B"/>
    <s v="1031 - JIP 21B"/>
    <s v="50115     Zdravotnické prostředky"/>
    <x v="0"/>
    <x v="1"/>
    <n v="735.86156000000005"/>
    <n v="823.39960161099305"/>
  </r>
  <r>
    <s v="10"/>
    <s v="10"/>
    <s v="Dětská klinika"/>
    <x v="9"/>
    <s v="1031"/>
    <s v="JIP 21B"/>
    <s v="1031 - JIP 21B"/>
    <s v="50115     Zdravotnické prostředky"/>
    <x v="0"/>
    <x v="2"/>
    <n v="628.54659000000004"/>
    <n v="711.20694120340795"/>
  </r>
  <r>
    <s v="10"/>
    <s v="10"/>
    <s v="Dětská klinika"/>
    <x v="9"/>
    <s v="1031"/>
    <s v="JIP 21B"/>
    <s v="1031 - JIP 21B"/>
    <s v="50115020     diagnostika laboratorní-LEK (sk.Z_501)"/>
    <x v="10"/>
    <x v="0"/>
    <n v="67.852349999999007"/>
    <n v="54.192858673404999"/>
  </r>
  <r>
    <s v="10"/>
    <s v="10"/>
    <s v="Dětská klinika"/>
    <x v="9"/>
    <s v="1031"/>
    <s v="JIP 21B"/>
    <s v="1031 - JIP 21B"/>
    <s v="50115020     diagnostika laboratorní-LEK (sk.Z_501)"/>
    <x v="10"/>
    <x v="1"/>
    <n v="50.602609999999991"/>
    <n v="68.852288087386995"/>
  </r>
  <r>
    <s v="10"/>
    <s v="10"/>
    <s v="Dětská klinika"/>
    <x v="9"/>
    <s v="1031"/>
    <s v="JIP 21B"/>
    <s v="1031 - JIP 21B"/>
    <s v="50115020     diagnostika laboratorní-LEK (sk.Z_501)"/>
    <x v="10"/>
    <x v="2"/>
    <n v="49.493559999999995"/>
    <n v="76.999997574686006"/>
  </r>
  <r>
    <s v="10"/>
    <s v="10"/>
    <s v="Dětská klinika"/>
    <x v="9"/>
    <s v="1031"/>
    <s v="JIP 21B"/>
    <s v="1031 - JIP 21B"/>
    <s v="50115040     laboratorní materiál (sk.Z_505)"/>
    <x v="11"/>
    <x v="0"/>
    <n v="1.502999999999"/>
    <n v="2.8498422938360002"/>
  </r>
  <r>
    <s v="10"/>
    <s v="10"/>
    <s v="Dětská klinika"/>
    <x v="9"/>
    <s v="1031"/>
    <s v="JIP 21B"/>
    <s v="1031 - JIP 21B"/>
    <s v="50115040     laboratorní materiál (sk.Z_505)"/>
    <x v="11"/>
    <x v="1"/>
    <n v="1.9768700000000001"/>
    <n v="1.510741111255"/>
  </r>
  <r>
    <s v="10"/>
    <s v="10"/>
    <s v="Dětská klinika"/>
    <x v="9"/>
    <s v="1031"/>
    <s v="JIP 21B"/>
    <s v="1031 - JIP 21B"/>
    <s v="50115040     laboratorní materiál (sk.Z_505)"/>
    <x v="11"/>
    <x v="2"/>
    <n v="1.00834"/>
    <n v="3.024407351227"/>
  </r>
  <r>
    <s v="10"/>
    <s v="10"/>
    <s v="Dětská klinika"/>
    <x v="9"/>
    <s v="1031"/>
    <s v="JIP 21B"/>
    <s v="1031 - JIP 21B"/>
    <s v="50115050     obvazový materiál (sk.Z_502)"/>
    <x v="12"/>
    <x v="0"/>
    <n v="84.812189999999006"/>
    <n v="97.832237434204004"/>
  </r>
  <r>
    <s v="10"/>
    <s v="10"/>
    <s v="Dětská klinika"/>
    <x v="9"/>
    <s v="1031"/>
    <s v="JIP 21B"/>
    <s v="1031 - JIP 21B"/>
    <s v="50115050     obvazový materiál (sk.Z_502)"/>
    <x v="12"/>
    <x v="1"/>
    <n v="86.685120000000012"/>
    <n v="105.005061592299"/>
  </r>
  <r>
    <s v="10"/>
    <s v="10"/>
    <s v="Dětská klinika"/>
    <x v="9"/>
    <s v="1031"/>
    <s v="JIP 21B"/>
    <s v="1031 - JIP 21B"/>
    <s v="50115050     obvazový materiál (sk.Z_502)"/>
    <x v="12"/>
    <x v="2"/>
    <n v="156.6891"/>
    <n v="85.207789149226997"/>
  </r>
  <r>
    <s v="10"/>
    <s v="10"/>
    <s v="Dětská klinika"/>
    <x v="9"/>
    <s v="1031"/>
    <s v="JIP 21B"/>
    <s v="1031 - JIP 21B"/>
    <s v="50115060     ostatní ZPr - mimo níže uvedené (sk.Z_503)"/>
    <x v="1"/>
    <x v="0"/>
    <n v="275.11893000000003"/>
    <n v="264.09978270311598"/>
  </r>
  <r>
    <s v="10"/>
    <s v="10"/>
    <s v="Dětská klinika"/>
    <x v="9"/>
    <s v="1031"/>
    <s v="JIP 21B"/>
    <s v="1031 - JIP 21B"/>
    <s v="50115060     ostatní ZPr - mimo níže uvedené (sk.Z_503)"/>
    <x v="1"/>
    <x v="1"/>
    <n v="292.42608999999999"/>
    <n v="275.11685743550498"/>
  </r>
  <r>
    <s v="10"/>
    <s v="10"/>
    <s v="Dětská klinika"/>
    <x v="9"/>
    <s v="1031"/>
    <s v="JIP 21B"/>
    <s v="1031 - JIP 21B"/>
    <s v="50115060     ostatní ZPr - mimo níže uvedené (sk.Z_503)"/>
    <x v="1"/>
    <x v="2"/>
    <n v="245.50237999999999"/>
    <n v="272.99999140116199"/>
  </r>
  <r>
    <s v="10"/>
    <s v="10"/>
    <s v="Dětská klinika"/>
    <x v="9"/>
    <s v="1031"/>
    <s v="JIP 21B"/>
    <s v="1031 - JIP 21B"/>
    <s v="50115063     ostatní ZPr - vaky, sety (sk.Z_528)"/>
    <x v="13"/>
    <x v="0"/>
    <n v="39.82582"/>
    <n v="39.479526451512001"/>
  </r>
  <r>
    <s v="10"/>
    <s v="10"/>
    <s v="Dětská klinika"/>
    <x v="9"/>
    <s v="1031"/>
    <s v="JIP 21B"/>
    <s v="1031 - JIP 21B"/>
    <s v="50115063     ostatní ZPr - vaky, sety (sk.Z_528)"/>
    <x v="13"/>
    <x v="1"/>
    <n v="23.986600000000003"/>
    <n v="39.014343978366"/>
  </r>
  <r>
    <s v="10"/>
    <s v="10"/>
    <s v="Dětská klinika"/>
    <x v="9"/>
    <s v="1031"/>
    <s v="JIP 21B"/>
    <s v="1031 - JIP 21B"/>
    <s v="50115063     ostatní ZPr - vaky, sety (sk.Z_528)"/>
    <x v="13"/>
    <x v="2"/>
    <n v="23.067999999999998"/>
    <n v="24.995841533901"/>
  </r>
  <r>
    <s v="10"/>
    <s v="10"/>
    <s v="Dětská klinika"/>
    <x v="9"/>
    <s v="1031"/>
    <s v="JIP 21B"/>
    <s v="1031 - JIP 21B"/>
    <s v="50115065     ostatní ZPr - vpichovací materiál (sk.Z_530)"/>
    <x v="14"/>
    <x v="0"/>
    <n v="138.97172"/>
    <n v="146.91395950571001"/>
  </r>
  <r>
    <s v="10"/>
    <s v="10"/>
    <s v="Dětská klinika"/>
    <x v="9"/>
    <s v="1031"/>
    <s v="JIP 21B"/>
    <s v="1031 - JIP 21B"/>
    <s v="50115065     ostatní ZPr - vpichovací materiál (sk.Z_530)"/>
    <x v="14"/>
    <x v="1"/>
    <n v="130.99411000000001"/>
    <n v="142.55938131997601"/>
  </r>
  <r>
    <s v="10"/>
    <s v="10"/>
    <s v="Dětská klinika"/>
    <x v="9"/>
    <s v="1031"/>
    <s v="JIP 21B"/>
    <s v="1031 - JIP 21B"/>
    <s v="50115065     ostatní ZPr - vpichovací materiál (sk.Z_530)"/>
    <x v="14"/>
    <x v="2"/>
    <n v="38.437550000000002"/>
    <n v="123.66377874721501"/>
  </r>
  <r>
    <s v="10"/>
    <s v="10"/>
    <s v="Dětská klinika"/>
    <x v="9"/>
    <s v="1031"/>
    <s v="JIP 21B"/>
    <s v="1031 - JIP 21B"/>
    <s v="50115067     ostatní ZPr - rukavice (sk.Z_532)"/>
    <x v="15"/>
    <x v="0"/>
    <n v="68.609610000000004"/>
    <n v="80.267150311482993"/>
  </r>
  <r>
    <s v="10"/>
    <s v="10"/>
    <s v="Dětská klinika"/>
    <x v="9"/>
    <s v="1031"/>
    <s v="JIP 21B"/>
    <s v="1031 - JIP 21B"/>
    <s v="50115067     ostatní ZPr - rukavice (sk.Z_532)"/>
    <x v="15"/>
    <x v="1"/>
    <n v="70.227699999999999"/>
    <n v="69.580469009485995"/>
  </r>
  <r>
    <s v="10"/>
    <s v="10"/>
    <s v="Dětská klinika"/>
    <x v="9"/>
    <s v="1031"/>
    <s v="JIP 21B"/>
    <s v="1031 - JIP 21B"/>
    <s v="50115067     ostatní ZPr - rukavice (sk.Z_532)"/>
    <x v="15"/>
    <x v="2"/>
    <n v="56.338369999999998"/>
    <n v="66.315137272846997"/>
  </r>
  <r>
    <s v="10"/>
    <s v="10"/>
    <s v="Dětská klinika"/>
    <x v="9"/>
    <s v="1031"/>
    <s v="JIP 21B"/>
    <s v="1031 - JIP 21B"/>
    <s v="50115069     ostatní ZPr - porty (sk.Z_534)"/>
    <x v="52"/>
    <x v="2"/>
    <n v="7.8411799999999996"/>
    <n v="15.999999496038001"/>
  </r>
  <r>
    <s v="10"/>
    <s v="10"/>
    <s v="Dětská klinika"/>
    <x v="9"/>
    <s v="1031"/>
    <s v="JIP 21B"/>
    <s v="1031 - JIP 21B"/>
    <s v="50115070     ostatní ZPr - katetry (sk.Z_513)"/>
    <x v="16"/>
    <x v="0"/>
    <n v="122.76103000000001"/>
    <n v="193.71883350154999"/>
  </r>
  <r>
    <s v="10"/>
    <s v="10"/>
    <s v="Dětská klinika"/>
    <x v="9"/>
    <s v="1031"/>
    <s v="JIP 21B"/>
    <s v="1031 - JIP 21B"/>
    <s v="50115070     ostatní ZPr - katetry (sk.Z_513)"/>
    <x v="16"/>
    <x v="1"/>
    <n v="78.962460000000007"/>
    <n v="121.760459076717"/>
  </r>
  <r>
    <s v="10"/>
    <s v="10"/>
    <s v="Dětská klinika"/>
    <x v="9"/>
    <s v="1031"/>
    <s v="JIP 21B"/>
    <s v="1031 - JIP 21B"/>
    <s v="50115070     ostatní ZPr - katetry (sk.Z_513)"/>
    <x v="16"/>
    <x v="2"/>
    <n v="54.315310000000004"/>
    <n v="41.999998677100997"/>
  </r>
  <r>
    <s v="10"/>
    <s v="10"/>
    <s v="Dětská klinika"/>
    <x v="9"/>
    <s v="1031"/>
    <s v="JIP 21B"/>
    <s v="1031 - JIP 21B"/>
    <s v="50115079     ostatní ZPr - intenzivní péče (sk.Z_542)"/>
    <x v="18"/>
    <x v="2"/>
    <n v="-4.1471999999999998"/>
    <n v="0"/>
  </r>
  <r>
    <s v="10"/>
    <s v="10"/>
    <s v="Dětská klinika"/>
    <x v="9"/>
    <s v="1032"/>
    <s v="JIP 21C JIPP"/>
    <s v="1032 - JIP 21C JIPP"/>
    <s v="50113     Léky a léčiva"/>
    <x v="2"/>
    <x v="0"/>
    <n v="15.198530000000002"/>
    <n v="24.149408171133999"/>
  </r>
  <r>
    <s v="10"/>
    <s v="10"/>
    <s v="Dětská klinika"/>
    <x v="9"/>
    <s v="1032"/>
    <s v="JIP 21C JIPP"/>
    <s v="1032 - JIP 21C JIPP"/>
    <s v="50113     Léky a léčiva"/>
    <x v="2"/>
    <x v="1"/>
    <n v="13.6738"/>
    <n v="15.198551292056999"/>
  </r>
  <r>
    <s v="10"/>
    <s v="10"/>
    <s v="Dětská klinika"/>
    <x v="9"/>
    <s v="1032"/>
    <s v="JIP 21C JIPP"/>
    <s v="1032 - JIP 21C JIPP"/>
    <s v="50113     Léky a léčiva"/>
    <x v="2"/>
    <x v="2"/>
    <n v="3.2708500000000003"/>
    <n v="13.838586447932"/>
  </r>
  <r>
    <s v="10"/>
    <s v="10"/>
    <s v="Dětská klinika"/>
    <x v="9"/>
    <s v="1032"/>
    <s v="JIP 21C JIPP"/>
    <s v="1032 - JIP 21C JIPP"/>
    <s v="50113001     léky - paušál+TISS (LEK)"/>
    <x v="3"/>
    <x v="0"/>
    <n v="15.198530000000002"/>
    <n v="14.15014047481"/>
  </r>
  <r>
    <s v="10"/>
    <s v="10"/>
    <s v="Dětská klinika"/>
    <x v="9"/>
    <s v="1032"/>
    <s v="JIP 21C JIPP"/>
    <s v="1032 - JIP 21C JIPP"/>
    <s v="50113001     léky - paušál+TISS (LEK)"/>
    <x v="3"/>
    <x v="1"/>
    <n v="13.6738"/>
    <n v="15.198551292056999"/>
  </r>
  <r>
    <s v="10"/>
    <s v="10"/>
    <s v="Dětská klinika"/>
    <x v="9"/>
    <s v="1032"/>
    <s v="JIP 21C JIPP"/>
    <s v="1032 - JIP 21C JIPP"/>
    <s v="50113001     léky - paušál+TISS (LEK)"/>
    <x v="3"/>
    <x v="2"/>
    <n v="3.2708500000000003"/>
    <n v="13.838586447932"/>
  </r>
  <r>
    <s v="10"/>
    <s v="10"/>
    <s v="Dětská klinika"/>
    <x v="9"/>
    <s v="1032"/>
    <s v="JIP 21C JIPP"/>
    <s v="1032 - JIP 21C JIPP"/>
    <s v="50113008     léky - krev.deriváty ZUL (TO)"/>
    <x v="5"/>
    <x v="0"/>
    <n v="0"/>
    <n v="5.8860478767510003"/>
  </r>
  <r>
    <s v="10"/>
    <s v="10"/>
    <s v="Dětská klinika"/>
    <x v="9"/>
    <s v="1032"/>
    <s v="JIP 21C JIPP"/>
    <s v="1032 - JIP 21C JIPP"/>
    <s v="50113013     léky (paušál) - antibiotika (LEK)"/>
    <x v="7"/>
    <x v="0"/>
    <n v="0"/>
    <n v="2.6863547365E-2"/>
  </r>
  <r>
    <s v="10"/>
    <s v="10"/>
    <s v="Dětská klinika"/>
    <x v="9"/>
    <s v="1032"/>
    <s v="JIP 21C JIPP"/>
    <s v="1032 - JIP 21C JIPP"/>
    <s v="50113190     medicinální plyny"/>
    <x v="9"/>
    <x v="0"/>
    <n v="0"/>
    <n v="4.0863562722060003"/>
  </r>
  <r>
    <s v="10"/>
    <s v="10"/>
    <s v="Dětská klinika"/>
    <x v="9"/>
    <s v="1032"/>
    <s v="JIP 21C JIPP"/>
    <s v="1032 - JIP 21C JIPP"/>
    <s v="50115     Zdravotnické prostředky"/>
    <x v="0"/>
    <x v="0"/>
    <n v="73.203449999998995"/>
    <n v="72.451214201781994"/>
  </r>
  <r>
    <s v="10"/>
    <s v="10"/>
    <s v="Dětská klinika"/>
    <x v="9"/>
    <s v="1032"/>
    <s v="JIP 21C JIPP"/>
    <s v="1032 - JIP 21C JIPP"/>
    <s v="50115     Zdravotnické prostředky"/>
    <x v="0"/>
    <x v="1"/>
    <n v="75.621660000000006"/>
    <n v="73.528494116193002"/>
  </r>
  <r>
    <s v="10"/>
    <s v="10"/>
    <s v="Dětská klinika"/>
    <x v="9"/>
    <s v="1032"/>
    <s v="JIP 21C JIPP"/>
    <s v="1032 - JIP 21C JIPP"/>
    <s v="50115     Zdravotnické prostředky"/>
    <x v="0"/>
    <x v="2"/>
    <n v="87.347669999999994"/>
    <n v="157.80615138752299"/>
  </r>
  <r>
    <s v="10"/>
    <s v="10"/>
    <s v="Dětská klinika"/>
    <x v="9"/>
    <s v="1032"/>
    <s v="JIP 21C JIPP"/>
    <s v="1032 - JIP 21C JIPP"/>
    <s v="50115020     diagnostika laboratorní-LEK (sk.Z_501)"/>
    <x v="10"/>
    <x v="1"/>
    <n v="2.7887599999999999"/>
    <n v="0"/>
  </r>
  <r>
    <s v="10"/>
    <s v="10"/>
    <s v="Dětská klinika"/>
    <x v="9"/>
    <s v="1032"/>
    <s v="JIP 21C JIPP"/>
    <s v="1032 - JIP 21C JIPP"/>
    <s v="50115020     diagnostika laboratorní-LEK (sk.Z_501)"/>
    <x v="10"/>
    <x v="2"/>
    <n v="0.55776000000000003"/>
    <n v="3.0665163374270001"/>
  </r>
  <r>
    <s v="10"/>
    <s v="10"/>
    <s v="Dětská klinika"/>
    <x v="9"/>
    <s v="1032"/>
    <s v="JIP 21C JIPP"/>
    <s v="1032 - JIP 21C JIPP"/>
    <s v="50115021     diagnostika laboratorní-skl.ZPr(sk.Z_501)"/>
    <x v="41"/>
    <x v="0"/>
    <n v="0"/>
    <n v="1.900162989419"/>
  </r>
  <r>
    <s v="10"/>
    <s v="10"/>
    <s v="Dětská klinika"/>
    <x v="9"/>
    <s v="1032"/>
    <s v="JIP 21C JIPP"/>
    <s v="1032 - JIP 21C JIPP"/>
    <s v="50115040     laboratorní materiál (sk.Z_505)"/>
    <x v="11"/>
    <x v="0"/>
    <n v="0"/>
    <n v="0.94990943338099998"/>
  </r>
  <r>
    <s v="10"/>
    <s v="10"/>
    <s v="Dětská klinika"/>
    <x v="9"/>
    <s v="1032"/>
    <s v="JIP 21C JIPP"/>
    <s v="1032 - JIP 21C JIPP"/>
    <s v="50115050     obvazový materiál (sk.Z_502)"/>
    <x v="12"/>
    <x v="0"/>
    <n v="6.09497"/>
    <n v="6.2968049597149998"/>
  </r>
  <r>
    <s v="10"/>
    <s v="10"/>
    <s v="Dětská klinika"/>
    <x v="9"/>
    <s v="1032"/>
    <s v="JIP 21C JIPP"/>
    <s v="1032 - JIP 21C JIPP"/>
    <s v="50115050     obvazový materiál (sk.Z_502)"/>
    <x v="12"/>
    <x v="1"/>
    <n v="5.9700900000000008"/>
    <n v="6.1088302754469996"/>
  </r>
  <r>
    <s v="10"/>
    <s v="10"/>
    <s v="Dětská klinika"/>
    <x v="9"/>
    <s v="1032"/>
    <s v="JIP 21C JIPP"/>
    <s v="1032 - JIP 21C JIPP"/>
    <s v="50115050     obvazový materiál (sk.Z_502)"/>
    <x v="12"/>
    <x v="2"/>
    <n v="43.251700000000007"/>
    <n v="74.999997637681005"/>
  </r>
  <r>
    <s v="10"/>
    <s v="10"/>
    <s v="Dětská klinika"/>
    <x v="9"/>
    <s v="1032"/>
    <s v="JIP 21C JIPP"/>
    <s v="1032 - JIP 21C JIPP"/>
    <s v="50115060     ostatní ZPr - mimo níže uvedené (sk.Z_503)"/>
    <x v="1"/>
    <x v="0"/>
    <n v="46.132699999998991"/>
    <n v="41.293293024569003"/>
  </r>
  <r>
    <s v="10"/>
    <s v="10"/>
    <s v="Dětská klinika"/>
    <x v="9"/>
    <s v="1032"/>
    <s v="JIP 21C JIPP"/>
    <s v="1032 - JIP 21C JIPP"/>
    <s v="50115060     ostatní ZPr - mimo níže uvedené (sk.Z_503)"/>
    <x v="1"/>
    <x v="1"/>
    <n v="46.914309999999993"/>
    <n v="46.132352466675997"/>
  </r>
  <r>
    <s v="10"/>
    <s v="10"/>
    <s v="Dětská klinika"/>
    <x v="9"/>
    <s v="1032"/>
    <s v="JIP 21C JIPP"/>
    <s v="1032 - JIP 21C JIPP"/>
    <s v="50115060     ostatní ZPr - mimo níže uvedené (sk.Z_503)"/>
    <x v="1"/>
    <x v="2"/>
    <n v="17.432409999999997"/>
    <n v="35.313501305247001"/>
  </r>
  <r>
    <s v="10"/>
    <s v="10"/>
    <s v="Dětská klinika"/>
    <x v="9"/>
    <s v="1032"/>
    <s v="JIP 21C JIPP"/>
    <s v="1032 - JIP 21C JIPP"/>
    <s v="50115063     ostatní ZPr - vaky, sety (sk.Z_528)"/>
    <x v="13"/>
    <x v="0"/>
    <n v="1.633"/>
    <n v="1.9000582570989999"/>
  </r>
  <r>
    <s v="10"/>
    <s v="10"/>
    <s v="Dětská klinika"/>
    <x v="9"/>
    <s v="1032"/>
    <s v="JIP 21C JIPP"/>
    <s v="1032 - JIP 21C JIPP"/>
    <s v="50115063     ostatní ZPr - vaky, sety (sk.Z_528)"/>
    <x v="13"/>
    <x v="1"/>
    <n v="1.6334999999999997"/>
    <n v="1.599726602407"/>
  </r>
  <r>
    <s v="10"/>
    <s v="10"/>
    <s v="Dětská klinika"/>
    <x v="9"/>
    <s v="1032"/>
    <s v="JIP 21C JIPP"/>
    <s v="1032 - JIP 21C JIPP"/>
    <s v="50115063     ostatní ZPr - vaky, sety (sk.Z_528)"/>
    <x v="13"/>
    <x v="2"/>
    <n v="0"/>
    <n v="1.3286894502519999"/>
  </r>
  <r>
    <s v="10"/>
    <s v="10"/>
    <s v="Dětská klinika"/>
    <x v="9"/>
    <s v="1032"/>
    <s v="JIP 21C JIPP"/>
    <s v="1032 - JIP 21C JIPP"/>
    <s v="50115064     ostatní ZPr - šicí materiál (sk.Z_529)"/>
    <x v="21"/>
    <x v="0"/>
    <n v="0"/>
    <n v="0.94998453898500002"/>
  </r>
  <r>
    <s v="10"/>
    <s v="10"/>
    <s v="Dětská klinika"/>
    <x v="9"/>
    <s v="1032"/>
    <s v="JIP 21C JIPP"/>
    <s v="1032 - JIP 21C JIPP"/>
    <s v="50115065     ostatní ZPr - vpichovací materiál (sk.Z_530)"/>
    <x v="14"/>
    <x v="0"/>
    <n v="6.0945900000000002"/>
    <n v="8.7095530257230003"/>
  </r>
  <r>
    <s v="10"/>
    <s v="10"/>
    <s v="Dětská klinika"/>
    <x v="9"/>
    <s v="1032"/>
    <s v="JIP 21C JIPP"/>
    <s v="1032 - JIP 21C JIPP"/>
    <s v="50115065     ostatní ZPr - vpichovací materiál (sk.Z_530)"/>
    <x v="14"/>
    <x v="1"/>
    <n v="5.48"/>
    <n v="6.2519265056149997"/>
  </r>
  <r>
    <s v="10"/>
    <s v="10"/>
    <s v="Dětská klinika"/>
    <x v="9"/>
    <s v="1032"/>
    <s v="JIP 21C JIPP"/>
    <s v="1032 - JIP 21C JIPP"/>
    <s v="50115065     ostatní ZPr - vpichovací materiál (sk.Z_530)"/>
    <x v="14"/>
    <x v="2"/>
    <n v="1.9200000000000002"/>
    <n v="4.0974478853190002"/>
  </r>
  <r>
    <s v="10"/>
    <s v="10"/>
    <s v="Dětská klinika"/>
    <x v="9"/>
    <s v="1032"/>
    <s v="JIP 21C JIPP"/>
    <s v="1032 - JIP 21C JIPP"/>
    <s v="50115067     ostatní ZPr - rukavice (sk.Z_532)"/>
    <x v="15"/>
    <x v="0"/>
    <n v="13.248190000000001"/>
    <n v="10.451447972887999"/>
  </r>
  <r>
    <s v="10"/>
    <s v="10"/>
    <s v="Dětská klinika"/>
    <x v="9"/>
    <s v="1032"/>
    <s v="JIP 21C JIPP"/>
    <s v="1032 - JIP 21C JIPP"/>
    <s v="50115067     ostatní ZPr - rukavice (sk.Z_532)"/>
    <x v="15"/>
    <x v="1"/>
    <n v="12.835000000000001"/>
    <n v="13.435658266047"/>
  </r>
  <r>
    <s v="10"/>
    <s v="10"/>
    <s v="Dětská klinika"/>
    <x v="9"/>
    <s v="1032"/>
    <s v="JIP 21C JIPP"/>
    <s v="1032 - JIP 21C JIPP"/>
    <s v="50115067     ostatní ZPr - rukavice (sk.Z_532)"/>
    <x v="15"/>
    <x v="2"/>
    <n v="24.185800000000004"/>
    <n v="38.999998771594001"/>
  </r>
  <r>
    <s v="10"/>
    <s v="10"/>
    <s v="Dětská klinika"/>
    <x v="9"/>
    <s v="1033"/>
    <s v="JIP 21C (pro větší děti)"/>
    <s v="1033 - JIP 21C (pro větší děti)"/>
    <s v="50113     Léky a léčiva"/>
    <x v="2"/>
    <x v="0"/>
    <n v="4025.8450000000021"/>
    <n v="3845.7007574062"/>
  </r>
  <r>
    <s v="10"/>
    <s v="10"/>
    <s v="Dětská klinika"/>
    <x v="9"/>
    <s v="1033"/>
    <s v="JIP 21C (pro větší děti)"/>
    <s v="1033 - JIP 21C (pro větší děti)"/>
    <s v="50113     Léky a léčiva"/>
    <x v="2"/>
    <x v="1"/>
    <n v="3554.379150000002"/>
    <n v="3883.82201751598"/>
  </r>
  <r>
    <s v="10"/>
    <s v="10"/>
    <s v="Dětská klinika"/>
    <x v="9"/>
    <s v="1033"/>
    <s v="JIP 21C (pro větší děti)"/>
    <s v="1033 - JIP 21C (pro větší děti)"/>
    <s v="50113     Léky a léčiva"/>
    <x v="2"/>
    <x v="2"/>
    <n v="3057.1226500000012"/>
    <n v="3553.5231404472202"/>
  </r>
  <r>
    <s v="10"/>
    <s v="10"/>
    <s v="Dětská klinika"/>
    <x v="9"/>
    <s v="1033"/>
    <s v="JIP 21C (pro větší děti)"/>
    <s v="1033 - JIP 21C (pro větší děti)"/>
    <s v="50113001     léky - paušál+TISS (LEK)"/>
    <x v="3"/>
    <x v="0"/>
    <n v="1814.4558900000009"/>
    <n v="1894.8939315975099"/>
  </r>
  <r>
    <s v="10"/>
    <s v="10"/>
    <s v="Dětská klinika"/>
    <x v="9"/>
    <s v="1033"/>
    <s v="JIP 21C (pro větší děti)"/>
    <s v="1033 - JIP 21C (pro větší děti)"/>
    <s v="50113001     léky - paušál+TISS (LEK)"/>
    <x v="3"/>
    <x v="1"/>
    <n v="1754.7865800000011"/>
    <n v="1781.53386567045"/>
  </r>
  <r>
    <s v="10"/>
    <s v="10"/>
    <s v="Dětská klinika"/>
    <x v="9"/>
    <s v="1033"/>
    <s v="JIP 21C (pro větší děti)"/>
    <s v="1033 - JIP 21C (pro větší děti)"/>
    <s v="50113001     léky - paušál+TISS (LEK)"/>
    <x v="3"/>
    <x v="2"/>
    <n v="1190.9018499999997"/>
    <n v="1643.2041769313"/>
  </r>
  <r>
    <s v="10"/>
    <s v="10"/>
    <s v="Dětská klinika"/>
    <x v="9"/>
    <s v="1033"/>
    <s v="JIP 21C (pro větší děti)"/>
    <s v="1033 - JIP 21C (pro větší děti)"/>
    <s v="50113002     léky - parenterální výživa (LEK)"/>
    <x v="17"/>
    <x v="2"/>
    <n v="176.68214"/>
    <n v="236"/>
  </r>
  <r>
    <s v="10"/>
    <s v="10"/>
    <s v="Dětská klinika"/>
    <x v="9"/>
    <s v="1033"/>
    <s v="JIP 21C (pro větší děti)"/>
    <s v="1033 - JIP 21C (pro větší děti)"/>
    <s v="50113006     léky - enterální výživa (LEK)"/>
    <x v="4"/>
    <x v="0"/>
    <n v="880.51151999999888"/>
    <n v="816.70627173912305"/>
  </r>
  <r>
    <s v="10"/>
    <s v="10"/>
    <s v="Dětská klinika"/>
    <x v="9"/>
    <s v="1033"/>
    <s v="JIP 21C (pro větší děti)"/>
    <s v="1033 - JIP 21C (pro větší děti)"/>
    <s v="50113006     léky - enterální výživa (LEK)"/>
    <x v="4"/>
    <x v="1"/>
    <n v="688.75906000000009"/>
    <n v="879.19602269938196"/>
  </r>
  <r>
    <s v="10"/>
    <s v="10"/>
    <s v="Dětská klinika"/>
    <x v="9"/>
    <s v="1033"/>
    <s v="JIP 21C (pro větší děti)"/>
    <s v="1033 - JIP 21C (pro větší děti)"/>
    <s v="50113006     léky - enterální výživa (LEK)"/>
    <x v="4"/>
    <x v="2"/>
    <n v="234.90513000000007"/>
    <n v="603"/>
  </r>
  <r>
    <s v="10"/>
    <s v="10"/>
    <s v="Dětská klinika"/>
    <x v="9"/>
    <s v="1033"/>
    <s v="JIP 21C (pro větší děti)"/>
    <s v="1033 - JIP 21C (pro větší děti)"/>
    <s v="50113008     léky - krev.deriváty ZUL (TO)"/>
    <x v="5"/>
    <x v="0"/>
    <n v="338.25273999999899"/>
    <n v="388.93331836795699"/>
  </r>
  <r>
    <s v="10"/>
    <s v="10"/>
    <s v="Dětská klinika"/>
    <x v="9"/>
    <s v="1033"/>
    <s v="JIP 21C (pro větší děti)"/>
    <s v="1033 - JIP 21C (pro větší děti)"/>
    <s v="50113008     léky - krev.deriváty ZUL (TO)"/>
    <x v="5"/>
    <x v="1"/>
    <n v="529.81359999999995"/>
    <n v="338.002967865919"/>
  </r>
  <r>
    <s v="10"/>
    <s v="10"/>
    <s v="Dětská klinika"/>
    <x v="9"/>
    <s v="1033"/>
    <s v="JIP 21C (pro větší děti)"/>
    <s v="1033 - JIP 21C (pro větší děti)"/>
    <s v="50113008     léky - krev.deriváty ZUL (TO)"/>
    <x v="5"/>
    <x v="2"/>
    <n v="695.88006999999993"/>
    <n v="440.83390093234402"/>
  </r>
  <r>
    <s v="10"/>
    <s v="10"/>
    <s v="Dětská klinika"/>
    <x v="9"/>
    <s v="1033"/>
    <s v="JIP 21C (pro větší děti)"/>
    <s v="1033 - JIP 21C (pro větší děti)"/>
    <s v="50113011     léky - hemofilici ZUL (TO)"/>
    <x v="6"/>
    <x v="2"/>
    <n v="28.067520000000002"/>
    <n v="0"/>
  </r>
  <r>
    <s v="10"/>
    <s v="10"/>
    <s v="Dětská klinika"/>
    <x v="9"/>
    <s v="1033"/>
    <s v="JIP 21C (pro větší děti)"/>
    <s v="1033 - JIP 21C (pro větší děti)"/>
    <s v="50113012     léky - trombolýza (LEK)"/>
    <x v="19"/>
    <x v="0"/>
    <n v="20.158829999999998"/>
    <n v="16.195407817374001"/>
  </r>
  <r>
    <s v="10"/>
    <s v="10"/>
    <s v="Dětská klinika"/>
    <x v="9"/>
    <s v="1033"/>
    <s v="JIP 21C (pro větší děti)"/>
    <s v="1033 - JIP 21C (pro větší děti)"/>
    <s v="50113012     léky - trombolýza (LEK)"/>
    <x v="19"/>
    <x v="1"/>
    <n v="20.148530000000001"/>
    <n v="20.292984775994"/>
  </r>
  <r>
    <s v="10"/>
    <s v="10"/>
    <s v="Dětská klinika"/>
    <x v="9"/>
    <s v="1033"/>
    <s v="JIP 21C (pro větší děti)"/>
    <s v="1033 - JIP 21C (pro větší děti)"/>
    <s v="50113012     léky - trombolýza (LEK)"/>
    <x v="19"/>
    <x v="2"/>
    <n v="4.9912900000000002"/>
    <n v="14.926959557136"/>
  </r>
  <r>
    <s v="10"/>
    <s v="10"/>
    <s v="Dětská klinika"/>
    <x v="9"/>
    <s v="1033"/>
    <s v="JIP 21C (pro větší děti)"/>
    <s v="1033 - JIP 21C (pro větší děti)"/>
    <s v="50113013     léky (paušál) - antibiotika (LEK)"/>
    <x v="7"/>
    <x v="0"/>
    <n v="445.20533999999992"/>
    <n v="435.85388865065102"/>
  </r>
  <r>
    <s v="10"/>
    <s v="10"/>
    <s v="Dětská klinika"/>
    <x v="9"/>
    <s v="1033"/>
    <s v="JIP 21C (pro větší děti)"/>
    <s v="1033 - JIP 21C (pro větší děti)"/>
    <s v="50113013     léky (paušál) - antibiotika (LEK)"/>
    <x v="7"/>
    <x v="1"/>
    <n v="282.13740000000001"/>
    <n v="330.97000777118802"/>
  </r>
  <r>
    <s v="10"/>
    <s v="10"/>
    <s v="Dětská klinika"/>
    <x v="9"/>
    <s v="1033"/>
    <s v="JIP 21C (pro větší děti)"/>
    <s v="1033 - JIP 21C (pro větší děti)"/>
    <s v="50113013     léky (paušál) - antibiotika (LEK)"/>
    <x v="7"/>
    <x v="2"/>
    <n v="198.96504000000002"/>
    <n v="311.16659871733702"/>
  </r>
  <r>
    <s v="10"/>
    <s v="10"/>
    <s v="Dětská klinika"/>
    <x v="9"/>
    <s v="1033"/>
    <s v="JIP 21C (pro větší děti)"/>
    <s v="1033 - JIP 21C (pro větší děti)"/>
    <s v="50113014     léky (paušál) - antimykotika (LEK)"/>
    <x v="8"/>
    <x v="0"/>
    <n v="312.916480000001"/>
    <n v="87"/>
  </r>
  <r>
    <s v="10"/>
    <s v="10"/>
    <s v="Dětská klinika"/>
    <x v="9"/>
    <s v="1033"/>
    <s v="JIP 21C (pro větší děti)"/>
    <s v="1033 - JIP 21C (pro větší děti)"/>
    <s v="50113014     léky (paušál) - antimykotika (LEK)"/>
    <x v="8"/>
    <x v="1"/>
    <n v="80.20017"/>
    <n v="328.75853164889901"/>
  </r>
  <r>
    <s v="10"/>
    <s v="10"/>
    <s v="Dětská klinika"/>
    <x v="9"/>
    <s v="1033"/>
    <s v="JIP 21C (pro větší děti)"/>
    <s v="1033 - JIP 21C (pro větší děti)"/>
    <s v="50113014     léky (paušál) - antimykotika (LEK)"/>
    <x v="8"/>
    <x v="2"/>
    <n v="380.33126000000004"/>
    <n v="99.683672135316996"/>
  </r>
  <r>
    <s v="10"/>
    <s v="10"/>
    <s v="Dětská klinika"/>
    <x v="9"/>
    <s v="1033"/>
    <s v="JIP 21C (pro větší děti)"/>
    <s v="1033 - JIP 21C (pro větší děti)"/>
    <s v="50113017     léky - dle §16 (LEK)"/>
    <x v="40"/>
    <x v="2"/>
    <n v="2.8602599999999998"/>
    <n v="0"/>
  </r>
  <r>
    <s v="10"/>
    <s v="10"/>
    <s v="Dětská klinika"/>
    <x v="9"/>
    <s v="1033"/>
    <s v="JIP 21C (pro větší děti)"/>
    <s v="1033 - JIP 21C (pro větší děti)"/>
    <s v="50113190     medicinální plyny"/>
    <x v="9"/>
    <x v="0"/>
    <n v="214.34420000000003"/>
    <n v="206.11793923358999"/>
  </r>
  <r>
    <s v="10"/>
    <s v="10"/>
    <s v="Dětská klinika"/>
    <x v="9"/>
    <s v="1033"/>
    <s v="JIP 21C (pro větší děti)"/>
    <s v="1033 - JIP 21C (pro větší děti)"/>
    <s v="50113190     medicinální plyny"/>
    <x v="9"/>
    <x v="1"/>
    <n v="198.53380999999999"/>
    <n v="205.06763708414701"/>
  </r>
  <r>
    <s v="10"/>
    <s v="10"/>
    <s v="Dětská klinika"/>
    <x v="9"/>
    <s v="1033"/>
    <s v="JIP 21C (pro větší děti)"/>
    <s v="1033 - JIP 21C (pro větší děti)"/>
    <s v="50113190     medicinální plyny"/>
    <x v="9"/>
    <x v="2"/>
    <n v="143.53809000000001"/>
    <n v="204.70783217377999"/>
  </r>
  <r>
    <s v="10"/>
    <s v="10"/>
    <s v="Dětská klinika"/>
    <x v="9"/>
    <s v="1033"/>
    <s v="JIP 21C (pro větší děti)"/>
    <s v="1033 - JIP 21C (pro větší děti)"/>
    <s v="50115     Zdravotnické prostředky"/>
    <x v="0"/>
    <x v="0"/>
    <n v="2544.1045000000008"/>
    <n v="2479.0987171011602"/>
  </r>
  <r>
    <s v="10"/>
    <s v="10"/>
    <s v="Dětská klinika"/>
    <x v="9"/>
    <s v="1033"/>
    <s v="JIP 21C (pro větší děti)"/>
    <s v="1033 - JIP 21C (pro větší děti)"/>
    <s v="50115     Zdravotnické prostředky"/>
    <x v="0"/>
    <x v="1"/>
    <n v="2523.9352200000003"/>
    <n v="2785.50761419938"/>
  </r>
  <r>
    <s v="10"/>
    <s v="10"/>
    <s v="Dětská klinika"/>
    <x v="9"/>
    <s v="1033"/>
    <s v="JIP 21C (pro větší děti)"/>
    <s v="1033 - JIP 21C (pro větší děti)"/>
    <s v="50115     Zdravotnické prostředky"/>
    <x v="0"/>
    <x v="2"/>
    <n v="1893.6425399999998"/>
    <n v="2640.6137065623502"/>
  </r>
  <r>
    <s v="10"/>
    <s v="10"/>
    <s v="Dětská klinika"/>
    <x v="9"/>
    <s v="1033"/>
    <s v="JIP 21C (pro větší děti)"/>
    <s v="1033 - JIP 21C (pro větší děti)"/>
    <s v="50115020     diagnostika laboratorní-LEK (sk.Z_501)"/>
    <x v="10"/>
    <x v="0"/>
    <n v="327.13102000000003"/>
    <n v="290.35366897827902"/>
  </r>
  <r>
    <s v="10"/>
    <s v="10"/>
    <s v="Dětská klinika"/>
    <x v="9"/>
    <s v="1033"/>
    <s v="JIP 21C (pro větší děti)"/>
    <s v="1033 - JIP 21C (pro větší děti)"/>
    <s v="50115020     diagnostika laboratorní-LEK (sk.Z_501)"/>
    <x v="10"/>
    <x v="1"/>
    <n v="338.70473999999996"/>
    <n v="587.13067351858297"/>
  </r>
  <r>
    <s v="10"/>
    <s v="10"/>
    <s v="Dětská klinika"/>
    <x v="9"/>
    <s v="1033"/>
    <s v="JIP 21C (pro větší děti)"/>
    <s v="1033 - JIP 21C (pro větší děti)"/>
    <s v="50115020     diagnostika laboratorní-LEK (sk.Z_501)"/>
    <x v="10"/>
    <x v="2"/>
    <n v="479.30995999999902"/>
    <n v="623.99998507014902"/>
  </r>
  <r>
    <s v="10"/>
    <s v="10"/>
    <s v="Dětská klinika"/>
    <x v="9"/>
    <s v="1033"/>
    <s v="JIP 21C (pro větší děti)"/>
    <s v="1033 - JIP 21C (pro větší děti)"/>
    <s v="50115040     laboratorní materiál (sk.Z_505)"/>
    <x v="11"/>
    <x v="0"/>
    <n v="0.75712000000000002"/>
    <n v="1.899932860454"/>
  </r>
  <r>
    <s v="10"/>
    <s v="10"/>
    <s v="Dětská klinika"/>
    <x v="9"/>
    <s v="1033"/>
    <s v="JIP 21C (pro větší děti)"/>
    <s v="1033 - JIP 21C (pro větší děti)"/>
    <s v="50115040     laboratorní materiál (sk.Z_505)"/>
    <x v="11"/>
    <x v="1"/>
    <n v="0.60752000000000006"/>
    <n v="2.7610195010999998"/>
  </r>
  <r>
    <s v="10"/>
    <s v="10"/>
    <s v="Dětská klinika"/>
    <x v="9"/>
    <s v="1033"/>
    <s v="JIP 21C (pro větší děti)"/>
    <s v="1033 - JIP 21C (pro větší děti)"/>
    <s v="50115040     laboratorní materiál (sk.Z_505)"/>
    <x v="11"/>
    <x v="2"/>
    <n v="1.2023799999999998"/>
    <n v="0.34524730083499999"/>
  </r>
  <r>
    <s v="10"/>
    <s v="10"/>
    <s v="Dětská klinika"/>
    <x v="9"/>
    <s v="1033"/>
    <s v="JIP 21C (pro větší děti)"/>
    <s v="1033 - JIP 21C (pro větší děti)"/>
    <s v="50115050     obvazový materiál (sk.Z_502)"/>
    <x v="12"/>
    <x v="0"/>
    <n v="141.12253999999902"/>
    <n v="117.20968597577399"/>
  </r>
  <r>
    <s v="10"/>
    <s v="10"/>
    <s v="Dětská klinika"/>
    <x v="9"/>
    <s v="1033"/>
    <s v="JIP 21C (pro větší děti)"/>
    <s v="1033 - JIP 21C (pro větší děti)"/>
    <s v="50115050     obvazový materiál (sk.Z_502)"/>
    <x v="12"/>
    <x v="1"/>
    <n v="250.33831000000001"/>
    <n v="161.443473379593"/>
  </r>
  <r>
    <s v="10"/>
    <s v="10"/>
    <s v="Dětská klinika"/>
    <x v="9"/>
    <s v="1033"/>
    <s v="JIP 21C (pro větší děti)"/>
    <s v="1033 - JIP 21C (pro větší děti)"/>
    <s v="50115050     obvazový materiál (sk.Z_502)"/>
    <x v="12"/>
    <x v="2"/>
    <n v="185.88006000000001"/>
    <n v="240.999992409084"/>
  </r>
  <r>
    <s v="10"/>
    <s v="10"/>
    <s v="Dětská klinika"/>
    <x v="9"/>
    <s v="1033"/>
    <s v="JIP 21C (pro větší děti)"/>
    <s v="1033 - JIP 21C (pro větší děti)"/>
    <s v="50115060     ostatní ZPr - mimo níže uvedené (sk.Z_503)"/>
    <x v="1"/>
    <x v="0"/>
    <n v="1749.1632800000011"/>
    <n v="1740.2254148894001"/>
  </r>
  <r>
    <s v="10"/>
    <s v="10"/>
    <s v="Dětská klinika"/>
    <x v="9"/>
    <s v="1033"/>
    <s v="JIP 21C (pro větší děti)"/>
    <s v="1033 - JIP 21C (pro větší děti)"/>
    <s v="50115060     ostatní ZPr - mimo níže uvedené (sk.Z_503)"/>
    <x v="1"/>
    <x v="1"/>
    <n v="1572.3463899999999"/>
    <n v="1687.1538380551301"/>
  </r>
  <r>
    <s v="10"/>
    <s v="10"/>
    <s v="Dětská klinika"/>
    <x v="9"/>
    <s v="1033"/>
    <s v="JIP 21C (pro větší děti)"/>
    <s v="1033 - JIP 21C (pro větší děti)"/>
    <s v="50115060     ostatní ZPr - mimo níže uvedené (sk.Z_503)"/>
    <x v="1"/>
    <x v="2"/>
    <n v="973.62802000000011"/>
    <n v="1484.9999532260999"/>
  </r>
  <r>
    <s v="10"/>
    <s v="10"/>
    <s v="Dětská klinika"/>
    <x v="9"/>
    <s v="1033"/>
    <s v="JIP 21C (pro větší děti)"/>
    <s v="1033 - JIP 21C (pro větší děti)"/>
    <s v="50115063     ostatní ZPr - vaky, sety (sk.Z_528)"/>
    <x v="13"/>
    <x v="0"/>
    <n v="37.070999999998996"/>
    <n v="37.287897537629"/>
  </r>
  <r>
    <s v="10"/>
    <s v="10"/>
    <s v="Dětská klinika"/>
    <x v="9"/>
    <s v="1033"/>
    <s v="JIP 21C (pro větší děti)"/>
    <s v="1033 - JIP 21C (pro větší děti)"/>
    <s v="50115063     ostatní ZPr - vaky, sety (sk.Z_528)"/>
    <x v="13"/>
    <x v="1"/>
    <n v="48.721600000000002"/>
    <n v="46.315649776552"/>
  </r>
  <r>
    <s v="10"/>
    <s v="10"/>
    <s v="Dětská klinika"/>
    <x v="9"/>
    <s v="1033"/>
    <s v="JIP 21C (pro větší děti)"/>
    <s v="1033 - JIP 21C (pro větší děti)"/>
    <s v="50115063     ostatní ZPr - vaky, sety (sk.Z_528)"/>
    <x v="13"/>
    <x v="2"/>
    <n v="25.328500000000005"/>
    <n v="34.365514507450001"/>
  </r>
  <r>
    <s v="10"/>
    <s v="10"/>
    <s v="Dětská klinika"/>
    <x v="9"/>
    <s v="1033"/>
    <s v="JIP 21C (pro větší děti)"/>
    <s v="1033 - JIP 21C (pro větší děti)"/>
    <s v="50115064     ostatní ZPr - šicí materiál (sk.Z_529)"/>
    <x v="21"/>
    <x v="0"/>
    <n v="5.36104"/>
    <n v="5.7001352393219999"/>
  </r>
  <r>
    <s v="10"/>
    <s v="10"/>
    <s v="Dětská klinika"/>
    <x v="9"/>
    <s v="1033"/>
    <s v="JIP 21C (pro větší děti)"/>
    <s v="1033 - JIP 21C (pro větší děti)"/>
    <s v="50115064     ostatní ZPr - šicí materiál (sk.Z_529)"/>
    <x v="21"/>
    <x v="1"/>
    <n v="3.9710000000000001"/>
    <n v="5.2560696312259996"/>
  </r>
  <r>
    <s v="10"/>
    <s v="10"/>
    <s v="Dětská klinika"/>
    <x v="9"/>
    <s v="1033"/>
    <s v="JIP 21C (pro větší děti)"/>
    <s v="1033 - JIP 21C (pro větší děti)"/>
    <s v="50115064     ostatní ZPr - šicí materiál (sk.Z_529)"/>
    <x v="21"/>
    <x v="2"/>
    <n v="2.7770199999999998"/>
    <n v="7.9999997480190004"/>
  </r>
  <r>
    <s v="10"/>
    <s v="10"/>
    <s v="Dětská klinika"/>
    <x v="9"/>
    <s v="1033"/>
    <s v="JIP 21C (pro větší děti)"/>
    <s v="1033 - JIP 21C (pro větší děti)"/>
    <s v="50115065     ostatní ZPr - vpichovací materiál (sk.Z_530)"/>
    <x v="14"/>
    <x v="0"/>
    <n v="27.396540000000002"/>
    <n v="33.571470641207"/>
  </r>
  <r>
    <s v="10"/>
    <s v="10"/>
    <s v="Dětská klinika"/>
    <x v="9"/>
    <s v="1033"/>
    <s v="JIP 21C (pro větší děti)"/>
    <s v="1033 - JIP 21C (pro větší děti)"/>
    <s v="50115065     ostatní ZPr - vpichovací materiál (sk.Z_530)"/>
    <x v="14"/>
    <x v="1"/>
    <n v="25.905799999999999"/>
    <n v="28.103802649258"/>
  </r>
  <r>
    <s v="10"/>
    <s v="10"/>
    <s v="Dětská klinika"/>
    <x v="9"/>
    <s v="1033"/>
    <s v="JIP 21C (pro větší děti)"/>
    <s v="1033 - JIP 21C (pro větší děti)"/>
    <s v="50115065     ostatní ZPr - vpichovací materiál (sk.Z_530)"/>
    <x v="14"/>
    <x v="2"/>
    <n v="21.072340000000004"/>
    <n v="20.073656366098"/>
  </r>
  <r>
    <s v="10"/>
    <s v="10"/>
    <s v="Dětská klinika"/>
    <x v="9"/>
    <s v="1033"/>
    <s v="JIP 21C (pro větší děti)"/>
    <s v="1033 - JIP 21C (pro větší děti)"/>
    <s v="50115067     ostatní ZPr - rukavice (sk.Z_532)"/>
    <x v="15"/>
    <x v="0"/>
    <n v="87.765499999999008"/>
    <n v="81.759049170777004"/>
  </r>
  <r>
    <s v="10"/>
    <s v="10"/>
    <s v="Dětská klinika"/>
    <x v="9"/>
    <s v="1033"/>
    <s v="JIP 21C (pro větší děti)"/>
    <s v="1033 - JIP 21C (pro větší děti)"/>
    <s v="50115067     ostatní ZPr - rukavice (sk.Z_532)"/>
    <x v="15"/>
    <x v="1"/>
    <n v="98.861500000000021"/>
    <n v="99.007418690045"/>
  </r>
  <r>
    <s v="10"/>
    <s v="10"/>
    <s v="Dětská klinika"/>
    <x v="9"/>
    <s v="1033"/>
    <s v="JIP 21C (pro větší děti)"/>
    <s v="1033 - JIP 21C (pro větší děti)"/>
    <s v="50115067     ostatní ZPr - rukavice (sk.Z_532)"/>
    <x v="15"/>
    <x v="2"/>
    <n v="87.610499999999988"/>
    <n v="95.598817731279993"/>
  </r>
  <r>
    <s v="10"/>
    <s v="10"/>
    <s v="Dětská klinika"/>
    <x v="9"/>
    <s v="1033"/>
    <s v="JIP 21C (pro větší děti)"/>
    <s v="1033 - JIP 21C (pro větší děti)"/>
    <s v="50115068     ostatní ZPr - čidla (sk.Z_522)"/>
    <x v="46"/>
    <x v="1"/>
    <n v="19.399930000000001"/>
    <n v="0"/>
  </r>
  <r>
    <s v="10"/>
    <s v="10"/>
    <s v="Dětská klinika"/>
    <x v="9"/>
    <s v="1033"/>
    <s v="JIP 21C (pro větší děti)"/>
    <s v="1033 - JIP 21C (pro větší děti)"/>
    <s v="50115068     ostatní ZPr - čidla (sk.Z_522)"/>
    <x v="46"/>
    <x v="2"/>
    <n v="0"/>
    <n v="19.999999370047998"/>
  </r>
  <r>
    <s v="10"/>
    <s v="10"/>
    <s v="Dětská klinika"/>
    <x v="9"/>
    <s v="1033"/>
    <s v="JIP 21C (pro větší děti)"/>
    <s v="1033 - JIP 21C (pro větší děti)"/>
    <s v="50115069     ostatní ZPr - porty (sk.Z_534)"/>
    <x v="52"/>
    <x v="2"/>
    <n v="10.3751"/>
    <n v="0"/>
  </r>
  <r>
    <s v="10"/>
    <s v="10"/>
    <s v="Dětská klinika"/>
    <x v="9"/>
    <s v="1033"/>
    <s v="JIP 21C (pro větší děti)"/>
    <s v="1033 - JIP 21C (pro větší děti)"/>
    <s v="50115070     ostatní ZPr - katetry (sk.Z_513)"/>
    <x v="16"/>
    <x v="0"/>
    <n v="168.33645999999999"/>
    <n v="171.09146180831499"/>
  </r>
  <r>
    <s v="10"/>
    <s v="10"/>
    <s v="Dětská klinika"/>
    <x v="9"/>
    <s v="1033"/>
    <s v="JIP 21C (pro větší děti)"/>
    <s v="1033 - JIP 21C (pro větší děti)"/>
    <s v="50115070     ostatní ZPr - katetry (sk.Z_513)"/>
    <x v="16"/>
    <x v="1"/>
    <n v="165.07843"/>
    <n v="168.33566899789"/>
  </r>
  <r>
    <s v="10"/>
    <s v="10"/>
    <s v="Dětská klinika"/>
    <x v="9"/>
    <s v="1033"/>
    <s v="JIP 21C (pro větší děti)"/>
    <s v="1033 - JIP 21C (pro větší děti)"/>
    <s v="50115070     ostatní ZPr - katetry (sk.Z_513)"/>
    <x v="16"/>
    <x v="2"/>
    <n v="10.7638"/>
    <n v="112.230540833281"/>
  </r>
  <r>
    <s v="10"/>
    <s v="10"/>
    <s v="Dětská klinika"/>
    <x v="9"/>
    <s v="1033"/>
    <s v="JIP 21C (pro větší děti)"/>
    <s v="1033 - JIP 21C (pro větší děti)"/>
    <s v="50115079     ostatní ZPr - intenzivní péče (sk.Z_542)"/>
    <x v="18"/>
    <x v="2"/>
    <n v="95.694859999999991"/>
    <n v="0"/>
  </r>
  <r>
    <s v="10"/>
    <s v="10"/>
    <s v="Dětská klinika"/>
    <x v="9"/>
    <s v="1066"/>
    <s v="pracoviště DK COS"/>
    <s v="1066 - pracoviště DK COS"/>
    <s v="50113     Léky a léčiva"/>
    <x v="2"/>
    <x v="0"/>
    <n v="0"/>
    <n v="17.232898039121999"/>
  </r>
  <r>
    <s v="10"/>
    <s v="10"/>
    <s v="Dětská klinika"/>
    <x v="9"/>
    <s v="1066"/>
    <s v="pracoviště DK COS"/>
    <s v="1066 - pracoviště DK COS"/>
    <s v="50113001     léky - paušál+TISS (LEK)"/>
    <x v="3"/>
    <x v="0"/>
    <n v="0"/>
    <n v="5.1223355502499999"/>
  </r>
  <r>
    <s v="10"/>
    <s v="10"/>
    <s v="Dětská klinika"/>
    <x v="9"/>
    <s v="1066"/>
    <s v="pracoviště DK COS"/>
    <s v="1066 - pracoviště DK COS"/>
    <s v="50113013     léky (paušál) - antibiotika (LEK)"/>
    <x v="7"/>
    <x v="0"/>
    <n v="0"/>
    <n v="1.2802624804760001"/>
  </r>
  <r>
    <s v="10"/>
    <s v="10"/>
    <s v="Dětská klinika"/>
    <x v="9"/>
    <s v="1066"/>
    <s v="pracoviště DK COS"/>
    <s v="1066 - pracoviště DK COS"/>
    <s v="50113190     medicinální plyny"/>
    <x v="9"/>
    <x v="0"/>
    <n v="0"/>
    <n v="10.830300008395"/>
  </r>
  <r>
    <s v="10"/>
    <s v="10"/>
    <s v="Dětská klinika"/>
    <x v="9"/>
    <s v="1066"/>
    <s v="pracoviště DK COS"/>
    <s v="1066 - pracoviště DK COS"/>
    <s v="50115     Zdravotnické prostředky"/>
    <x v="0"/>
    <x v="0"/>
    <n v="-7.1054273576010019E-15"/>
    <n v="1"/>
  </r>
  <r>
    <s v="10"/>
    <s v="10"/>
    <s v="Dětská klinika"/>
    <x v="9"/>
    <s v="1066"/>
    <s v="pracoviště DK COS"/>
    <s v="1066 - pracoviště DK COS"/>
    <s v="50115020     diagnostika laboratorní-LEK (sk.Z_501)"/>
    <x v="10"/>
    <x v="0"/>
    <n v="0"/>
    <n v="1"/>
  </r>
  <r>
    <s v="10"/>
    <s v="10"/>
    <s v="Dětská klinika"/>
    <x v="9"/>
    <s v="1066"/>
    <s v="pracoviště DK COS"/>
    <s v="1066 - pracoviště DK COS"/>
    <s v="50115060     ostatní ZPr - mimo níže uvedené (sk.Z_503)"/>
    <x v="1"/>
    <x v="0"/>
    <n v="-7.1054273576010019E-15"/>
    <n v="0"/>
  </r>
  <r>
    <s v="10"/>
    <s v="10"/>
    <s v="Dětská klinika"/>
    <x v="9"/>
    <s v="1071"/>
    <s v="endoskopie"/>
    <s v="1071 - endoskopie"/>
    <s v="50113     Léky a léčiva"/>
    <x v="2"/>
    <x v="0"/>
    <n v="11.368200000000002"/>
    <n v="14.243229743580001"/>
  </r>
  <r>
    <s v="10"/>
    <s v="10"/>
    <s v="Dětská klinika"/>
    <x v="9"/>
    <s v="1071"/>
    <s v="endoskopie"/>
    <s v="1071 - endoskopie"/>
    <s v="50113     Léky a léčiva"/>
    <x v="2"/>
    <x v="1"/>
    <n v="10.036199999999999"/>
    <n v="13.372602875915"/>
  </r>
  <r>
    <s v="10"/>
    <s v="10"/>
    <s v="Dětská klinika"/>
    <x v="9"/>
    <s v="1071"/>
    <s v="endoskopie"/>
    <s v="1071 - endoskopie"/>
    <s v="50113     Léky a léčiva"/>
    <x v="2"/>
    <x v="2"/>
    <n v="4.2008200000000002"/>
    <n v="9.6770588620560005"/>
  </r>
  <r>
    <s v="10"/>
    <s v="10"/>
    <s v="Dětská klinika"/>
    <x v="9"/>
    <s v="1071"/>
    <s v="endoskopie"/>
    <s v="1071 - endoskopie"/>
    <s v="50113001     léky - paušál+TISS (LEK)"/>
    <x v="3"/>
    <x v="0"/>
    <n v="11.007280000000002"/>
    <n v="13.102940100642"/>
  </r>
  <r>
    <s v="10"/>
    <s v="10"/>
    <s v="Dětská klinika"/>
    <x v="9"/>
    <s v="1071"/>
    <s v="endoskopie"/>
    <s v="1071 - endoskopie"/>
    <s v="50113001     léky - paušál+TISS (LEK)"/>
    <x v="3"/>
    <x v="1"/>
    <n v="9.4483599999999992"/>
    <n v="12.007294646607001"/>
  </r>
  <r>
    <s v="10"/>
    <s v="10"/>
    <s v="Dětská klinika"/>
    <x v="9"/>
    <s v="1071"/>
    <s v="endoskopie"/>
    <s v="1071 - endoskopie"/>
    <s v="50113001     léky - paušál+TISS (LEK)"/>
    <x v="3"/>
    <x v="2"/>
    <n v="3.7961100000000001"/>
    <n v="9.0576360792149995"/>
  </r>
  <r>
    <s v="10"/>
    <s v="10"/>
    <s v="Dětská klinika"/>
    <x v="9"/>
    <s v="1071"/>
    <s v="endoskopie"/>
    <s v="1071 - endoskopie"/>
    <s v="50113013     léky (paušál) - antibiotika (LEK)"/>
    <x v="7"/>
    <x v="0"/>
    <n v="0.36092000000000002"/>
    <n v="1.140289642937"/>
  </r>
  <r>
    <s v="10"/>
    <s v="10"/>
    <s v="Dětská klinika"/>
    <x v="9"/>
    <s v="1071"/>
    <s v="endoskopie"/>
    <s v="1071 - endoskopie"/>
    <s v="50113013     léky (paušál) - antibiotika (LEK)"/>
    <x v="7"/>
    <x v="1"/>
    <n v="0.58784000000000003"/>
    <n v="1.3653082293080001"/>
  </r>
  <r>
    <s v="10"/>
    <s v="10"/>
    <s v="Dětská klinika"/>
    <x v="9"/>
    <s v="1071"/>
    <s v="endoskopie"/>
    <s v="1071 - endoskopie"/>
    <s v="50113013     léky (paušál) - antibiotika (LEK)"/>
    <x v="7"/>
    <x v="2"/>
    <n v="0.40471000000000001"/>
    <n v="0.61942278284100005"/>
  </r>
  <r>
    <s v="10"/>
    <s v="10"/>
    <s v="Dětská klinika"/>
    <x v="9"/>
    <s v="1071"/>
    <s v="endoskopie"/>
    <s v="1071 - endoskopie"/>
    <s v="50115     Zdravotnické prostředky"/>
    <x v="0"/>
    <x v="0"/>
    <n v="467.14787999999896"/>
    <n v="477.14230601436998"/>
  </r>
  <r>
    <s v="10"/>
    <s v="10"/>
    <s v="Dětská klinika"/>
    <x v="9"/>
    <s v="1071"/>
    <s v="endoskopie"/>
    <s v="1071 - endoskopie"/>
    <s v="50115     Zdravotnické prostředky"/>
    <x v="0"/>
    <x v="1"/>
    <n v="410.64371"/>
    <n v="463.67601463076198"/>
  </r>
  <r>
    <s v="10"/>
    <s v="10"/>
    <s v="Dětská klinika"/>
    <x v="9"/>
    <s v="1071"/>
    <s v="endoskopie"/>
    <s v="1071 - endoskopie"/>
    <s v="50115     Zdravotnické prostředky"/>
    <x v="0"/>
    <x v="2"/>
    <n v="258.07225999999997"/>
    <n v="358.73028276657902"/>
  </r>
  <r>
    <s v="10"/>
    <s v="10"/>
    <s v="Dětská klinika"/>
    <x v="9"/>
    <s v="1071"/>
    <s v="endoskopie"/>
    <s v="1071 - endoskopie"/>
    <s v="50115020     diagnostika laboratorní-LEK (sk.Z_501)"/>
    <x v="10"/>
    <x v="0"/>
    <n v="1.9142199999999998"/>
    <n v="2"/>
  </r>
  <r>
    <s v="10"/>
    <s v="10"/>
    <s v="Dětská klinika"/>
    <x v="9"/>
    <s v="1071"/>
    <s v="endoskopie"/>
    <s v="1071 - endoskopie"/>
    <s v="50115020     diagnostika laboratorní-LEK (sk.Z_501)"/>
    <x v="10"/>
    <x v="1"/>
    <n v="2.6455899999999999"/>
    <n v="1.9142179725499999"/>
  </r>
  <r>
    <s v="10"/>
    <s v="10"/>
    <s v="Dětská klinika"/>
    <x v="9"/>
    <s v="1071"/>
    <s v="endoskopie"/>
    <s v="1071 - endoskopie"/>
    <s v="50115020     diagnostika laboratorní-LEK (sk.Z_501)"/>
    <x v="10"/>
    <x v="2"/>
    <n v="1.6139899999999998"/>
    <n v="4.3924452073050002"/>
  </r>
  <r>
    <s v="10"/>
    <s v="10"/>
    <s v="Dětská klinika"/>
    <x v="9"/>
    <s v="1071"/>
    <s v="endoskopie"/>
    <s v="1071 - endoskopie"/>
    <s v="50115050     obvazový materiál (sk.Z_502)"/>
    <x v="12"/>
    <x v="0"/>
    <n v="19.417210000000001"/>
    <n v="37.750992625946999"/>
  </r>
  <r>
    <s v="10"/>
    <s v="10"/>
    <s v="Dětská klinika"/>
    <x v="9"/>
    <s v="1071"/>
    <s v="endoskopie"/>
    <s v="1071 - endoskopie"/>
    <s v="50115050     obvazový materiál (sk.Z_502)"/>
    <x v="12"/>
    <x v="1"/>
    <n v="50.006169999999997"/>
    <n v="18.461366811693999"/>
  </r>
  <r>
    <s v="10"/>
    <s v="10"/>
    <s v="Dětská klinika"/>
    <x v="9"/>
    <s v="1071"/>
    <s v="endoskopie"/>
    <s v="1071 - endoskopie"/>
    <s v="50115050     obvazový materiál (sk.Z_502)"/>
    <x v="12"/>
    <x v="2"/>
    <n v="21.613810000000001"/>
    <n v="42.261098038446001"/>
  </r>
  <r>
    <s v="10"/>
    <s v="10"/>
    <s v="Dětská klinika"/>
    <x v="9"/>
    <s v="1071"/>
    <s v="endoskopie"/>
    <s v="1071 - endoskopie"/>
    <s v="50115060     ostatní ZPr - mimo níže uvedené (sk.Z_503)"/>
    <x v="1"/>
    <x v="0"/>
    <n v="382.04937999999999"/>
    <n v="402.69395451622398"/>
  </r>
  <r>
    <s v="10"/>
    <s v="10"/>
    <s v="Dětská klinika"/>
    <x v="9"/>
    <s v="1071"/>
    <s v="endoskopie"/>
    <s v="1071 - endoskopie"/>
    <s v="50115060     ostatní ZPr - mimo níže uvedené (sk.Z_503)"/>
    <x v="1"/>
    <x v="1"/>
    <n v="296.35991000000001"/>
    <n v="380.04672493463801"/>
  </r>
  <r>
    <s v="10"/>
    <s v="10"/>
    <s v="Dětská klinika"/>
    <x v="9"/>
    <s v="1071"/>
    <s v="endoskopie"/>
    <s v="1071 - endoskopie"/>
    <s v="50115060     ostatní ZPr - mimo níže uvedené (sk.Z_503)"/>
    <x v="1"/>
    <x v="2"/>
    <n v="169.96257"/>
    <n v="272.99999140116199"/>
  </r>
  <r>
    <s v="10"/>
    <s v="10"/>
    <s v="Dětská klinika"/>
    <x v="9"/>
    <s v="1071"/>
    <s v="endoskopie"/>
    <s v="1071 - endoskopie"/>
    <s v="50115063     ostatní ZPr - vaky, sety (sk.Z_528)"/>
    <x v="13"/>
    <x v="0"/>
    <n v="41.096999999998999"/>
    <n v="20.541694081688"/>
  </r>
  <r>
    <s v="10"/>
    <s v="10"/>
    <s v="Dětská klinika"/>
    <x v="9"/>
    <s v="1071"/>
    <s v="endoskopie"/>
    <s v="1071 - endoskopie"/>
    <s v="50115063     ostatní ZPr - vaky, sety (sk.Z_528)"/>
    <x v="13"/>
    <x v="1"/>
    <n v="0"/>
    <n v="40.259622889847002"/>
  </r>
  <r>
    <s v="10"/>
    <s v="10"/>
    <s v="Dětská klinika"/>
    <x v="9"/>
    <s v="1071"/>
    <s v="endoskopie"/>
    <s v="1071 - endoskopie"/>
    <s v="50115065     ostatní ZPr - vpichovací materiál (sk.Z_530)"/>
    <x v="14"/>
    <x v="0"/>
    <n v="0.27600000000000002"/>
    <n v="1"/>
  </r>
  <r>
    <s v="10"/>
    <s v="10"/>
    <s v="Dětská klinika"/>
    <x v="9"/>
    <s v="1071"/>
    <s v="endoskopie"/>
    <s v="1071 - endoskopie"/>
    <s v="50115065     ostatní ZPr - vpichovací materiál (sk.Z_530)"/>
    <x v="14"/>
    <x v="1"/>
    <n v="0"/>
    <n v="0.28312515124799997"/>
  </r>
  <r>
    <s v="10"/>
    <s v="10"/>
    <s v="Dětská klinika"/>
    <x v="9"/>
    <s v="1071"/>
    <s v="endoskopie"/>
    <s v="1071 - endoskopie"/>
    <s v="50115067     ostatní ZPr - rukavice (sk.Z_532)"/>
    <x v="15"/>
    <x v="0"/>
    <n v="22.394069999999999"/>
    <n v="13.15566479051"/>
  </r>
  <r>
    <s v="10"/>
    <s v="10"/>
    <s v="Dětská klinika"/>
    <x v="9"/>
    <s v="1071"/>
    <s v="endoskopie"/>
    <s v="1071 - endoskopie"/>
    <s v="50115067     ostatní ZPr - rukavice (sk.Z_532)"/>
    <x v="15"/>
    <x v="1"/>
    <n v="20.593679999999999"/>
    <n v="22.710956870783001"/>
  </r>
  <r>
    <s v="10"/>
    <s v="10"/>
    <s v="Dětská klinika"/>
    <x v="9"/>
    <s v="1071"/>
    <s v="endoskopie"/>
    <s v="1071 - endoskopie"/>
    <s v="50115067     ostatní ZPr - rukavice (sk.Z_532)"/>
    <x v="15"/>
    <x v="2"/>
    <n v="14.88711"/>
    <n v="19.995123585927001"/>
  </r>
  <r>
    <s v="10"/>
    <s v="10"/>
    <s v="Dětská klinika"/>
    <x v="9"/>
    <s v="1071"/>
    <s v="endoskopie"/>
    <s v="1071 - endoskopie"/>
    <s v="50115070     ostatní ZPr - katetry (sk.Z_513)"/>
    <x v="16"/>
    <x v="1"/>
    <n v="41.038359999999997"/>
    <n v="0"/>
  </r>
  <r>
    <s v="10"/>
    <s v="10"/>
    <s v="Dětská klinika"/>
    <x v="9"/>
    <s v="1071"/>
    <s v="endoskopie"/>
    <s v="1071 - endoskopie"/>
    <s v="50115070     ostatní ZPr - katetry (sk.Z_513)"/>
    <x v="16"/>
    <x v="2"/>
    <n v="0"/>
    <n v="19.081624533738999"/>
  </r>
  <r>
    <s v="10"/>
    <s v="10"/>
    <s v="Dětská klinika"/>
    <x v="9"/>
    <s v="1071"/>
    <s v="endoskopie"/>
    <s v="1071 - endoskopie"/>
    <s v="50115080     ostatní ZPr - staplery, extraktory (sk.Z_523)"/>
    <x v="30"/>
    <x v="2"/>
    <n v="49.994779999999999"/>
    <n v="0"/>
  </r>
  <r>
    <s v="10"/>
    <s v="10"/>
    <s v="Dětská klinika"/>
    <x v="9"/>
    <s v="1094"/>
    <s v="centrum - DK"/>
    <s v="1094 - centrum - DK"/>
    <s v="50113     Léky a léčiva"/>
    <x v="2"/>
    <x v="0"/>
    <n v="9961.217760000005"/>
    <n v="9922.4999999995198"/>
  </r>
  <r>
    <s v="10"/>
    <s v="10"/>
    <s v="Dětská klinika"/>
    <x v="9"/>
    <s v="1094"/>
    <s v="centrum - DK"/>
    <s v="1094 - centrum - DK"/>
    <s v="50113     Léky a léčiva"/>
    <x v="2"/>
    <x v="1"/>
    <n v="10787.310540000008"/>
    <n v="10788.199999999901"/>
  </r>
  <r>
    <s v="10"/>
    <s v="10"/>
    <s v="Dětská klinika"/>
    <x v="9"/>
    <s v="1094"/>
    <s v="centrum - DK"/>
    <s v="1094 - centrum - DK"/>
    <s v="50113     Léky a léčiva"/>
    <x v="2"/>
    <x v="2"/>
    <n v="8775.5207399999999"/>
    <n v="13090.6003928437"/>
  </r>
  <r>
    <s v="10"/>
    <s v="10"/>
    <s v="Dětská klinika"/>
    <x v="9"/>
    <s v="1094"/>
    <s v="centrum - DK"/>
    <s v="1094 - centrum - DK"/>
    <s v="50113016     léky - spotřeba v centrech (LEK)"/>
    <x v="39"/>
    <x v="0"/>
    <n v="9961.217760000005"/>
    <n v="9922.4999999995198"/>
  </r>
  <r>
    <s v="10"/>
    <s v="10"/>
    <s v="Dětská klinika"/>
    <x v="9"/>
    <s v="1094"/>
    <s v="centrum - DK"/>
    <s v="1094 - centrum - DK"/>
    <s v="50113016     léky - spotřeba v centrech (LEK)"/>
    <x v="39"/>
    <x v="1"/>
    <n v="10787.310540000008"/>
    <n v="10788.199999999901"/>
  </r>
  <r>
    <s v="10"/>
    <s v="10"/>
    <s v="Dětská klinika"/>
    <x v="9"/>
    <s v="1094"/>
    <s v="centrum - DK"/>
    <s v="1094 - centrum - DK"/>
    <s v="50113016     léky - spotřeba v centrech (LEK)"/>
    <x v="39"/>
    <x v="2"/>
    <n v="8775.5207399999999"/>
    <n v="13090.6003928437"/>
  </r>
  <r>
    <s v="11"/>
    <s v="11"/>
    <s v="Ortopedická klinika"/>
    <x v="10"/>
    <s v="1111"/>
    <s v="lůžkové oddělení 29A"/>
    <s v="1111 - lůžkové oddělení 29A"/>
    <s v="50113     Léky a léčiva"/>
    <x v="2"/>
    <x v="0"/>
    <n v="423.05187999999902"/>
    <n v="490.379216633672"/>
  </r>
  <r>
    <s v="11"/>
    <s v="11"/>
    <s v="Ortopedická klinika"/>
    <x v="10"/>
    <s v="1111"/>
    <s v="lůžkové oddělení 29A"/>
    <s v="1111 - lůžkové oddělení 29A"/>
    <s v="50113     Léky a léčiva"/>
    <x v="2"/>
    <x v="1"/>
    <n v="446.87883999999997"/>
    <n v="418.59208990674898"/>
  </r>
  <r>
    <s v="11"/>
    <s v="11"/>
    <s v="Ortopedická klinika"/>
    <x v="10"/>
    <s v="1111"/>
    <s v="lůžkové oddělení 29A"/>
    <s v="1111 - lůžkové oddělení 29A"/>
    <s v="50113     Léky a léčiva"/>
    <x v="2"/>
    <x v="2"/>
    <n v="314.07794999999999"/>
    <n v="418.88585055219198"/>
  </r>
  <r>
    <s v="11"/>
    <s v="11"/>
    <s v="Ortopedická klinika"/>
    <x v="10"/>
    <s v="1111"/>
    <s v="lůžkové oddělení 29A"/>
    <s v="1111 - lůžkové oddělení 29A"/>
    <s v="50113001     léky - paušál+TISS (LEK)"/>
    <x v="3"/>
    <x v="0"/>
    <n v="298.29888999999901"/>
    <n v="349.999542540356"/>
  </r>
  <r>
    <s v="11"/>
    <s v="11"/>
    <s v="Ortopedická klinika"/>
    <x v="10"/>
    <s v="1111"/>
    <s v="lůžkové oddělení 29A"/>
    <s v="1111 - lůžkové oddělení 29A"/>
    <s v="50113001     léky - paušál+TISS (LEK)"/>
    <x v="3"/>
    <x v="1"/>
    <n v="315.88607000000002"/>
    <n v="304.36428080232002"/>
  </r>
  <r>
    <s v="11"/>
    <s v="11"/>
    <s v="Ortopedická klinika"/>
    <x v="10"/>
    <s v="1111"/>
    <s v="lůžkové oddělení 29A"/>
    <s v="1111 - lůžkové oddělení 29A"/>
    <s v="50113001     léky - paušál+TISS (LEK)"/>
    <x v="3"/>
    <x v="2"/>
    <n v="237.68787999999995"/>
    <n v="292.63850696081897"/>
  </r>
  <r>
    <s v="11"/>
    <s v="11"/>
    <s v="Ortopedická klinika"/>
    <x v="10"/>
    <s v="1111"/>
    <s v="lůžkové oddělení 29A"/>
    <s v="1111 - lůžkové oddělení 29A"/>
    <s v="50113006     léky - enterální výživa (LEK)"/>
    <x v="4"/>
    <x v="0"/>
    <n v="0"/>
    <n v="0.332043057694"/>
  </r>
  <r>
    <s v="11"/>
    <s v="11"/>
    <s v="Ortopedická klinika"/>
    <x v="10"/>
    <s v="1111"/>
    <s v="lůžkové oddělení 29A"/>
    <s v="1111 - lůžkové oddělení 29A"/>
    <s v="50113006     léky - enterální výživa (LEK)"/>
    <x v="4"/>
    <x v="1"/>
    <n v="2.41601"/>
    <n v="0"/>
  </r>
  <r>
    <s v="11"/>
    <s v="11"/>
    <s v="Ortopedická klinika"/>
    <x v="10"/>
    <s v="1111"/>
    <s v="lůžkové oddělení 29A"/>
    <s v="1111 - lůžkové oddělení 29A"/>
    <s v="50113006     léky - enterální výživa (LEK)"/>
    <x v="4"/>
    <x v="2"/>
    <n v="1.02233"/>
    <n v="6.0605033729209996"/>
  </r>
  <r>
    <s v="11"/>
    <s v="11"/>
    <s v="Ortopedická klinika"/>
    <x v="10"/>
    <s v="1111"/>
    <s v="lůžkové oddělení 29A"/>
    <s v="1111 - lůžkové oddělení 29A"/>
    <s v="50113008     léky - krev.deriváty ZUL (TO)"/>
    <x v="5"/>
    <x v="0"/>
    <n v="1.4075500000000001"/>
    <n v="6.9832988790300004"/>
  </r>
  <r>
    <s v="11"/>
    <s v="11"/>
    <s v="Ortopedická klinika"/>
    <x v="10"/>
    <s v="1111"/>
    <s v="lůžkové oddělení 29A"/>
    <s v="1111 - lůžkové oddělení 29A"/>
    <s v="50113008     léky - krev.deriváty ZUL (TO)"/>
    <x v="5"/>
    <x v="1"/>
    <n v="7.0377000000000001"/>
    <n v="1.407023434409"/>
  </r>
  <r>
    <s v="11"/>
    <s v="11"/>
    <s v="Ortopedická klinika"/>
    <x v="10"/>
    <s v="1111"/>
    <s v="lůžkové oddělení 29A"/>
    <s v="1111 - lůžkové oddělení 29A"/>
    <s v="50113008     léky - krev.deriváty ZUL (TO)"/>
    <x v="5"/>
    <x v="2"/>
    <n v="3.9815399999999999"/>
    <n v="8.1987195555509995"/>
  </r>
  <r>
    <s v="11"/>
    <s v="11"/>
    <s v="Ortopedická klinika"/>
    <x v="10"/>
    <s v="1111"/>
    <s v="lůžkové oddělení 29A"/>
    <s v="1111 - lůžkové oddělení 29A"/>
    <s v="50113011     léky - hemofilici ZUL (TO)"/>
    <x v="6"/>
    <x v="0"/>
    <n v="0"/>
    <n v="24.024394104435999"/>
  </r>
  <r>
    <s v="11"/>
    <s v="11"/>
    <s v="Ortopedická klinika"/>
    <x v="10"/>
    <s v="1111"/>
    <s v="lůžkové oddělení 29A"/>
    <s v="1111 - lůžkové oddělení 29A"/>
    <s v="50113011     léky - hemofilici ZUL (TO)"/>
    <x v="6"/>
    <x v="2"/>
    <n v="3.8274300000000001"/>
    <n v="0"/>
  </r>
  <r>
    <s v="11"/>
    <s v="11"/>
    <s v="Ortopedická klinika"/>
    <x v="10"/>
    <s v="1111"/>
    <s v="lůžkové oddělení 29A"/>
    <s v="1111 - lůžkové oddělení 29A"/>
    <s v="50113013     léky (paušál) - antibiotika (LEK)"/>
    <x v="7"/>
    <x v="0"/>
    <n v="91.189049999998986"/>
    <n v="88.36"/>
  </r>
  <r>
    <s v="11"/>
    <s v="11"/>
    <s v="Ortopedická klinika"/>
    <x v="10"/>
    <s v="1111"/>
    <s v="lůžkové oddělení 29A"/>
    <s v="1111 - lůžkové oddělení 29A"/>
    <s v="50113013     léky (paušál) - antibiotika (LEK)"/>
    <x v="7"/>
    <x v="1"/>
    <n v="84.125079999999997"/>
    <n v="81.992309684918993"/>
  </r>
  <r>
    <s v="11"/>
    <s v="11"/>
    <s v="Ortopedická klinika"/>
    <x v="10"/>
    <s v="1111"/>
    <s v="lůžkové oddělení 29A"/>
    <s v="1111 - lůžkové oddělení 29A"/>
    <s v="50113013     léky (paušál) - antibiotika (LEK)"/>
    <x v="7"/>
    <x v="2"/>
    <n v="34.969590000000004"/>
    <n v="76.461678584807999"/>
  </r>
  <r>
    <s v="11"/>
    <s v="11"/>
    <s v="Ortopedická klinika"/>
    <x v="10"/>
    <s v="1111"/>
    <s v="lůžkové oddělení 29A"/>
    <s v="1111 - lůžkové oddělení 29A"/>
    <s v="50113014     léky (paušál) - antimykotika (LEK)"/>
    <x v="8"/>
    <x v="0"/>
    <n v="1.4214899999999999"/>
    <n v="1.948232586771"/>
  </r>
  <r>
    <s v="11"/>
    <s v="11"/>
    <s v="Ortopedická klinika"/>
    <x v="10"/>
    <s v="1111"/>
    <s v="lůžkové oddělení 29A"/>
    <s v="1111 - lůžkové oddělení 29A"/>
    <s v="50113014     léky (paušál) - antimykotika (LEK)"/>
    <x v="8"/>
    <x v="1"/>
    <n v="0.77498"/>
    <n v="1.423746027313"/>
  </r>
  <r>
    <s v="11"/>
    <s v="11"/>
    <s v="Ortopedická klinika"/>
    <x v="10"/>
    <s v="1111"/>
    <s v="lůžkové oddělení 29A"/>
    <s v="1111 - lůžkové oddělení 29A"/>
    <s v="50113014     léky (paušál) - antimykotika (LEK)"/>
    <x v="8"/>
    <x v="2"/>
    <n v="0.29718000000000006"/>
    <n v="0.97047123475499997"/>
  </r>
  <r>
    <s v="11"/>
    <s v="11"/>
    <s v="Ortopedická klinika"/>
    <x v="10"/>
    <s v="1111"/>
    <s v="lůžkové oddělení 29A"/>
    <s v="1111 - lůžkové oddělení 29A"/>
    <s v="50113190     medicinální plyny"/>
    <x v="9"/>
    <x v="0"/>
    <n v="30.734900000000003"/>
    <n v="18.731705465383001"/>
  </r>
  <r>
    <s v="11"/>
    <s v="11"/>
    <s v="Ortopedická klinika"/>
    <x v="10"/>
    <s v="1111"/>
    <s v="lůžkové oddělení 29A"/>
    <s v="1111 - lůžkové oddělení 29A"/>
    <s v="50113190     medicinální plyny"/>
    <x v="9"/>
    <x v="1"/>
    <n v="36.638999999999996"/>
    <n v="29.404729957785001"/>
  </r>
  <r>
    <s v="11"/>
    <s v="11"/>
    <s v="Ortopedická klinika"/>
    <x v="10"/>
    <s v="1111"/>
    <s v="lůžkové oddělení 29A"/>
    <s v="1111 - lůžkové oddělení 29A"/>
    <s v="50113190     medicinální plyny"/>
    <x v="9"/>
    <x v="2"/>
    <n v="32.292000000000002"/>
    <n v="34.555970843335999"/>
  </r>
  <r>
    <s v="11"/>
    <s v="11"/>
    <s v="Ortopedická klinika"/>
    <x v="10"/>
    <s v="1111"/>
    <s v="lůžkové oddělení 29A"/>
    <s v="1111 - lůžkové oddělení 29A"/>
    <s v="50115     Zdravotnické prostředky"/>
    <x v="0"/>
    <x v="0"/>
    <n v="232.94752000000003"/>
    <n v="239.422600270358"/>
  </r>
  <r>
    <s v="11"/>
    <s v="11"/>
    <s v="Ortopedická klinika"/>
    <x v="10"/>
    <s v="1111"/>
    <s v="lůžkové oddělení 29A"/>
    <s v="1111 - lůžkové oddělení 29A"/>
    <s v="50115     Zdravotnické prostředky"/>
    <x v="0"/>
    <x v="1"/>
    <n v="237.70122000000003"/>
    <n v="233.10977829644301"/>
  </r>
  <r>
    <s v="11"/>
    <s v="11"/>
    <s v="Ortopedická klinika"/>
    <x v="10"/>
    <s v="1111"/>
    <s v="lůžkové oddělení 29A"/>
    <s v="1111 - lůžkové oddělení 29A"/>
    <s v="50115     Zdravotnické prostředky"/>
    <x v="0"/>
    <x v="2"/>
    <n v="200.71094000000002"/>
    <n v="242.621497840724"/>
  </r>
  <r>
    <s v="11"/>
    <s v="11"/>
    <s v="Ortopedická klinika"/>
    <x v="10"/>
    <s v="1111"/>
    <s v="lůžkové oddělení 29A"/>
    <s v="1111 - lůžkové oddělení 29A"/>
    <s v="50115020     diagnostika laboratorní-LEK (sk.Z_501)"/>
    <x v="10"/>
    <x v="0"/>
    <n v="1.1415600000000001"/>
    <n v="4.3179300755919998"/>
  </r>
  <r>
    <s v="11"/>
    <s v="11"/>
    <s v="Ortopedická klinika"/>
    <x v="10"/>
    <s v="1111"/>
    <s v="lůžkové oddělení 29A"/>
    <s v="1111 - lůžkové oddělení 29A"/>
    <s v="50115020     diagnostika laboratorní-LEK (sk.Z_501)"/>
    <x v="10"/>
    <x v="1"/>
    <n v="0.15246000000000001"/>
    <n v="1.1415587909139999"/>
  </r>
  <r>
    <s v="11"/>
    <s v="11"/>
    <s v="Ortopedická klinika"/>
    <x v="10"/>
    <s v="1111"/>
    <s v="lůžkové oddělení 29A"/>
    <s v="1111 - lůžkové oddělení 29A"/>
    <s v="50115050     obvazový materiál (sk.Z_502)"/>
    <x v="12"/>
    <x v="0"/>
    <n v="97.511979999999994"/>
    <n v="103.732321359482"/>
  </r>
  <r>
    <s v="11"/>
    <s v="11"/>
    <s v="Ortopedická klinika"/>
    <x v="10"/>
    <s v="1111"/>
    <s v="lůžkové oddělení 29A"/>
    <s v="1111 - lůžkové oddělení 29A"/>
    <s v="50115050     obvazový materiál (sk.Z_502)"/>
    <x v="12"/>
    <x v="1"/>
    <n v="113.22103"/>
    <n v="97.733727260815002"/>
  </r>
  <r>
    <s v="11"/>
    <s v="11"/>
    <s v="Ortopedická klinika"/>
    <x v="10"/>
    <s v="1111"/>
    <s v="lůžkové oddělení 29A"/>
    <s v="1111 - lůžkové oddělení 29A"/>
    <s v="50115050     obvazový materiál (sk.Z_502)"/>
    <x v="12"/>
    <x v="2"/>
    <n v="90.643389999999982"/>
    <n v="106.903627502506"/>
  </r>
  <r>
    <s v="11"/>
    <s v="11"/>
    <s v="Ortopedická klinika"/>
    <x v="10"/>
    <s v="1111"/>
    <s v="lůžkové oddělení 29A"/>
    <s v="1111 - lůžkové oddělení 29A"/>
    <s v="50115060     ostatní ZPr - mimo níže uvedené (sk.Z_503)"/>
    <x v="1"/>
    <x v="0"/>
    <n v="86.710279999999003"/>
    <n v="83.569919874066002"/>
  </r>
  <r>
    <s v="11"/>
    <s v="11"/>
    <s v="Ortopedická klinika"/>
    <x v="10"/>
    <s v="1111"/>
    <s v="lůžkové oddělení 29A"/>
    <s v="1111 - lůžkové oddělení 29A"/>
    <s v="50115060     ostatní ZPr - mimo níže uvedené (sk.Z_503)"/>
    <x v="1"/>
    <x v="1"/>
    <n v="77.488730000000004"/>
    <n v="86.709626781962001"/>
  </r>
  <r>
    <s v="11"/>
    <s v="11"/>
    <s v="Ortopedická klinika"/>
    <x v="10"/>
    <s v="1111"/>
    <s v="lůžkové oddělení 29A"/>
    <s v="1111 - lůžkové oddělení 29A"/>
    <s v="50115060     ostatní ZPr - mimo níže uvedené (sk.Z_503)"/>
    <x v="1"/>
    <x v="2"/>
    <n v="70.063950000000006"/>
    <n v="85.130388732371003"/>
  </r>
  <r>
    <s v="11"/>
    <s v="11"/>
    <s v="Ortopedická klinika"/>
    <x v="10"/>
    <s v="1111"/>
    <s v="lůžkové oddělení 29A"/>
    <s v="1111 - lůžkové oddělení 29A"/>
    <s v="50115063     ostatní ZPr - vaky, sety (sk.Z_528)"/>
    <x v="13"/>
    <x v="0"/>
    <n v="21.592700000000001"/>
    <n v="21.850270952391"/>
  </r>
  <r>
    <s v="11"/>
    <s v="11"/>
    <s v="Ortopedická klinika"/>
    <x v="10"/>
    <s v="1111"/>
    <s v="lůžkové oddělení 29A"/>
    <s v="1111 - lůžkové oddělení 29A"/>
    <s v="50115063     ostatní ZPr - vaky, sety (sk.Z_528)"/>
    <x v="13"/>
    <x v="1"/>
    <n v="17.53"/>
    <n v="21.15273521604"/>
  </r>
  <r>
    <s v="11"/>
    <s v="11"/>
    <s v="Ortopedická klinika"/>
    <x v="10"/>
    <s v="1111"/>
    <s v="lůžkové oddělení 29A"/>
    <s v="1111 - lůžkové oddělení 29A"/>
    <s v="50115063     ostatní ZPr - vaky, sety (sk.Z_528)"/>
    <x v="13"/>
    <x v="2"/>
    <n v="17.778400000000001"/>
    <n v="19.198632142653"/>
  </r>
  <r>
    <s v="11"/>
    <s v="11"/>
    <s v="Ortopedická klinika"/>
    <x v="10"/>
    <s v="1111"/>
    <s v="lůžkové oddělení 29A"/>
    <s v="1111 - lůžkové oddělení 29A"/>
    <s v="50115065     ostatní ZPr - vpichovací materiál (sk.Z_530)"/>
    <x v="14"/>
    <x v="0"/>
    <n v="1.143999999999"/>
    <n v="0.95009885242400005"/>
  </r>
  <r>
    <s v="11"/>
    <s v="11"/>
    <s v="Ortopedická klinika"/>
    <x v="10"/>
    <s v="1111"/>
    <s v="lůžkové oddělení 29A"/>
    <s v="1111 - lůžkové oddělení 29A"/>
    <s v="50115065     ostatní ZPr - vpichovací materiál (sk.Z_530)"/>
    <x v="14"/>
    <x v="1"/>
    <n v="3.0279999999999996"/>
    <n v="1.173533235611"/>
  </r>
  <r>
    <s v="11"/>
    <s v="11"/>
    <s v="Ortopedická klinika"/>
    <x v="10"/>
    <s v="1111"/>
    <s v="lůžkové oddělení 29A"/>
    <s v="1111 - lůžkové oddělení 29A"/>
    <s v="50115065     ostatní ZPr - vpichovací materiál (sk.Z_530)"/>
    <x v="14"/>
    <x v="2"/>
    <n v="3.3239999999999998"/>
    <n v="3.6501024613439998"/>
  </r>
  <r>
    <s v="11"/>
    <s v="11"/>
    <s v="Ortopedická klinika"/>
    <x v="10"/>
    <s v="1111"/>
    <s v="lůžkové oddělení 29A"/>
    <s v="1111 - lůžkové oddělení 29A"/>
    <s v="50115067     ostatní ZPr - rukavice (sk.Z_532)"/>
    <x v="15"/>
    <x v="0"/>
    <n v="24.847000000000001"/>
    <n v="25.002059156400001"/>
  </r>
  <r>
    <s v="11"/>
    <s v="11"/>
    <s v="Ortopedická klinika"/>
    <x v="10"/>
    <s v="1111"/>
    <s v="lůžkové oddělení 29A"/>
    <s v="1111 - lůžkové oddělení 29A"/>
    <s v="50115067     ostatní ZPr - rukavice (sk.Z_532)"/>
    <x v="15"/>
    <x v="1"/>
    <n v="26.280999999999999"/>
    <n v="25.198597011099"/>
  </r>
  <r>
    <s v="11"/>
    <s v="11"/>
    <s v="Ortopedická klinika"/>
    <x v="10"/>
    <s v="1111"/>
    <s v="lůžkové oddělení 29A"/>
    <s v="1111 - lůžkové oddělení 29A"/>
    <s v="50115067     ostatní ZPr - rukavice (sk.Z_532)"/>
    <x v="15"/>
    <x v="2"/>
    <n v="18.901199999999996"/>
    <n v="27.738747001848001"/>
  </r>
  <r>
    <s v="11"/>
    <s v="11"/>
    <s v="Ortopedická klinika"/>
    <x v="10"/>
    <s v="1112"/>
    <s v="lůžkové oddělení 29B"/>
    <s v="1112 - lůžkové oddělení 29B"/>
    <s v="50113     Léky a léčiva"/>
    <x v="2"/>
    <x v="0"/>
    <n v="559.00180999999907"/>
    <n v="608.45936843676395"/>
  </r>
  <r>
    <s v="11"/>
    <s v="11"/>
    <s v="Ortopedická klinika"/>
    <x v="10"/>
    <s v="1112"/>
    <s v="lůžkové oddělení 29B"/>
    <s v="1112 - lůžkové oddělení 29B"/>
    <s v="50113     Léky a léčiva"/>
    <x v="2"/>
    <x v="1"/>
    <n v="526.29309000000012"/>
    <n v="537.814749331087"/>
  </r>
  <r>
    <s v="11"/>
    <s v="11"/>
    <s v="Ortopedická klinika"/>
    <x v="10"/>
    <s v="1112"/>
    <s v="lůžkové oddělení 29B"/>
    <s v="1112 - lůžkové oddělení 29B"/>
    <s v="50113     Léky a léčiva"/>
    <x v="2"/>
    <x v="2"/>
    <n v="607.47661000000005"/>
    <n v="471.91070863647099"/>
  </r>
  <r>
    <s v="11"/>
    <s v="11"/>
    <s v="Ortopedická klinika"/>
    <x v="10"/>
    <s v="1112"/>
    <s v="lůžkové oddělení 29B"/>
    <s v="1112 - lůžkové oddělení 29B"/>
    <s v="50113001     léky - paušál+TISS (LEK)"/>
    <x v="3"/>
    <x v="0"/>
    <n v="452.97728999999902"/>
    <n v="497.99934812000703"/>
  </r>
  <r>
    <s v="11"/>
    <s v="11"/>
    <s v="Ortopedická klinika"/>
    <x v="10"/>
    <s v="1112"/>
    <s v="lůžkové oddělení 29B"/>
    <s v="1112 - lůžkové oddělení 29B"/>
    <s v="50113001     léky - paušál+TISS (LEK)"/>
    <x v="3"/>
    <x v="1"/>
    <n v="432.72598999999997"/>
    <n v="453.076651671663"/>
  </r>
  <r>
    <s v="11"/>
    <s v="11"/>
    <s v="Ortopedická klinika"/>
    <x v="10"/>
    <s v="1112"/>
    <s v="lůžkové oddělení 29B"/>
    <s v="1112 - lůžkové oddělení 29B"/>
    <s v="50113001     léky - paušál+TISS (LEK)"/>
    <x v="3"/>
    <x v="2"/>
    <n v="311.47113999999999"/>
    <n v="381.553837188236"/>
  </r>
  <r>
    <s v="11"/>
    <s v="11"/>
    <s v="Ortopedická klinika"/>
    <x v="10"/>
    <s v="1112"/>
    <s v="lůžkové oddělení 29B"/>
    <s v="1112 - lůžkové oddělení 29B"/>
    <s v="50113006     léky - enterální výživa (LEK)"/>
    <x v="4"/>
    <x v="2"/>
    <n v="0.38331999999999999"/>
    <n v="0"/>
  </r>
  <r>
    <s v="11"/>
    <s v="11"/>
    <s v="Ortopedická klinika"/>
    <x v="10"/>
    <s v="1112"/>
    <s v="lůžkové oddělení 29B"/>
    <s v="1112 - lůžkové oddělení 29B"/>
    <s v="50113008     léky - krev.deriváty ZUL (TO)"/>
    <x v="5"/>
    <x v="2"/>
    <n v="90.32396"/>
    <n v="0"/>
  </r>
  <r>
    <s v="11"/>
    <s v="11"/>
    <s v="Ortopedická klinika"/>
    <x v="10"/>
    <s v="1112"/>
    <s v="lůžkové oddělení 29B"/>
    <s v="1112 - lůžkové oddělení 29B"/>
    <s v="50113011     léky - hemofilici ZUL (TO)"/>
    <x v="6"/>
    <x v="1"/>
    <n v="13.300990000000001"/>
    <n v="0"/>
  </r>
  <r>
    <s v="11"/>
    <s v="11"/>
    <s v="Ortopedická klinika"/>
    <x v="10"/>
    <s v="1112"/>
    <s v="lůžkové oddělení 29B"/>
    <s v="1112 - lůžkové oddělení 29B"/>
    <s v="50113011     léky - hemofilici ZUL (TO)"/>
    <x v="6"/>
    <x v="2"/>
    <n v="146.29277999999999"/>
    <n v="13.999999559033"/>
  </r>
  <r>
    <s v="11"/>
    <s v="11"/>
    <s v="Ortopedická klinika"/>
    <x v="10"/>
    <s v="1112"/>
    <s v="lůžkové oddělení 29B"/>
    <s v="1112 - lůžkové oddělení 29B"/>
    <s v="50113013     léky (paušál) - antibiotika (LEK)"/>
    <x v="7"/>
    <x v="0"/>
    <n v="103.154119999999"/>
    <n v="102"/>
  </r>
  <r>
    <s v="11"/>
    <s v="11"/>
    <s v="Ortopedická klinika"/>
    <x v="10"/>
    <s v="1112"/>
    <s v="lůžkové oddělení 29B"/>
    <s v="1112 - lůžkové oddělení 29B"/>
    <s v="50113013     léky (paušál) - antibiotika (LEK)"/>
    <x v="7"/>
    <x v="1"/>
    <n v="78.352510000000009"/>
    <n v="81.991925169165"/>
  </r>
  <r>
    <s v="11"/>
    <s v="11"/>
    <s v="Ortopedická klinika"/>
    <x v="10"/>
    <s v="1112"/>
    <s v="lůžkové oddělení 29B"/>
    <s v="1112 - lůžkové oddělení 29B"/>
    <s v="50113013     léky (paušál) - antibiotika (LEK)"/>
    <x v="7"/>
    <x v="2"/>
    <n v="53.859160000000003"/>
    <n v="72.889397036440997"/>
  </r>
  <r>
    <s v="11"/>
    <s v="11"/>
    <s v="Ortopedická klinika"/>
    <x v="10"/>
    <s v="1112"/>
    <s v="lůžkové oddělení 29B"/>
    <s v="1112 - lůžkové oddělení 29B"/>
    <s v="50113014     léky (paušál) - antimykotika (LEK)"/>
    <x v="8"/>
    <x v="0"/>
    <n v="0"/>
    <n v="0.16977450276799999"/>
  </r>
  <r>
    <s v="11"/>
    <s v="11"/>
    <s v="Ortopedická klinika"/>
    <x v="10"/>
    <s v="1112"/>
    <s v="lůžkové oddělení 29B"/>
    <s v="1112 - lůžkové oddělení 29B"/>
    <s v="50113190     medicinální plyny"/>
    <x v="9"/>
    <x v="0"/>
    <n v="2.870399999999"/>
    <n v="8.2902458139869992"/>
  </r>
  <r>
    <s v="11"/>
    <s v="11"/>
    <s v="Ortopedická klinika"/>
    <x v="10"/>
    <s v="1112"/>
    <s v="lůžkové oddělení 29B"/>
    <s v="1112 - lůžkové oddělení 29B"/>
    <s v="50113190     medicinální plyny"/>
    <x v="9"/>
    <x v="1"/>
    <n v="1.9136"/>
    <n v="2.7461724902569999"/>
  </r>
  <r>
    <s v="11"/>
    <s v="11"/>
    <s v="Ortopedická klinika"/>
    <x v="10"/>
    <s v="1112"/>
    <s v="lůžkové oddělení 29B"/>
    <s v="1112 - lůžkové oddělení 29B"/>
    <s v="50113190     medicinální plyny"/>
    <x v="9"/>
    <x v="2"/>
    <n v="5.1462500000000002"/>
    <n v="3.467474852759"/>
  </r>
  <r>
    <s v="11"/>
    <s v="11"/>
    <s v="Ortopedická klinika"/>
    <x v="10"/>
    <s v="1112"/>
    <s v="lůžkové oddělení 29B"/>
    <s v="1112 - lůžkové oddělení 29B"/>
    <s v="50115     Zdravotnické prostředky"/>
    <x v="0"/>
    <x v="0"/>
    <n v="260.90199999999999"/>
    <n v="245.74802254155901"/>
  </r>
  <r>
    <s v="11"/>
    <s v="11"/>
    <s v="Ortopedická klinika"/>
    <x v="10"/>
    <s v="1112"/>
    <s v="lůžkové oddělení 29B"/>
    <s v="1112 - lůžkové oddělení 29B"/>
    <s v="50115     Zdravotnické prostředky"/>
    <x v="0"/>
    <x v="1"/>
    <n v="272.42734999999999"/>
    <n v="260.349937488509"/>
  </r>
  <r>
    <s v="11"/>
    <s v="11"/>
    <s v="Ortopedická klinika"/>
    <x v="10"/>
    <s v="1112"/>
    <s v="lůžkové oddělení 29B"/>
    <s v="1112 - lůžkové oddělení 29B"/>
    <s v="50115     Zdravotnické prostředky"/>
    <x v="0"/>
    <x v="2"/>
    <n v="256.17699000000005"/>
    <n v="295.977286261583"/>
  </r>
  <r>
    <s v="11"/>
    <s v="11"/>
    <s v="Ortopedická klinika"/>
    <x v="10"/>
    <s v="1112"/>
    <s v="lůžkové oddělení 29B"/>
    <s v="1112 - lůžkové oddělení 29B"/>
    <s v="50115020     diagnostika laboratorní-LEK (sk.Z_501)"/>
    <x v="10"/>
    <x v="0"/>
    <n v="2.3834699999989999"/>
    <n v="6.4297133680260004"/>
  </r>
  <r>
    <s v="11"/>
    <s v="11"/>
    <s v="Ortopedická klinika"/>
    <x v="10"/>
    <s v="1112"/>
    <s v="lůžkové oddělení 29B"/>
    <s v="1112 - lůžkové oddělení 29B"/>
    <s v="50115020     diagnostika laboratorní-LEK (sk.Z_501)"/>
    <x v="10"/>
    <x v="1"/>
    <n v="0.83662999999999998"/>
    <n v="2.3834674755430001"/>
  </r>
  <r>
    <s v="11"/>
    <s v="11"/>
    <s v="Ortopedická klinika"/>
    <x v="10"/>
    <s v="1112"/>
    <s v="lůžkové oddělení 29B"/>
    <s v="1112 - lůžkové oddělení 29B"/>
    <s v="50115020     diagnostika laboratorní-LEK (sk.Z_501)"/>
    <x v="10"/>
    <x v="2"/>
    <n v="0"/>
    <n v="1.2456187791190001"/>
  </r>
  <r>
    <s v="11"/>
    <s v="11"/>
    <s v="Ortopedická klinika"/>
    <x v="10"/>
    <s v="1112"/>
    <s v="lůžkové oddělení 29B"/>
    <s v="1112 - lůžkové oddělení 29B"/>
    <s v="50115050     obvazový materiál (sk.Z_502)"/>
    <x v="12"/>
    <x v="0"/>
    <n v="108.108959999999"/>
    <n v="108.952424493333"/>
  </r>
  <r>
    <s v="11"/>
    <s v="11"/>
    <s v="Ortopedická klinika"/>
    <x v="10"/>
    <s v="1112"/>
    <s v="lůžkové oddělení 29B"/>
    <s v="1112 - lůžkové oddělení 29B"/>
    <s v="50115050     obvazový materiál (sk.Z_502)"/>
    <x v="12"/>
    <x v="1"/>
    <n v="108.62926"/>
    <n v="108.35480533869099"/>
  </r>
  <r>
    <s v="11"/>
    <s v="11"/>
    <s v="Ortopedická klinika"/>
    <x v="10"/>
    <s v="1112"/>
    <s v="lůžkové oddělení 29B"/>
    <s v="1112 - lůžkové oddělení 29B"/>
    <s v="50115050     obvazový materiál (sk.Z_502)"/>
    <x v="12"/>
    <x v="2"/>
    <n v="104.60377"/>
    <n v="108.728648770658"/>
  </r>
  <r>
    <s v="11"/>
    <s v="11"/>
    <s v="Ortopedická klinika"/>
    <x v="10"/>
    <s v="1112"/>
    <s v="lůžkové oddělení 29B"/>
    <s v="1112 - lůžkové oddělení 29B"/>
    <s v="50115060     ostatní ZPr - mimo níže uvedené (sk.Z_503)"/>
    <x v="1"/>
    <x v="0"/>
    <n v="81.554569999999003"/>
    <n v="80.039930487614001"/>
  </r>
  <r>
    <s v="11"/>
    <s v="11"/>
    <s v="Ortopedická klinika"/>
    <x v="10"/>
    <s v="1112"/>
    <s v="lůžkové oddělení 29B"/>
    <s v="1112 - lůžkové oddělení 29B"/>
    <s v="50115060     ostatní ZPr - mimo níže uvedené (sk.Z_503)"/>
    <x v="1"/>
    <x v="1"/>
    <n v="91.916460000000015"/>
    <n v="81.553955621678995"/>
  </r>
  <r>
    <s v="11"/>
    <s v="11"/>
    <s v="Ortopedická klinika"/>
    <x v="10"/>
    <s v="1112"/>
    <s v="lůžkové oddělení 29B"/>
    <s v="1112 - lůžkové oddělení 29B"/>
    <s v="50115060     ostatní ZPr - mimo níže uvedené (sk.Z_503)"/>
    <x v="1"/>
    <x v="2"/>
    <n v="78.741590000000002"/>
    <n v="112.40900345844901"/>
  </r>
  <r>
    <s v="11"/>
    <s v="11"/>
    <s v="Ortopedická klinika"/>
    <x v="10"/>
    <s v="1112"/>
    <s v="lůžkové oddělení 29B"/>
    <s v="1112 - lůžkové oddělení 29B"/>
    <s v="50115063     ostatní ZPr - vaky, sety (sk.Z_528)"/>
    <x v="13"/>
    <x v="0"/>
    <n v="51.892999999999006"/>
    <n v="30.632664283335"/>
  </r>
  <r>
    <s v="11"/>
    <s v="11"/>
    <s v="Ortopedická klinika"/>
    <x v="10"/>
    <s v="1112"/>
    <s v="lůžkové oddělení 29B"/>
    <s v="1112 - lůžkové oddělení 29B"/>
    <s v="50115063     ostatní ZPr - vaky, sety (sk.Z_528)"/>
    <x v="13"/>
    <x v="1"/>
    <n v="50.634000000000007"/>
    <n v="50.835647629336002"/>
  </r>
  <r>
    <s v="11"/>
    <s v="11"/>
    <s v="Ortopedická klinika"/>
    <x v="10"/>
    <s v="1112"/>
    <s v="lůžkové oddělení 29B"/>
    <s v="1112 - lůžkové oddělení 29B"/>
    <s v="50115063     ostatní ZPr - vaky, sety (sk.Z_528)"/>
    <x v="13"/>
    <x v="2"/>
    <n v="54.118630000000003"/>
    <n v="51.868835701511003"/>
  </r>
  <r>
    <s v="11"/>
    <s v="11"/>
    <s v="Ortopedická klinika"/>
    <x v="10"/>
    <s v="1112"/>
    <s v="lůžkové oddělení 29B"/>
    <s v="1112 - lůžkové oddělení 29B"/>
    <s v="50115064     ostatní ZPr - šicí materiál (sk.Z_529)"/>
    <x v="21"/>
    <x v="0"/>
    <n v="0"/>
    <n v="1"/>
  </r>
  <r>
    <s v="11"/>
    <s v="11"/>
    <s v="Ortopedická klinika"/>
    <x v="10"/>
    <s v="1112"/>
    <s v="lůžkové oddělení 29B"/>
    <s v="1112 - lůžkové oddělení 29B"/>
    <s v="50115065     ostatní ZPr - vpichovací materiál (sk.Z_530)"/>
    <x v="14"/>
    <x v="0"/>
    <n v="1.7179999999999997"/>
    <n v="0.79181555326700004"/>
  </r>
  <r>
    <s v="11"/>
    <s v="11"/>
    <s v="Ortopedická klinika"/>
    <x v="10"/>
    <s v="1112"/>
    <s v="lůžkové oddělení 29B"/>
    <s v="1112 - lůžkové oddělení 29B"/>
    <s v="50115065     ostatní ZPr - vpichovací materiál (sk.Z_530)"/>
    <x v="14"/>
    <x v="1"/>
    <n v="3.6189999999999998"/>
    <n v="1.7623514849469999"/>
  </r>
  <r>
    <s v="11"/>
    <s v="11"/>
    <s v="Ortopedická klinika"/>
    <x v="10"/>
    <s v="1112"/>
    <s v="lůžkové oddělení 29B"/>
    <s v="1112 - lůžkové oddělení 29B"/>
    <s v="50115065     ostatní ZPr - vpichovací materiál (sk.Z_530)"/>
    <x v="14"/>
    <x v="2"/>
    <n v="4.0870000000000006"/>
    <n v="4.0461546345689996"/>
  </r>
  <r>
    <s v="11"/>
    <s v="11"/>
    <s v="Ortopedická klinika"/>
    <x v="10"/>
    <s v="1112"/>
    <s v="lůžkové oddělení 29B"/>
    <s v="1112 - lůžkové oddělení 29B"/>
    <s v="50115067     ostatní ZPr - rukavice (sk.Z_532)"/>
    <x v="15"/>
    <x v="0"/>
    <n v="15.243999999999001"/>
    <n v="17.901474355982"/>
  </r>
  <r>
    <s v="11"/>
    <s v="11"/>
    <s v="Ortopedická klinika"/>
    <x v="10"/>
    <s v="1112"/>
    <s v="lůžkové oddělení 29B"/>
    <s v="1112 - lůžkové oddělení 29B"/>
    <s v="50115067     ostatní ZPr - rukavice (sk.Z_532)"/>
    <x v="15"/>
    <x v="1"/>
    <n v="16.792000000000002"/>
    <n v="15.459709938310001"/>
  </r>
  <r>
    <s v="11"/>
    <s v="11"/>
    <s v="Ortopedická klinika"/>
    <x v="10"/>
    <s v="1112"/>
    <s v="lůžkové oddělení 29B"/>
    <s v="1112 - lůžkové oddělení 29B"/>
    <s v="50115067     ostatní ZPr - rukavice (sk.Z_532)"/>
    <x v="15"/>
    <x v="2"/>
    <n v="14.625999999999999"/>
    <n v="17.679024917275001"/>
  </r>
  <r>
    <s v="11"/>
    <s v="11"/>
    <s v="Ortopedická klinika"/>
    <x v="10"/>
    <s v="1113"/>
    <s v="lůžkové oddělení 29C (6 lůžek KÚČOCH)"/>
    <s v="1113 - lůžkové oddělení 29C (6 lůžek KÚČOCH)"/>
    <s v="50113     Léky a léčiva"/>
    <x v="2"/>
    <x v="0"/>
    <n v="724.65224999999896"/>
    <n v="717.35137349329295"/>
  </r>
  <r>
    <s v="11"/>
    <s v="11"/>
    <s v="Ortopedická klinika"/>
    <x v="10"/>
    <s v="1113"/>
    <s v="lůžkové oddělení 29C (6 lůžek KÚČOCH)"/>
    <s v="1113 - lůžkové oddělení 29C (6 lůžek KÚČOCH)"/>
    <s v="50113     Léky a léčiva"/>
    <x v="2"/>
    <x v="1"/>
    <n v="661.64407000000006"/>
    <n v="607.05482498622996"/>
  </r>
  <r>
    <s v="11"/>
    <s v="11"/>
    <s v="Ortopedická klinika"/>
    <x v="10"/>
    <s v="1113"/>
    <s v="lůžkové oddělení 29C (6 lůžek KÚČOCH)"/>
    <s v="1113 - lůžkové oddělení 29C (6 lůžek KÚČOCH)"/>
    <s v="50113     Léky a léčiva"/>
    <x v="2"/>
    <x v="2"/>
    <n v="451.90305999999998"/>
    <n v="722.662433342074"/>
  </r>
  <r>
    <s v="11"/>
    <s v="11"/>
    <s v="Ortopedická klinika"/>
    <x v="10"/>
    <s v="1113"/>
    <s v="lůžkové oddělení 29C (6 lůžek KÚČOCH)"/>
    <s v="1113 - lůžkové oddělení 29C (6 lůžek KÚČOCH)"/>
    <s v="50113001     léky - paušál+TISS (LEK)"/>
    <x v="3"/>
    <x v="0"/>
    <n v="238.01050000000001"/>
    <n v="231.16637291827499"/>
  </r>
  <r>
    <s v="11"/>
    <s v="11"/>
    <s v="Ortopedická klinika"/>
    <x v="10"/>
    <s v="1113"/>
    <s v="lůžkové oddělení 29C (6 lůžek KÚČOCH)"/>
    <s v="1113 - lůžkové oddělení 29C (6 lůžek KÚČOCH)"/>
    <s v="50113001     léky - paušál+TISS (LEK)"/>
    <x v="3"/>
    <x v="1"/>
    <n v="165.84339999999997"/>
    <n v="222.86244871235701"/>
  </r>
  <r>
    <s v="11"/>
    <s v="11"/>
    <s v="Ortopedická klinika"/>
    <x v="10"/>
    <s v="1113"/>
    <s v="lůžkové oddělení 29C (6 lůžek KÚČOCH)"/>
    <s v="1113 - lůžkové oddělení 29C (6 lůžek KÚČOCH)"/>
    <s v="50113001     léky - paušál+TISS (LEK)"/>
    <x v="3"/>
    <x v="2"/>
    <n v="170.72728000000001"/>
    <n v="153.399317905076"/>
  </r>
  <r>
    <s v="11"/>
    <s v="11"/>
    <s v="Ortopedická klinika"/>
    <x v="10"/>
    <s v="1113"/>
    <s v="lůžkové oddělení 29C (6 lůžek KÚČOCH)"/>
    <s v="1113 - lůžkové oddělení 29C (6 lůžek KÚČOCH)"/>
    <s v="50113006     léky - enterální výživa (LEK)"/>
    <x v="4"/>
    <x v="0"/>
    <n v="0.99129999999999996"/>
    <n v="3"/>
  </r>
  <r>
    <s v="11"/>
    <s v="11"/>
    <s v="Ortopedická klinika"/>
    <x v="10"/>
    <s v="1113"/>
    <s v="lůžkové oddělení 29C (6 lůžek KÚČOCH)"/>
    <s v="1113 - lůžkové oddělení 29C (6 lůžek KÚČOCH)"/>
    <s v="50113006     léky - enterální výživa (LEK)"/>
    <x v="4"/>
    <x v="1"/>
    <n v="0"/>
    <n v="0.98981898306299998"/>
  </r>
  <r>
    <s v="11"/>
    <s v="11"/>
    <s v="Ortopedická klinika"/>
    <x v="10"/>
    <s v="1113"/>
    <s v="lůžkové oddělení 29C (6 lůžek KÚČOCH)"/>
    <s v="1113 - lůžkové oddělení 29C (6 lůžek KÚČOCH)"/>
    <s v="50113006     léky - enterální výživa (LEK)"/>
    <x v="4"/>
    <x v="2"/>
    <n v="1.21946"/>
    <n v="0"/>
  </r>
  <r>
    <s v="11"/>
    <s v="11"/>
    <s v="Ortopedická klinika"/>
    <x v="10"/>
    <s v="1113"/>
    <s v="lůžkové oddělení 29C (6 lůžek KÚČOCH)"/>
    <s v="1113 - lůžkové oddělení 29C (6 lůžek KÚČOCH)"/>
    <s v="50113008     léky - krev.deriváty ZUL (TO)"/>
    <x v="5"/>
    <x v="0"/>
    <n v="11.26033"/>
    <n v="0"/>
  </r>
  <r>
    <s v="11"/>
    <s v="11"/>
    <s v="Ortopedická klinika"/>
    <x v="10"/>
    <s v="1113"/>
    <s v="lůžkové oddělení 29C (6 lůžek KÚČOCH)"/>
    <s v="1113 - lůžkové oddělení 29C (6 lůžek KÚČOCH)"/>
    <s v="50113008     léky - krev.deriváty ZUL (TO)"/>
    <x v="5"/>
    <x v="1"/>
    <n v="4.22262"/>
    <n v="11.000096587351999"/>
  </r>
  <r>
    <s v="11"/>
    <s v="11"/>
    <s v="Ortopedická klinika"/>
    <x v="10"/>
    <s v="1113"/>
    <s v="lůžkové oddělení 29C (6 lůžek KÚČOCH)"/>
    <s v="1113 - lůžkové oddělení 29C (6 lůžek KÚČOCH)"/>
    <s v="50113008     léky - krev.deriváty ZUL (TO)"/>
    <x v="5"/>
    <x v="2"/>
    <n v="5.2063000000000006"/>
    <n v="14.757695199992"/>
  </r>
  <r>
    <s v="11"/>
    <s v="11"/>
    <s v="Ortopedická klinika"/>
    <x v="10"/>
    <s v="1113"/>
    <s v="lůžkové oddělení 29C (6 lůžek KÚČOCH)"/>
    <s v="1113 - lůžkové oddělení 29C (6 lůžek KÚČOCH)"/>
    <s v="50113011     léky - hemofilici ZUL (TO)"/>
    <x v="6"/>
    <x v="0"/>
    <n v="0"/>
    <n v="32.975012947339998"/>
  </r>
  <r>
    <s v="11"/>
    <s v="11"/>
    <s v="Ortopedická klinika"/>
    <x v="10"/>
    <s v="1113"/>
    <s v="lůžkové oddělení 29C (6 lůžek KÚČOCH)"/>
    <s v="1113 - lůžkové oddělení 29C (6 lůžek KÚČOCH)"/>
    <s v="50113013     léky (paušál) - antibiotika (LEK)"/>
    <x v="7"/>
    <x v="0"/>
    <n v="463.91297999999995"/>
    <n v="442.41666666666703"/>
  </r>
  <r>
    <s v="11"/>
    <s v="11"/>
    <s v="Ortopedická klinika"/>
    <x v="10"/>
    <s v="1113"/>
    <s v="lůžkové oddělení 29C (6 lůžek KÚČOCH)"/>
    <s v="1113 - lůžkové oddělení 29C (6 lůžek KÚČOCH)"/>
    <s v="50113013     léky (paušál) - antibiotika (LEK)"/>
    <x v="7"/>
    <x v="1"/>
    <n v="476.43081999999993"/>
    <n v="361.96625874258598"/>
  </r>
  <r>
    <s v="11"/>
    <s v="11"/>
    <s v="Ortopedická klinika"/>
    <x v="10"/>
    <s v="1113"/>
    <s v="lůžkové oddělení 29C (6 lůžek KÚČOCH)"/>
    <s v="1113 - lůžkové oddělení 29C (6 lůžek KÚČOCH)"/>
    <s v="50113013     léky (paušál) - antibiotika (LEK)"/>
    <x v="7"/>
    <x v="2"/>
    <n v="265.64407"/>
    <n v="534.99998314879599"/>
  </r>
  <r>
    <s v="11"/>
    <s v="11"/>
    <s v="Ortopedická klinika"/>
    <x v="10"/>
    <s v="1113"/>
    <s v="lůžkové oddělení 29C (6 lůžek KÚČOCH)"/>
    <s v="1113 - lůžkové oddělení 29C (6 lůžek KÚČOCH)"/>
    <s v="50113014     léky (paušál) - antimykotika (LEK)"/>
    <x v="8"/>
    <x v="0"/>
    <n v="4.7363400000000002"/>
    <n v="7.79332096101"/>
  </r>
  <r>
    <s v="11"/>
    <s v="11"/>
    <s v="Ortopedická klinika"/>
    <x v="10"/>
    <s v="1113"/>
    <s v="lůžkové oddělení 29C (6 lůžek KÚČOCH)"/>
    <s v="1113 - lůžkové oddělení 29C (6 lůžek KÚČOCH)"/>
    <s v="50113014     léky (paušál) - antimykotika (LEK)"/>
    <x v="8"/>
    <x v="1"/>
    <n v="8.4496299999999991"/>
    <n v="4.7438569803549999"/>
  </r>
  <r>
    <s v="11"/>
    <s v="11"/>
    <s v="Ortopedická klinika"/>
    <x v="10"/>
    <s v="1113"/>
    <s v="lůžkové oddělení 29C (6 lůžek KÚČOCH)"/>
    <s v="1113 - lůžkové oddělení 29C (6 lůžek KÚČOCH)"/>
    <s v="50113014     léky (paušál) - antimykotika (LEK)"/>
    <x v="8"/>
    <x v="2"/>
    <n v="6.0182000000000002"/>
    <n v="4.7686689639799997"/>
  </r>
  <r>
    <s v="11"/>
    <s v="11"/>
    <s v="Ortopedická klinika"/>
    <x v="10"/>
    <s v="1113"/>
    <s v="lůžkové oddělení 29C (6 lůžek KÚČOCH)"/>
    <s v="1113 - lůžkové oddělení 29C (6 lůžek KÚČOCH)"/>
    <s v="50113190     medicinální plyny"/>
    <x v="9"/>
    <x v="0"/>
    <n v="5.7408000000000001"/>
    <n v="0"/>
  </r>
  <r>
    <s v="11"/>
    <s v="11"/>
    <s v="Ortopedická klinika"/>
    <x v="10"/>
    <s v="1113"/>
    <s v="lůžkové oddělení 29C (6 lůžek KÚČOCH)"/>
    <s v="1113 - lůžkové oddělení 29C (6 lůžek KÚČOCH)"/>
    <s v="50113190     medicinální plyny"/>
    <x v="9"/>
    <x v="1"/>
    <n v="6.6975999999999996"/>
    <n v="5.492344980515"/>
  </r>
  <r>
    <s v="11"/>
    <s v="11"/>
    <s v="Ortopedická klinika"/>
    <x v="10"/>
    <s v="1113"/>
    <s v="lůžkové oddělení 29C (6 lůžek KÚČOCH)"/>
    <s v="1113 - lůžkové oddělení 29C (6 lůžek KÚČOCH)"/>
    <s v="50113190     medicinální plyny"/>
    <x v="9"/>
    <x v="2"/>
    <n v="3.0877500000000002"/>
    <n v="14.736768124228"/>
  </r>
  <r>
    <s v="11"/>
    <s v="11"/>
    <s v="Ortopedická klinika"/>
    <x v="10"/>
    <s v="1113"/>
    <s v="lůžkové oddělení 29C (6 lůžek KÚČOCH)"/>
    <s v="1113 - lůžkové oddělení 29C (6 lůžek KÚČOCH)"/>
    <s v="50115     Zdravotnické prostředky"/>
    <x v="0"/>
    <x v="0"/>
    <n v="248.42049999999901"/>
    <n v="218.63667309557101"/>
  </r>
  <r>
    <s v="11"/>
    <s v="11"/>
    <s v="Ortopedická klinika"/>
    <x v="10"/>
    <s v="1113"/>
    <s v="lůžkové oddělení 29C (6 lůžek KÚČOCH)"/>
    <s v="1113 - lůžkové oddělení 29C (6 lůžek KÚČOCH)"/>
    <s v="50115     Zdravotnické prostředky"/>
    <x v="0"/>
    <x v="1"/>
    <n v="246.18489999999994"/>
    <n v="248.02523242087301"/>
  </r>
  <r>
    <s v="11"/>
    <s v="11"/>
    <s v="Ortopedická klinika"/>
    <x v="10"/>
    <s v="1113"/>
    <s v="lůžkové oddělení 29C (6 lůžek KÚČOCH)"/>
    <s v="1113 - lůžkové oddělení 29C (6 lůžek KÚČOCH)"/>
    <s v="50115     Zdravotnické prostředky"/>
    <x v="0"/>
    <x v="2"/>
    <n v="192.40788000000001"/>
    <n v="253.083805080681"/>
  </r>
  <r>
    <s v="11"/>
    <s v="11"/>
    <s v="Ortopedická klinika"/>
    <x v="10"/>
    <s v="1113"/>
    <s v="lůžkové oddělení 29C (6 lůžek KÚČOCH)"/>
    <s v="1113 - lůžkové oddělení 29C (6 lůžek KÚČOCH)"/>
    <s v="50115020     diagnostika laboratorní-LEK (sk.Z_501)"/>
    <x v="10"/>
    <x v="0"/>
    <n v="1.67326"/>
    <n v="1.894736769968"/>
  </r>
  <r>
    <s v="11"/>
    <s v="11"/>
    <s v="Ortopedická klinika"/>
    <x v="10"/>
    <s v="1113"/>
    <s v="lůžkové oddělení 29C (6 lůžek KÚČOCH)"/>
    <s v="1113 - lůžkové oddělení 29C (6 lůžek KÚČOCH)"/>
    <s v="50115020     diagnostika laboratorní-LEK (sk.Z_501)"/>
    <x v="10"/>
    <x v="1"/>
    <n v="0.30492000000000002"/>
    <n v="1.6732582277629999"/>
  </r>
  <r>
    <s v="11"/>
    <s v="11"/>
    <s v="Ortopedická klinika"/>
    <x v="10"/>
    <s v="1113"/>
    <s v="lůžkové oddělení 29C (6 lůžek KÚČOCH)"/>
    <s v="1113 - lůžkové oddělení 29C (6 lůžek KÚČOCH)"/>
    <s v="50115020     diagnostika laboratorní-LEK (sk.Z_501)"/>
    <x v="10"/>
    <x v="2"/>
    <n v="5.8631600000000006"/>
    <n v="0.68097141770299996"/>
  </r>
  <r>
    <s v="11"/>
    <s v="11"/>
    <s v="Ortopedická klinika"/>
    <x v="10"/>
    <s v="1113"/>
    <s v="lůžkové oddělení 29C (6 lůžek KÚČOCH)"/>
    <s v="1113 - lůžkové oddělení 29C (6 lůžek KÚČOCH)"/>
    <s v="50115050     obvazový materiál (sk.Z_502)"/>
    <x v="12"/>
    <x v="0"/>
    <n v="86.669370000000001"/>
    <n v="57.582031791672001"/>
  </r>
  <r>
    <s v="11"/>
    <s v="11"/>
    <s v="Ortopedická klinika"/>
    <x v="10"/>
    <s v="1113"/>
    <s v="lůžkové oddělení 29C (6 lůžek KÚČOCH)"/>
    <s v="1113 - lůžkové oddělení 29C (6 lůžek KÚČOCH)"/>
    <s v="50115050     obvazový materiál (sk.Z_502)"/>
    <x v="12"/>
    <x v="1"/>
    <n v="103.35844"/>
    <n v="86.866460607676999"/>
  </r>
  <r>
    <s v="11"/>
    <s v="11"/>
    <s v="Ortopedická klinika"/>
    <x v="10"/>
    <s v="1113"/>
    <s v="lůžkové oddělení 29C (6 lůžek KÚČOCH)"/>
    <s v="1113 - lůžkové oddělení 29C (6 lůžek KÚČOCH)"/>
    <s v="50115050     obvazový materiál (sk.Z_502)"/>
    <x v="12"/>
    <x v="2"/>
    <n v="61.081249999999997"/>
    <n v="93.427761844192005"/>
  </r>
  <r>
    <s v="11"/>
    <s v="11"/>
    <s v="Ortopedická klinika"/>
    <x v="10"/>
    <s v="1113"/>
    <s v="lůžkové oddělení 29C (6 lůžek KÚČOCH)"/>
    <s v="1113 - lůžkové oddělení 29C (6 lůžek KÚČOCH)"/>
    <s v="50115060     ostatní ZPr - mimo níže uvedené (sk.Z_503)"/>
    <x v="1"/>
    <x v="0"/>
    <n v="88.610869999998997"/>
    <n v="92.699756950725998"/>
  </r>
  <r>
    <s v="11"/>
    <s v="11"/>
    <s v="Ortopedická klinika"/>
    <x v="10"/>
    <s v="1113"/>
    <s v="lůžkové oddělení 29C (6 lůžek KÚČOCH)"/>
    <s v="1113 - lůžkové oddělení 29C (6 lůžek KÚČOCH)"/>
    <s v="50115060     ostatní ZPr - mimo níže uvedené (sk.Z_503)"/>
    <x v="1"/>
    <x v="1"/>
    <n v="73.375410000000002"/>
    <n v="88.610202464170001"/>
  </r>
  <r>
    <s v="11"/>
    <s v="11"/>
    <s v="Ortopedická klinika"/>
    <x v="10"/>
    <s v="1113"/>
    <s v="lůžkové oddělení 29C (6 lůžek KÚČOCH)"/>
    <s v="1113 - lůžkové oddělení 29C (6 lůžek KÚČOCH)"/>
    <s v="50115060     ostatní ZPr - mimo níže uvedené (sk.Z_503)"/>
    <x v="1"/>
    <x v="2"/>
    <n v="54.111969999999999"/>
    <n v="83.910278784054995"/>
  </r>
  <r>
    <s v="11"/>
    <s v="11"/>
    <s v="Ortopedická klinika"/>
    <x v="10"/>
    <s v="1113"/>
    <s v="lůžkové oddělení 29C (6 lůžek KÚČOCH)"/>
    <s v="1113 - lůžkové oddělení 29C (6 lůžek KÚČOCH)"/>
    <s v="50115063     ostatní ZPr - vaky, sety (sk.Z_528)"/>
    <x v="13"/>
    <x v="0"/>
    <n v="47.190999999999001"/>
    <n v="49"/>
  </r>
  <r>
    <s v="11"/>
    <s v="11"/>
    <s v="Ortopedická klinika"/>
    <x v="10"/>
    <s v="1113"/>
    <s v="lůžkové oddělení 29C (6 lůžek KÚČOCH)"/>
    <s v="1113 - lůžkové oddělení 29C (6 lůžek KÚČOCH)"/>
    <s v="50115063     ostatní ZPr - vaky, sety (sk.Z_528)"/>
    <x v="13"/>
    <x v="1"/>
    <n v="42.858000000000004"/>
    <n v="46.229453823752998"/>
  </r>
  <r>
    <s v="11"/>
    <s v="11"/>
    <s v="Ortopedická klinika"/>
    <x v="10"/>
    <s v="1113"/>
    <s v="lůžkové oddělení 29C (6 lůžek KÚČOCH)"/>
    <s v="1113 - lůžkové oddělení 29C (6 lůžek KÚČOCH)"/>
    <s v="50115063     ostatní ZPr - vaky, sety (sk.Z_528)"/>
    <x v="13"/>
    <x v="2"/>
    <n v="50.430500000000002"/>
    <n v="47.842697772571"/>
  </r>
  <r>
    <s v="11"/>
    <s v="11"/>
    <s v="Ortopedická klinika"/>
    <x v="10"/>
    <s v="1113"/>
    <s v="lůžkové oddělení 29C (6 lůžek KÚČOCH)"/>
    <s v="1113 - lůžkové oddělení 29C (6 lůžek KÚČOCH)"/>
    <s v="50115065     ostatní ZPr - vpichovací materiál (sk.Z_530)"/>
    <x v="14"/>
    <x v="0"/>
    <n v="2.258"/>
    <n v="1.8950099138000001"/>
  </r>
  <r>
    <s v="11"/>
    <s v="11"/>
    <s v="Ortopedická klinika"/>
    <x v="10"/>
    <s v="1113"/>
    <s v="lůžkové oddělení 29C (6 lůžek KÚČOCH)"/>
    <s v="1113 - lůžkové oddělení 29C (6 lůžek KÚČOCH)"/>
    <s v="50115065     ostatní ZPr - vpichovací materiál (sk.Z_530)"/>
    <x v="14"/>
    <x v="1"/>
    <n v="3.0730000000000004"/>
    <n v="2.3162919982600001"/>
  </r>
  <r>
    <s v="11"/>
    <s v="11"/>
    <s v="Ortopedická klinika"/>
    <x v="10"/>
    <s v="1113"/>
    <s v="lůžkové oddělení 29C (6 lůžek KÚČOCH)"/>
    <s v="1113 - lůžkové oddělení 29C (6 lůžek KÚČOCH)"/>
    <s v="50115065     ostatní ZPr - vpichovací materiál (sk.Z_530)"/>
    <x v="14"/>
    <x v="2"/>
    <n v="3.8810000000000002"/>
    <n v="3.54187198758"/>
  </r>
  <r>
    <s v="11"/>
    <s v="11"/>
    <s v="Ortopedická klinika"/>
    <x v="10"/>
    <s v="1113"/>
    <s v="lůžkové oddělení 29C (6 lůžek KÚČOCH)"/>
    <s v="1113 - lůžkové oddělení 29C (6 lůžek KÚČOCH)"/>
    <s v="50115067     ostatní ZPr - rukavice (sk.Z_532)"/>
    <x v="15"/>
    <x v="0"/>
    <n v="22.018000000000001"/>
    <n v="15.565137669402"/>
  </r>
  <r>
    <s v="11"/>
    <s v="11"/>
    <s v="Ortopedická klinika"/>
    <x v="10"/>
    <s v="1113"/>
    <s v="lůžkové oddělení 29C (6 lůžek KÚČOCH)"/>
    <s v="1113 - lůžkové oddělení 29C (6 lůžek KÚČOCH)"/>
    <s v="50115067     ostatní ZPr - rukavice (sk.Z_532)"/>
    <x v="15"/>
    <x v="1"/>
    <n v="23.215129999999998"/>
    <n v="22.329565299247001"/>
  </r>
  <r>
    <s v="11"/>
    <s v="11"/>
    <s v="Ortopedická klinika"/>
    <x v="10"/>
    <s v="1113"/>
    <s v="lůžkové oddělení 29C (6 lůžek KÚČOCH)"/>
    <s v="1113 - lůžkové oddělení 29C (6 lůžek KÚČOCH)"/>
    <s v="50115067     ostatní ZPr - rukavice (sk.Z_532)"/>
    <x v="15"/>
    <x v="2"/>
    <n v="17.04"/>
    <n v="23.680223274578001"/>
  </r>
  <r>
    <s v="11"/>
    <s v="11"/>
    <s v="Ortopedická klinika"/>
    <x v="10"/>
    <s v="1121"/>
    <s v="ambulance"/>
    <s v="1121 - ambulance"/>
    <s v="50113     Léky a léčiva"/>
    <x v="2"/>
    <x v="0"/>
    <n v="205.19090999999997"/>
    <n v="223.98747038235399"/>
  </r>
  <r>
    <s v="11"/>
    <s v="11"/>
    <s v="Ortopedická klinika"/>
    <x v="10"/>
    <s v="1121"/>
    <s v="ambulance"/>
    <s v="1121 - ambulance"/>
    <s v="50113     Léky a léčiva"/>
    <x v="2"/>
    <x v="1"/>
    <n v="118.36949000000001"/>
    <n v="197.235889721094"/>
  </r>
  <r>
    <s v="11"/>
    <s v="11"/>
    <s v="Ortopedická klinika"/>
    <x v="10"/>
    <s v="1121"/>
    <s v="ambulance"/>
    <s v="1121 - ambulance"/>
    <s v="50113     Léky a léčiva"/>
    <x v="2"/>
    <x v="2"/>
    <n v="85.085919999999987"/>
    <n v="118.776251160169"/>
  </r>
  <r>
    <s v="11"/>
    <s v="11"/>
    <s v="Ortopedická klinika"/>
    <x v="10"/>
    <s v="1121"/>
    <s v="ambulance"/>
    <s v="1121 - ambulance"/>
    <s v="50113001     léky - paušál+TISS (LEK)"/>
    <x v="3"/>
    <x v="0"/>
    <n v="205.19090999999997"/>
    <n v="222.99971662916499"/>
  </r>
  <r>
    <s v="11"/>
    <s v="11"/>
    <s v="Ortopedická klinika"/>
    <x v="10"/>
    <s v="1121"/>
    <s v="ambulance"/>
    <s v="1121 - ambulance"/>
    <s v="50113001     léky - paušál+TISS (LEK)"/>
    <x v="3"/>
    <x v="1"/>
    <n v="117.41269"/>
    <n v="197.235889721094"/>
  </r>
  <r>
    <s v="11"/>
    <s v="11"/>
    <s v="Ortopedická klinika"/>
    <x v="10"/>
    <s v="1121"/>
    <s v="ambulance"/>
    <s v="1121 - ambulance"/>
    <s v="50113001     léky - paušál+TISS (LEK)"/>
    <x v="3"/>
    <x v="2"/>
    <n v="85.085919999999987"/>
    <n v="117.909382446979"/>
  </r>
  <r>
    <s v="11"/>
    <s v="11"/>
    <s v="Ortopedická klinika"/>
    <x v="10"/>
    <s v="1121"/>
    <s v="ambulance"/>
    <s v="1121 - ambulance"/>
    <s v="50113190     medicinální plyny"/>
    <x v="9"/>
    <x v="0"/>
    <n v="0"/>
    <n v="0.98775375318799996"/>
  </r>
  <r>
    <s v="11"/>
    <s v="11"/>
    <s v="Ortopedická klinika"/>
    <x v="10"/>
    <s v="1121"/>
    <s v="ambulance"/>
    <s v="1121 - ambulance"/>
    <s v="50113190     medicinální plyny"/>
    <x v="9"/>
    <x v="1"/>
    <n v="0.95679999999999998"/>
    <n v="0"/>
  </r>
  <r>
    <s v="11"/>
    <s v="11"/>
    <s v="Ortopedická klinika"/>
    <x v="10"/>
    <s v="1121"/>
    <s v="ambulance"/>
    <s v="1121 - ambulance"/>
    <s v="50113190     medicinální plyny"/>
    <x v="9"/>
    <x v="2"/>
    <n v="0"/>
    <n v="0.86686871318900005"/>
  </r>
  <r>
    <s v="11"/>
    <s v="11"/>
    <s v="Ortopedická klinika"/>
    <x v="10"/>
    <s v="1121"/>
    <s v="ambulance"/>
    <s v="1121 - ambulance"/>
    <s v="50115     Zdravotnické prostředky"/>
    <x v="0"/>
    <x v="0"/>
    <n v="163.32254999999995"/>
    <n v="244.05491579400999"/>
  </r>
  <r>
    <s v="11"/>
    <s v="11"/>
    <s v="Ortopedická klinika"/>
    <x v="10"/>
    <s v="1121"/>
    <s v="ambulance"/>
    <s v="1121 - ambulance"/>
    <s v="50115     Zdravotnické prostředky"/>
    <x v="0"/>
    <x v="1"/>
    <n v="147.57622999999998"/>
    <n v="147.65176346924"/>
  </r>
  <r>
    <s v="11"/>
    <s v="11"/>
    <s v="Ortopedická klinika"/>
    <x v="10"/>
    <s v="1121"/>
    <s v="ambulance"/>
    <s v="1121 - ambulance"/>
    <s v="50115     Zdravotnické prostředky"/>
    <x v="0"/>
    <x v="2"/>
    <n v="101.34981999999999"/>
    <n v="151.60530320637801"/>
  </r>
  <r>
    <s v="11"/>
    <s v="11"/>
    <s v="Ortopedická klinika"/>
    <x v="10"/>
    <s v="1121"/>
    <s v="ambulance"/>
    <s v="1121 - ambulance"/>
    <s v="50115040     laboratorní materiál (sk.Z_505)"/>
    <x v="11"/>
    <x v="2"/>
    <n v="0.12705"/>
    <n v="0"/>
  </r>
  <r>
    <s v="11"/>
    <s v="11"/>
    <s v="Ortopedická klinika"/>
    <x v="10"/>
    <s v="1121"/>
    <s v="ambulance"/>
    <s v="1121 - ambulance"/>
    <s v="50115050     obvazový materiál (sk.Z_502)"/>
    <x v="12"/>
    <x v="0"/>
    <n v="96.230820000000008"/>
    <n v="112.99735398726899"/>
  </r>
  <r>
    <s v="11"/>
    <s v="11"/>
    <s v="Ortopedická klinika"/>
    <x v="10"/>
    <s v="1121"/>
    <s v="ambulance"/>
    <s v="1121 - ambulance"/>
    <s v="50115050     obvazový materiál (sk.Z_502)"/>
    <x v="12"/>
    <x v="1"/>
    <n v="70.56307000000001"/>
    <n v="94.449658682999001"/>
  </r>
  <r>
    <s v="11"/>
    <s v="11"/>
    <s v="Ortopedická klinika"/>
    <x v="10"/>
    <s v="1121"/>
    <s v="ambulance"/>
    <s v="1121 - ambulance"/>
    <s v="50115050     obvazový materiál (sk.Z_502)"/>
    <x v="12"/>
    <x v="2"/>
    <n v="60.505310000000001"/>
    <n v="69.737135779818004"/>
  </r>
  <r>
    <s v="11"/>
    <s v="11"/>
    <s v="Ortopedická klinika"/>
    <x v="10"/>
    <s v="1121"/>
    <s v="ambulance"/>
    <s v="1121 - ambulance"/>
    <s v="50115051     nadstandard ZUM (hrazeno pac.) (sk.Z_520)"/>
    <x v="53"/>
    <x v="0"/>
    <n v="14.173900000000001"/>
    <n v="29.205701600270999"/>
  </r>
  <r>
    <s v="11"/>
    <s v="11"/>
    <s v="Ortopedická klinika"/>
    <x v="10"/>
    <s v="1121"/>
    <s v="ambulance"/>
    <s v="1121 - ambulance"/>
    <s v="50115060     ostatní ZPr - mimo níže uvedené (sk.Z_503)"/>
    <x v="1"/>
    <x v="0"/>
    <n v="36.118229999999997"/>
    <n v="81.049950553993995"/>
  </r>
  <r>
    <s v="11"/>
    <s v="11"/>
    <s v="Ortopedická klinika"/>
    <x v="10"/>
    <s v="1121"/>
    <s v="ambulance"/>
    <s v="1121 - ambulance"/>
    <s v="50115060     ostatní ZPr - mimo níže uvedené (sk.Z_503)"/>
    <x v="1"/>
    <x v="1"/>
    <n v="20.175329999999999"/>
    <n v="36.117957909086002"/>
  </r>
  <r>
    <s v="11"/>
    <s v="11"/>
    <s v="Ortopedická klinika"/>
    <x v="10"/>
    <s v="1121"/>
    <s v="ambulance"/>
    <s v="1121 - ambulance"/>
    <s v="50115060     ostatní ZPr - mimo níže uvedené (sk.Z_503)"/>
    <x v="1"/>
    <x v="2"/>
    <n v="23.287460000000003"/>
    <n v="20.650562429916999"/>
  </r>
  <r>
    <s v="11"/>
    <s v="11"/>
    <s v="Ortopedická klinika"/>
    <x v="10"/>
    <s v="1121"/>
    <s v="ambulance"/>
    <s v="1121 - ambulance"/>
    <s v="50115063     ostatní ZPr - vaky, sety (sk.Z_528)"/>
    <x v="13"/>
    <x v="1"/>
    <n v="39.799320000000002"/>
    <n v="0"/>
  </r>
  <r>
    <s v="11"/>
    <s v="11"/>
    <s v="Ortopedická klinika"/>
    <x v="10"/>
    <s v="1121"/>
    <s v="ambulance"/>
    <s v="1121 - ambulance"/>
    <s v="50115063     ostatní ZPr - vaky, sety (sk.Z_528)"/>
    <x v="13"/>
    <x v="2"/>
    <n v="0"/>
    <n v="43.590193633849999"/>
  </r>
  <r>
    <s v="11"/>
    <s v="11"/>
    <s v="Ortopedická klinika"/>
    <x v="10"/>
    <s v="1121"/>
    <s v="ambulance"/>
    <s v="1121 - ambulance"/>
    <s v="50115065     ostatní ZPr - vpichovací materiál (sk.Z_530)"/>
    <x v="14"/>
    <x v="0"/>
    <n v="4.0139999999990001"/>
    <n v="3.8005094261219998"/>
  </r>
  <r>
    <s v="11"/>
    <s v="11"/>
    <s v="Ortopedická klinika"/>
    <x v="10"/>
    <s v="1121"/>
    <s v="ambulance"/>
    <s v="1121 - ambulance"/>
    <s v="50115065     ostatní ZPr - vpichovací materiál (sk.Z_530)"/>
    <x v="14"/>
    <x v="1"/>
    <n v="4.8015100000000004"/>
    <n v="4.1176244822930004"/>
  </r>
  <r>
    <s v="11"/>
    <s v="11"/>
    <s v="Ortopedická klinika"/>
    <x v="10"/>
    <s v="1121"/>
    <s v="ambulance"/>
    <s v="1121 - ambulance"/>
    <s v="50115065     ostatní ZPr - vpichovací materiál (sk.Z_530)"/>
    <x v="14"/>
    <x v="2"/>
    <n v="3.7979999999999996"/>
    <n v="5.1272700263460003"/>
  </r>
  <r>
    <s v="11"/>
    <s v="11"/>
    <s v="Ortopedická klinika"/>
    <x v="10"/>
    <s v="1121"/>
    <s v="ambulance"/>
    <s v="1121 - ambulance"/>
    <s v="50115067     ostatní ZPr - rukavice (sk.Z_532)"/>
    <x v="15"/>
    <x v="0"/>
    <n v="12.785600000000001"/>
    <n v="17.001400226352001"/>
  </r>
  <r>
    <s v="11"/>
    <s v="11"/>
    <s v="Ortopedická klinika"/>
    <x v="10"/>
    <s v="1121"/>
    <s v="ambulance"/>
    <s v="1121 - ambulance"/>
    <s v="50115067     ostatní ZPr - rukavice (sk.Z_532)"/>
    <x v="15"/>
    <x v="1"/>
    <n v="12.236999999999998"/>
    <n v="12.966522394861"/>
  </r>
  <r>
    <s v="11"/>
    <s v="11"/>
    <s v="Ortopedická klinika"/>
    <x v="10"/>
    <s v="1121"/>
    <s v="ambulance"/>
    <s v="1121 - ambulance"/>
    <s v="50115067     ostatní ZPr - rukavice (sk.Z_532)"/>
    <x v="15"/>
    <x v="2"/>
    <n v="13.632"/>
    <n v="12.500141336444999"/>
  </r>
  <r>
    <s v="11"/>
    <s v="11"/>
    <s v="Ortopedická klinika"/>
    <x v="10"/>
    <s v="1131"/>
    <s v="JIP 29A"/>
    <s v="1131 - JIP 29A"/>
    <s v="50113     Léky a léčiva"/>
    <x v="2"/>
    <x v="0"/>
    <n v="752.50486999999896"/>
    <n v="783.34837838433998"/>
  </r>
  <r>
    <s v="11"/>
    <s v="11"/>
    <s v="Ortopedická klinika"/>
    <x v="10"/>
    <s v="1131"/>
    <s v="JIP 29A"/>
    <s v="1131 - JIP 29A"/>
    <s v="50113     Léky a léčiva"/>
    <x v="2"/>
    <x v="1"/>
    <n v="705.00389000000007"/>
    <n v="747.44575985999802"/>
  </r>
  <r>
    <s v="11"/>
    <s v="11"/>
    <s v="Ortopedická klinika"/>
    <x v="10"/>
    <s v="1131"/>
    <s v="JIP 29A"/>
    <s v="1131 - JIP 29A"/>
    <s v="50113     Léky a léčiva"/>
    <x v="2"/>
    <x v="2"/>
    <n v="498.39728000000002"/>
    <n v="695.80190695308295"/>
  </r>
  <r>
    <s v="11"/>
    <s v="11"/>
    <s v="Ortopedická klinika"/>
    <x v="10"/>
    <s v="1131"/>
    <s v="JIP 29A"/>
    <s v="1131 - JIP 29A"/>
    <s v="50113001     léky - paušál+TISS (LEK)"/>
    <x v="3"/>
    <x v="0"/>
    <n v="576.49894999999901"/>
    <n v="602.332567935577"/>
  </r>
  <r>
    <s v="11"/>
    <s v="11"/>
    <s v="Ortopedická klinika"/>
    <x v="10"/>
    <s v="1131"/>
    <s v="JIP 29A"/>
    <s v="1131 - JIP 29A"/>
    <s v="50113001     léky - paušál+TISS (LEK)"/>
    <x v="3"/>
    <x v="1"/>
    <n v="536.98099999999999"/>
    <n v="582.65701553384201"/>
  </r>
  <r>
    <s v="11"/>
    <s v="11"/>
    <s v="Ortopedická klinika"/>
    <x v="10"/>
    <s v="1131"/>
    <s v="JIP 29A"/>
    <s v="1131 - JIP 29A"/>
    <s v="50113001     léky - paušál+TISS (LEK)"/>
    <x v="3"/>
    <x v="2"/>
    <n v="374.77445"/>
    <n v="539.74206993699602"/>
  </r>
  <r>
    <s v="11"/>
    <s v="11"/>
    <s v="Ortopedická klinika"/>
    <x v="10"/>
    <s v="1131"/>
    <s v="JIP 29A"/>
    <s v="1131 - JIP 29A"/>
    <s v="50113002     léky - parenterální výživa (LEK)"/>
    <x v="17"/>
    <x v="2"/>
    <n v="2.2965800000000001"/>
    <n v="3"/>
  </r>
  <r>
    <s v="11"/>
    <s v="11"/>
    <s v="Ortopedická klinika"/>
    <x v="10"/>
    <s v="1131"/>
    <s v="JIP 29A"/>
    <s v="1131 - JIP 29A"/>
    <s v="50113006     léky - enterální výživa (LEK)"/>
    <x v="4"/>
    <x v="0"/>
    <n v="47.869770000000003"/>
    <n v="39"/>
  </r>
  <r>
    <s v="11"/>
    <s v="11"/>
    <s v="Ortopedická klinika"/>
    <x v="10"/>
    <s v="1131"/>
    <s v="JIP 29A"/>
    <s v="1131 - JIP 29A"/>
    <s v="50113006     léky - enterální výživa (LEK)"/>
    <x v="4"/>
    <x v="1"/>
    <n v="56.697330000000001"/>
    <n v="47.798251851985"/>
  </r>
  <r>
    <s v="11"/>
    <s v="11"/>
    <s v="Ortopedická klinika"/>
    <x v="10"/>
    <s v="1131"/>
    <s v="JIP 29A"/>
    <s v="1131 - JIP 29A"/>
    <s v="50113006     léky - enterální výživa (LEK)"/>
    <x v="4"/>
    <x v="2"/>
    <n v="32.292699999999996"/>
    <n v="44"/>
  </r>
  <r>
    <s v="11"/>
    <s v="11"/>
    <s v="Ortopedická klinika"/>
    <x v="10"/>
    <s v="1131"/>
    <s v="JIP 29A"/>
    <s v="1131 - JIP 29A"/>
    <s v="50113008     léky - krev.deriváty ZUL (TO)"/>
    <x v="5"/>
    <x v="0"/>
    <n v="11.68408"/>
    <n v="22.015810448762"/>
  </r>
  <r>
    <s v="11"/>
    <s v="11"/>
    <s v="Ortopedická klinika"/>
    <x v="10"/>
    <s v="1131"/>
    <s v="JIP 29A"/>
    <s v="1131 - JIP 29A"/>
    <s v="50113008     léky - krev.deriváty ZUL (TO)"/>
    <x v="5"/>
    <x v="1"/>
    <n v="0"/>
    <n v="12.00010536802"/>
  </r>
  <r>
    <s v="11"/>
    <s v="11"/>
    <s v="Ortopedická klinika"/>
    <x v="10"/>
    <s v="1131"/>
    <s v="JIP 29A"/>
    <s v="1131 - JIP 29A"/>
    <s v="50113008     léky - krev.deriváty ZUL (TO)"/>
    <x v="5"/>
    <x v="2"/>
    <n v="44.537979999999997"/>
    <n v="0"/>
  </r>
  <r>
    <s v="11"/>
    <s v="11"/>
    <s v="Ortopedická klinika"/>
    <x v="10"/>
    <s v="1131"/>
    <s v="JIP 29A"/>
    <s v="1131 - JIP 29A"/>
    <s v="50113013     léky (paušál) - antibiotika (LEK)"/>
    <x v="7"/>
    <x v="0"/>
    <n v="116.45207000000001"/>
    <n v="120"/>
  </r>
  <r>
    <s v="11"/>
    <s v="11"/>
    <s v="Ortopedická klinika"/>
    <x v="10"/>
    <s v="1131"/>
    <s v="JIP 29A"/>
    <s v="1131 - JIP 29A"/>
    <s v="50113013     léky (paušál) - antibiotika (LEK)"/>
    <x v="7"/>
    <x v="1"/>
    <n v="111.32556"/>
    <n v="104.99038710615"/>
  </r>
  <r>
    <s v="11"/>
    <s v="11"/>
    <s v="Ortopedická klinika"/>
    <x v="10"/>
    <s v="1131"/>
    <s v="JIP 29A"/>
    <s v="1131 - JIP 29A"/>
    <s v="50113013     léky (paušál) - antibiotika (LEK)"/>
    <x v="7"/>
    <x v="2"/>
    <n v="44.495570000000001"/>
    <n v="109.059837016087"/>
  </r>
  <r>
    <s v="11"/>
    <s v="11"/>
    <s v="Ortopedická klinika"/>
    <x v="10"/>
    <s v="1131"/>
    <s v="JIP 29A"/>
    <s v="1131 - JIP 29A"/>
    <s v="50115     Zdravotnické prostředky"/>
    <x v="0"/>
    <x v="0"/>
    <n v="502.20180999999997"/>
    <n v="500.37786316406198"/>
  </r>
  <r>
    <s v="11"/>
    <s v="11"/>
    <s v="Ortopedická klinika"/>
    <x v="10"/>
    <s v="1131"/>
    <s v="JIP 29A"/>
    <s v="1131 - JIP 29A"/>
    <s v="50115     Zdravotnické prostředky"/>
    <x v="0"/>
    <x v="1"/>
    <n v="507.75818000000004"/>
    <n v="502.28369474844197"/>
  </r>
  <r>
    <s v="11"/>
    <s v="11"/>
    <s v="Ortopedická klinika"/>
    <x v="10"/>
    <s v="1131"/>
    <s v="JIP 29A"/>
    <s v="1131 - JIP 29A"/>
    <s v="50115     Zdravotnické prostředky"/>
    <x v="0"/>
    <x v="2"/>
    <n v="423.36689000000001"/>
    <n v="563.87749804623297"/>
  </r>
  <r>
    <s v="11"/>
    <s v="11"/>
    <s v="Ortopedická klinika"/>
    <x v="10"/>
    <s v="1131"/>
    <s v="JIP 29A"/>
    <s v="1131 - JIP 29A"/>
    <s v="50115020     diagnostika laboratorní-LEK (sk.Z_501)"/>
    <x v="10"/>
    <x v="0"/>
    <n v="10.46682"/>
    <n v="8.2667091874680008"/>
  </r>
  <r>
    <s v="11"/>
    <s v="11"/>
    <s v="Ortopedická klinika"/>
    <x v="10"/>
    <s v="1131"/>
    <s v="JIP 29A"/>
    <s v="1131 - JIP 29A"/>
    <s v="50115020     diagnostika laboratorní-LEK (sk.Z_501)"/>
    <x v="10"/>
    <x v="1"/>
    <n v="9.8800500000000007"/>
    <n v="10.466808914048"/>
  </r>
  <r>
    <s v="11"/>
    <s v="11"/>
    <s v="Ortopedická klinika"/>
    <x v="10"/>
    <s v="1131"/>
    <s v="JIP 29A"/>
    <s v="1131 - JIP 29A"/>
    <s v="50115020     diagnostika laboratorní-LEK (sk.Z_501)"/>
    <x v="10"/>
    <x v="2"/>
    <n v="3.1060699999999999"/>
    <n v="14.073409299214999"/>
  </r>
  <r>
    <s v="11"/>
    <s v="11"/>
    <s v="Ortopedická klinika"/>
    <x v="10"/>
    <s v="1131"/>
    <s v="JIP 29A"/>
    <s v="1131 - JIP 29A"/>
    <s v="50115050     obvazový materiál (sk.Z_502)"/>
    <x v="12"/>
    <x v="0"/>
    <n v="152.04159000000001"/>
    <n v="115.152182754752"/>
  </r>
  <r>
    <s v="11"/>
    <s v="11"/>
    <s v="Ortopedická klinika"/>
    <x v="10"/>
    <s v="1131"/>
    <s v="JIP 29A"/>
    <s v="1131 - JIP 29A"/>
    <s v="50115050     obvazový materiál (sk.Z_502)"/>
    <x v="12"/>
    <x v="1"/>
    <n v="181.56939"/>
    <n v="152.38734040023201"/>
  </r>
  <r>
    <s v="11"/>
    <s v="11"/>
    <s v="Ortopedická klinika"/>
    <x v="10"/>
    <s v="1131"/>
    <s v="JIP 29A"/>
    <s v="1131 - JIP 29A"/>
    <s v="50115050     obvazový materiál (sk.Z_502)"/>
    <x v="12"/>
    <x v="2"/>
    <n v="101.10031000000001"/>
    <n v="192.786736007455"/>
  </r>
  <r>
    <s v="11"/>
    <s v="11"/>
    <s v="Ortopedická klinika"/>
    <x v="10"/>
    <s v="1131"/>
    <s v="JIP 29A"/>
    <s v="1131 - JIP 29A"/>
    <s v="50115060     ostatní ZPr - mimo níže uvedené (sk.Z_503)"/>
    <x v="1"/>
    <x v="0"/>
    <n v="212.09296000000001"/>
    <n v="252.574807709293"/>
  </r>
  <r>
    <s v="11"/>
    <s v="11"/>
    <s v="Ortopedická klinika"/>
    <x v="10"/>
    <s v="1131"/>
    <s v="JIP 29A"/>
    <s v="1131 - JIP 29A"/>
    <s v="50115060     ostatní ZPr - mimo níže uvedené (sk.Z_503)"/>
    <x v="1"/>
    <x v="1"/>
    <n v="221.54628000000002"/>
    <n v="212.09136223157901"/>
  </r>
  <r>
    <s v="11"/>
    <s v="11"/>
    <s v="Ortopedická klinika"/>
    <x v="10"/>
    <s v="1131"/>
    <s v="JIP 29A"/>
    <s v="1131 - JIP 29A"/>
    <s v="50115060     ostatní ZPr - mimo níže uvedené (sk.Z_503)"/>
    <x v="1"/>
    <x v="2"/>
    <n v="207.07679000000002"/>
    <n v="255.11082308553199"/>
  </r>
  <r>
    <s v="11"/>
    <s v="11"/>
    <s v="Ortopedická klinika"/>
    <x v="10"/>
    <s v="1131"/>
    <s v="JIP 29A"/>
    <s v="1131 - JIP 29A"/>
    <s v="50115063     ostatní ZPr - vaky, sety (sk.Z_528)"/>
    <x v="13"/>
    <x v="0"/>
    <n v="48.257279999999994"/>
    <n v="48.550458288610002"/>
  </r>
  <r>
    <s v="11"/>
    <s v="11"/>
    <s v="Ortopedická klinika"/>
    <x v="10"/>
    <s v="1131"/>
    <s v="JIP 29A"/>
    <s v="1131 - JIP 29A"/>
    <s v="50115063     ostatní ZPr - vaky, sety (sk.Z_528)"/>
    <x v="13"/>
    <x v="1"/>
    <n v="45.325000000000003"/>
    <n v="47.274007701042997"/>
  </r>
  <r>
    <s v="11"/>
    <s v="11"/>
    <s v="Ortopedická klinika"/>
    <x v="10"/>
    <s v="1131"/>
    <s v="JIP 29A"/>
    <s v="1131 - JIP 29A"/>
    <s v="50115063     ostatní ZPr - vaky, sety (sk.Z_528)"/>
    <x v="13"/>
    <x v="2"/>
    <n v="46.112099999999998"/>
    <n v="48.297226401654001"/>
  </r>
  <r>
    <s v="11"/>
    <s v="11"/>
    <s v="Ortopedická klinika"/>
    <x v="10"/>
    <s v="1131"/>
    <s v="JIP 29A"/>
    <s v="1131 - JIP 29A"/>
    <s v="50115065     ostatní ZPr - vpichovací materiál (sk.Z_530)"/>
    <x v="14"/>
    <x v="0"/>
    <n v="3.1390000000000011"/>
    <n v="2.8504105736969998"/>
  </r>
  <r>
    <s v="11"/>
    <s v="11"/>
    <s v="Ortopedická klinika"/>
    <x v="10"/>
    <s v="1131"/>
    <s v="JIP 29A"/>
    <s v="1131 - JIP 29A"/>
    <s v="50115065     ostatní ZPr - vpichovací materiál (sk.Z_530)"/>
    <x v="14"/>
    <x v="1"/>
    <n v="5.6780000000000008"/>
    <n v="3.2200356875730001"/>
  </r>
  <r>
    <s v="11"/>
    <s v="11"/>
    <s v="Ortopedická klinika"/>
    <x v="10"/>
    <s v="1131"/>
    <s v="JIP 29A"/>
    <s v="1131 - JIP 29A"/>
    <s v="50115065     ostatní ZPr - vpichovací materiál (sk.Z_530)"/>
    <x v="14"/>
    <x v="2"/>
    <n v="6.5330000000000004"/>
    <n v="6.0240368089640004"/>
  </r>
  <r>
    <s v="11"/>
    <s v="11"/>
    <s v="Ortopedická klinika"/>
    <x v="10"/>
    <s v="1131"/>
    <s v="JIP 29A"/>
    <s v="1131 - JIP 29A"/>
    <s v="50115067     ostatní ZPr - rukavice (sk.Z_532)"/>
    <x v="15"/>
    <x v="0"/>
    <n v="45.237000000000009"/>
    <n v="40.003294650240001"/>
  </r>
  <r>
    <s v="11"/>
    <s v="11"/>
    <s v="Ortopedická klinika"/>
    <x v="10"/>
    <s v="1131"/>
    <s v="JIP 29A"/>
    <s v="1131 - JIP 29A"/>
    <s v="50115067     ostatní ZPr - rukavice (sk.Z_532)"/>
    <x v="15"/>
    <x v="1"/>
    <n v="34.911699999999996"/>
    <n v="45.877125326642997"/>
  </r>
  <r>
    <s v="11"/>
    <s v="11"/>
    <s v="Ortopedická klinika"/>
    <x v="10"/>
    <s v="1131"/>
    <s v="JIP 29A"/>
    <s v="1131 - JIP 29A"/>
    <s v="50115067     ostatní ZPr - rukavice (sk.Z_532)"/>
    <x v="15"/>
    <x v="2"/>
    <n v="23.033449999999998"/>
    <n v="36.585266789884002"/>
  </r>
  <r>
    <s v="11"/>
    <s v="11"/>
    <s v="Ortopedická klinika"/>
    <x v="10"/>
    <s v="1131"/>
    <s v="JIP 29A"/>
    <s v="1131 - JIP 29A"/>
    <s v="50115070     ostatní ZPr - katetry (sk.Z_513)"/>
    <x v="16"/>
    <x v="0"/>
    <n v="30.96716"/>
    <n v="32.979999999999997"/>
  </r>
  <r>
    <s v="11"/>
    <s v="11"/>
    <s v="Ortopedická klinika"/>
    <x v="10"/>
    <s v="1131"/>
    <s v="JIP 29A"/>
    <s v="1131 - JIP 29A"/>
    <s v="50115070     ostatní ZPr - katetry (sk.Z_513)"/>
    <x v="16"/>
    <x v="1"/>
    <n v="8.8477599999999992"/>
    <n v="30.967014487322999"/>
  </r>
  <r>
    <s v="11"/>
    <s v="11"/>
    <s v="Ortopedická klinika"/>
    <x v="10"/>
    <s v="1131"/>
    <s v="JIP 29A"/>
    <s v="1131 - JIP 29A"/>
    <s v="50115070     ostatní ZPr - katetry (sk.Z_513)"/>
    <x v="16"/>
    <x v="2"/>
    <n v="8.8477599999999992"/>
    <n v="10.999999653526"/>
  </r>
  <r>
    <s v="11"/>
    <s v="11"/>
    <s v="Ortopedická klinika"/>
    <x v="10"/>
    <s v="1131"/>
    <s v="JIP 29A"/>
    <s v="1131 - JIP 29A"/>
    <s v="50115079     ostatní ZPr - intenzivní péče (sk.Z_542)"/>
    <x v="18"/>
    <x v="2"/>
    <n v="27.557409999999997"/>
    <n v="0"/>
  </r>
  <r>
    <s v="11"/>
    <s v="11"/>
    <s v="Ortopedická klinika"/>
    <x v="10"/>
    <s v="1162"/>
    <s v="operační sál - lokální"/>
    <s v="1162 - operační sál - lokální"/>
    <s v="50113     Léky a léčiva"/>
    <x v="2"/>
    <x v="0"/>
    <n v="737.04524999999899"/>
    <n v="803.00713376418196"/>
  </r>
  <r>
    <s v="11"/>
    <s v="11"/>
    <s v="Ortopedická klinika"/>
    <x v="10"/>
    <s v="1162"/>
    <s v="operační sál - lokální"/>
    <s v="1162 - operační sál - lokální"/>
    <s v="50113     Léky a léčiva"/>
    <x v="2"/>
    <x v="1"/>
    <n v="799.18195000000003"/>
    <n v="715.76497691549002"/>
  </r>
  <r>
    <s v="11"/>
    <s v="11"/>
    <s v="Ortopedická klinika"/>
    <x v="10"/>
    <s v="1162"/>
    <s v="operační sál - lokální"/>
    <s v="1162 - operační sál - lokální"/>
    <s v="50113     Léky a léčiva"/>
    <x v="2"/>
    <x v="2"/>
    <n v="679.02170000000012"/>
    <n v="879.07893826479597"/>
  </r>
  <r>
    <s v="11"/>
    <s v="11"/>
    <s v="Ortopedická klinika"/>
    <x v="10"/>
    <s v="1162"/>
    <s v="operační sál - lokální"/>
    <s v="1162 - operační sál - lokální"/>
    <s v="50113001     léky - paušál+TISS (LEK)"/>
    <x v="3"/>
    <x v="0"/>
    <n v="498.70056999999906"/>
    <n v="471.99940021957798"/>
  </r>
  <r>
    <s v="11"/>
    <s v="11"/>
    <s v="Ortopedická klinika"/>
    <x v="10"/>
    <s v="1162"/>
    <s v="operační sál - lokální"/>
    <s v="1162 - operační sál - lokální"/>
    <s v="50113001     léky - paušál+TISS (LEK)"/>
    <x v="3"/>
    <x v="1"/>
    <n v="604.81569999999988"/>
    <n v="487.809891541767"/>
  </r>
  <r>
    <s v="11"/>
    <s v="11"/>
    <s v="Ortopedická klinika"/>
    <x v="10"/>
    <s v="1162"/>
    <s v="operační sál - lokální"/>
    <s v="1162 - operační sál - lokální"/>
    <s v="50113001     léky - paušál+TISS (LEK)"/>
    <x v="3"/>
    <x v="2"/>
    <n v="416.84701000000001"/>
    <n v="690.15294757850199"/>
  </r>
  <r>
    <s v="11"/>
    <s v="11"/>
    <s v="Ortopedická klinika"/>
    <x v="10"/>
    <s v="1162"/>
    <s v="operační sál - lokální"/>
    <s v="1162 - operační sál - lokální"/>
    <s v="50113013     léky (paušál) - antibiotika (LEK)"/>
    <x v="7"/>
    <x v="0"/>
    <n v="34.736209999998998"/>
    <n v="100.83199999999999"/>
  </r>
  <r>
    <s v="11"/>
    <s v="11"/>
    <s v="Ortopedická klinika"/>
    <x v="10"/>
    <s v="1162"/>
    <s v="operační sál - lokální"/>
    <s v="1162 - operační sál - lokální"/>
    <s v="50113013     léky (paušál) - antibiotika (LEK)"/>
    <x v="7"/>
    <x v="1"/>
    <n v="0"/>
    <n v="33.158548620135001"/>
  </r>
  <r>
    <s v="11"/>
    <s v="11"/>
    <s v="Ortopedická klinika"/>
    <x v="10"/>
    <s v="1162"/>
    <s v="operační sál - lokální"/>
    <s v="1162 - operační sál - lokální"/>
    <s v="50113013     léky (paušál) - antibiotika (LEK)"/>
    <x v="7"/>
    <x v="2"/>
    <n v="102.86270999999999"/>
    <n v="0"/>
  </r>
  <r>
    <s v="11"/>
    <s v="11"/>
    <s v="Ortopedická klinika"/>
    <x v="10"/>
    <s v="1162"/>
    <s v="operační sál - lokální"/>
    <s v="1162 - operační sál - lokální"/>
    <s v="50113190     medicinální plyny"/>
    <x v="9"/>
    <x v="0"/>
    <n v="203.60847000000001"/>
    <n v="230.17573354460399"/>
  </r>
  <r>
    <s v="11"/>
    <s v="11"/>
    <s v="Ortopedická klinika"/>
    <x v="10"/>
    <s v="1162"/>
    <s v="operační sál - lokální"/>
    <s v="1162 - operační sál - lokální"/>
    <s v="50113190     medicinální plyny"/>
    <x v="9"/>
    <x v="1"/>
    <n v="194.36625000000004"/>
    <n v="194.79653675358799"/>
  </r>
  <r>
    <s v="11"/>
    <s v="11"/>
    <s v="Ortopedická klinika"/>
    <x v="10"/>
    <s v="1162"/>
    <s v="operační sál - lokální"/>
    <s v="1162 - operační sál - lokální"/>
    <s v="50113190     medicinální plyny"/>
    <x v="9"/>
    <x v="2"/>
    <n v="159.31198000000001"/>
    <n v="188.925990686294"/>
  </r>
  <r>
    <s v="11"/>
    <s v="11"/>
    <s v="Ortopedická klinika"/>
    <x v="10"/>
    <s v="1162"/>
    <s v="operační sál - lokální"/>
    <s v="1162 - operační sál - lokální"/>
    <s v="50115     Zdravotnické prostředky"/>
    <x v="0"/>
    <x v="0"/>
    <n v="43875.157069999994"/>
    <n v="45773.952922399403"/>
  </r>
  <r>
    <s v="11"/>
    <s v="11"/>
    <s v="Ortopedická klinika"/>
    <x v="10"/>
    <s v="1162"/>
    <s v="operační sál - lokální"/>
    <s v="1162 - operační sál - lokální"/>
    <s v="50115     Zdravotnické prostředky"/>
    <x v="0"/>
    <x v="1"/>
    <n v="50494.956750000005"/>
    <n v="50040.132681652402"/>
  </r>
  <r>
    <s v="11"/>
    <s v="11"/>
    <s v="Ortopedická klinika"/>
    <x v="10"/>
    <s v="1162"/>
    <s v="operační sál - lokální"/>
    <s v="1162 - operační sál - lokální"/>
    <s v="50115     Zdravotnické prostředky"/>
    <x v="0"/>
    <x v="2"/>
    <n v="34662.353790000008"/>
    <n v="49032.966436569601"/>
  </r>
  <r>
    <s v="11"/>
    <s v="11"/>
    <s v="Ortopedická klinika"/>
    <x v="10"/>
    <s v="1162"/>
    <s v="operační sál - lokální"/>
    <s v="1162 - operační sál - lokální"/>
    <s v="50115003     implant.umělé těl.náhr.-TEP (sk.Z_518)"/>
    <x v="47"/>
    <x v="0"/>
    <n v="31106.757980000006"/>
    <n v="33199.999999998203"/>
  </r>
  <r>
    <s v="11"/>
    <s v="11"/>
    <s v="Ortopedická klinika"/>
    <x v="10"/>
    <s v="1162"/>
    <s v="operační sál - lokální"/>
    <s v="1162 - operační sál - lokální"/>
    <s v="50115003     implant.umělé těl.náhr.-TEP (sk.Z_518)"/>
    <x v="47"/>
    <x v="1"/>
    <n v="36304.441350000008"/>
    <n v="35000.3852063702"/>
  </r>
  <r>
    <s v="11"/>
    <s v="11"/>
    <s v="Ortopedická klinika"/>
    <x v="10"/>
    <s v="1162"/>
    <s v="operační sál - lokální"/>
    <s v="1162 - operační sál - lokální"/>
    <s v="50115003     implant.umělé těl.náhr.-TEP (sk.Z_518)"/>
    <x v="47"/>
    <x v="2"/>
    <n v="25483.431890000007"/>
    <n v="36303.532614219199"/>
  </r>
  <r>
    <s v="11"/>
    <s v="11"/>
    <s v="Ortopedická klinika"/>
    <x v="10"/>
    <s v="1162"/>
    <s v="operační sál - lokální"/>
    <s v="1162 - operační sál - lokální"/>
    <s v="50115004     implant.umělé těl.náhr.-kovové (s.Z_506)"/>
    <x v="25"/>
    <x v="0"/>
    <n v="6585.8955500000011"/>
    <n v="5850.0245441613897"/>
  </r>
  <r>
    <s v="11"/>
    <s v="11"/>
    <s v="Ortopedická klinika"/>
    <x v="10"/>
    <s v="1162"/>
    <s v="operační sál - lokální"/>
    <s v="1162 - operační sál - lokální"/>
    <s v="50115004     implant.umělé těl.náhr.-kovové (s.Z_506)"/>
    <x v="25"/>
    <x v="1"/>
    <n v="5739.8389400000033"/>
    <n v="5772.9968915877098"/>
  </r>
  <r>
    <s v="11"/>
    <s v="11"/>
    <s v="Ortopedická klinika"/>
    <x v="10"/>
    <s v="1162"/>
    <s v="operační sál - lokální"/>
    <s v="1162 - operační sál - lokální"/>
    <s v="50115004     implant.umělé těl.náhr.-kovové (s.Z_506)"/>
    <x v="25"/>
    <x v="2"/>
    <n v="4107.4580200000019"/>
    <n v="5884.9998146367598"/>
  </r>
  <r>
    <s v="11"/>
    <s v="11"/>
    <s v="Ortopedická klinika"/>
    <x v="10"/>
    <s v="1162"/>
    <s v="operační sál - lokální"/>
    <s v="1162 - operační sál - lokální"/>
    <s v="50115011     implant.umělé těl.náhr.-ostat.nákl.PZT(s.Z_515)"/>
    <x v="26"/>
    <x v="1"/>
    <n v="286.98946000000001"/>
    <n v="1254.9993242582"/>
  </r>
  <r>
    <s v="11"/>
    <s v="11"/>
    <s v="Ortopedická klinika"/>
    <x v="10"/>
    <s v="1162"/>
    <s v="operační sál - lokální"/>
    <s v="1162 - operační sál - lokální"/>
    <s v="50115011     implant.umělé těl.náhr.-ostat.nákl.PZT(s.Z_515)"/>
    <x v="26"/>
    <x v="2"/>
    <n v="215.08685"/>
    <n v="279.99999118067899"/>
  </r>
  <r>
    <s v="11"/>
    <s v="11"/>
    <s v="Ortopedická klinika"/>
    <x v="10"/>
    <s v="1162"/>
    <s v="operační sál - lokální"/>
    <s v="1162 - operační sál - lokální"/>
    <s v="50115020     diagnostika laboratorní-LEK (sk.Z_501)"/>
    <x v="10"/>
    <x v="0"/>
    <n v="0.56869999999999998"/>
    <n v="0"/>
  </r>
  <r>
    <s v="11"/>
    <s v="11"/>
    <s v="Ortopedická klinika"/>
    <x v="10"/>
    <s v="1162"/>
    <s v="operační sál - lokální"/>
    <s v="1162 - operační sál - lokální"/>
    <s v="50115020     diagnostika laboratorní-LEK (sk.Z_501)"/>
    <x v="10"/>
    <x v="1"/>
    <n v="0"/>
    <n v="0.56869939765999999"/>
  </r>
  <r>
    <s v="11"/>
    <s v="11"/>
    <s v="Ortopedická klinika"/>
    <x v="10"/>
    <s v="1162"/>
    <s v="operační sál - lokální"/>
    <s v="1162 - operační sál - lokální"/>
    <s v="50115050     obvazový materiál (sk.Z_502)"/>
    <x v="12"/>
    <x v="0"/>
    <n v="556.05986999999902"/>
    <n v="591.72447186869499"/>
  </r>
  <r>
    <s v="11"/>
    <s v="11"/>
    <s v="Ortopedická klinika"/>
    <x v="10"/>
    <s v="1162"/>
    <s v="operační sál - lokální"/>
    <s v="1162 - operační sál - lokální"/>
    <s v="50115050     obvazový materiál (sk.Z_502)"/>
    <x v="12"/>
    <x v="1"/>
    <n v="426.29616999999996"/>
    <n v="437.32440352932002"/>
  </r>
  <r>
    <s v="11"/>
    <s v="11"/>
    <s v="Ortopedická klinika"/>
    <x v="10"/>
    <s v="1162"/>
    <s v="operační sál - lokální"/>
    <s v="1162 - operační sál - lokální"/>
    <s v="50115050     obvazový materiál (sk.Z_502)"/>
    <x v="12"/>
    <x v="2"/>
    <n v="206.28962999999999"/>
    <n v="474.416057148905"/>
  </r>
  <r>
    <s v="11"/>
    <s v="11"/>
    <s v="Ortopedická klinika"/>
    <x v="10"/>
    <s v="1162"/>
    <s v="operační sál - lokální"/>
    <s v="1162 - operační sál - lokální"/>
    <s v="50115060     ostatní ZPr - mimo níže uvedené (sk.Z_503)"/>
    <x v="1"/>
    <x v="0"/>
    <n v="4133.8804900000014"/>
    <n v="4612.11807310719"/>
  </r>
  <r>
    <s v="11"/>
    <s v="11"/>
    <s v="Ortopedická klinika"/>
    <x v="10"/>
    <s v="1162"/>
    <s v="operační sál - lokální"/>
    <s v="1162 - operační sál - lokální"/>
    <s v="50115060     ostatní ZPr - mimo níže uvedené (sk.Z_503)"/>
    <x v="1"/>
    <x v="1"/>
    <n v="6094.4920200000033"/>
    <n v="5454.0526345376502"/>
  </r>
  <r>
    <s v="11"/>
    <s v="11"/>
    <s v="Ortopedická klinika"/>
    <x v="10"/>
    <s v="1162"/>
    <s v="operační sál - lokální"/>
    <s v="1162 - operační sál - lokální"/>
    <s v="50115060     ostatní ZPr - mimo níže uvedené (sk.Z_503)"/>
    <x v="1"/>
    <x v="2"/>
    <n v="3660.5269500000018"/>
    <n v="4592"/>
  </r>
  <r>
    <s v="11"/>
    <s v="11"/>
    <s v="Ortopedická klinika"/>
    <x v="10"/>
    <s v="1162"/>
    <s v="operační sál - lokální"/>
    <s v="1162 - operační sál - lokální"/>
    <s v="50115063     ostatní ZPr - vaky, sety (sk.Z_528)"/>
    <x v="13"/>
    <x v="0"/>
    <n v="257.00901999999996"/>
    <n v="248.069129320955"/>
  </r>
  <r>
    <s v="11"/>
    <s v="11"/>
    <s v="Ortopedická klinika"/>
    <x v="10"/>
    <s v="1162"/>
    <s v="operační sál - lokální"/>
    <s v="1162 - operační sál - lokální"/>
    <s v="50115063     ostatní ZPr - vaky, sety (sk.Z_528)"/>
    <x v="13"/>
    <x v="1"/>
    <n v="59.531999999999996"/>
    <n v="251.77230027713"/>
  </r>
  <r>
    <s v="11"/>
    <s v="11"/>
    <s v="Ortopedická klinika"/>
    <x v="10"/>
    <s v="1162"/>
    <s v="operační sál - lokální"/>
    <s v="1162 - operační sál - lokální"/>
    <s v="50115063     ostatní ZPr - vaky, sety (sk.Z_528)"/>
    <x v="13"/>
    <x v="2"/>
    <n v="242.89055999999994"/>
    <n v="65.202405654426997"/>
  </r>
  <r>
    <s v="11"/>
    <s v="11"/>
    <s v="Ortopedická klinika"/>
    <x v="10"/>
    <s v="1162"/>
    <s v="operační sál - lokální"/>
    <s v="1162 - operační sál - lokální"/>
    <s v="50115064     ostatní ZPr - šicí materiál (sk.Z_529)"/>
    <x v="21"/>
    <x v="0"/>
    <n v="768.87725"/>
    <n v="762.41666666666697"/>
  </r>
  <r>
    <s v="11"/>
    <s v="11"/>
    <s v="Ortopedická klinika"/>
    <x v="10"/>
    <s v="1162"/>
    <s v="operační sál - lokální"/>
    <s v="1162 - operační sál - lokální"/>
    <s v="50115064     ostatní ZPr - šicí materiál (sk.Z_529)"/>
    <x v="21"/>
    <x v="1"/>
    <n v="915.32003000000009"/>
    <n v="745.82141118029006"/>
  </r>
  <r>
    <s v="11"/>
    <s v="11"/>
    <s v="Ortopedická klinika"/>
    <x v="10"/>
    <s v="1162"/>
    <s v="operační sál - lokální"/>
    <s v="1162 - operační sál - lokální"/>
    <s v="50115064     ostatní ZPr - šicí materiál (sk.Z_529)"/>
    <x v="21"/>
    <x v="2"/>
    <n v="531.94293999999991"/>
    <n v="768.99997577836405"/>
  </r>
  <r>
    <s v="11"/>
    <s v="11"/>
    <s v="Ortopedická klinika"/>
    <x v="10"/>
    <s v="1162"/>
    <s v="operační sál - lokální"/>
    <s v="1162 - operační sál - lokální"/>
    <s v="50115065     ostatní ZPr - vpichovací materiál (sk.Z_530)"/>
    <x v="14"/>
    <x v="0"/>
    <n v="261.72386999999901"/>
    <n v="265.83337432464901"/>
  </r>
  <r>
    <s v="11"/>
    <s v="11"/>
    <s v="Ortopedická klinika"/>
    <x v="10"/>
    <s v="1162"/>
    <s v="operační sál - lokální"/>
    <s v="1162 - operační sál - lokální"/>
    <s v="50115065     ostatní ZPr - vpichovací materiál (sk.Z_530)"/>
    <x v="14"/>
    <x v="1"/>
    <n v="448.52026999999998"/>
    <n v="912.99987400511395"/>
  </r>
  <r>
    <s v="11"/>
    <s v="11"/>
    <s v="Ortopedická klinika"/>
    <x v="10"/>
    <s v="1162"/>
    <s v="operační sál - lokální"/>
    <s v="1162 - operační sál - lokální"/>
    <s v="50115065     ostatní ZPr - vpichovací materiál (sk.Z_530)"/>
    <x v="14"/>
    <x v="2"/>
    <n v="56.082139999999995"/>
    <n v="446.99998592058301"/>
  </r>
  <r>
    <s v="11"/>
    <s v="11"/>
    <s v="Ortopedická klinika"/>
    <x v="10"/>
    <s v="1162"/>
    <s v="operační sál - lokální"/>
    <s v="1162 - operační sál - lokální"/>
    <s v="50115067     ostatní ZPr - rukavice (sk.Z_532)"/>
    <x v="15"/>
    <x v="0"/>
    <n v="174.73934000000003"/>
    <n v="153.62655820332"/>
  </r>
  <r>
    <s v="11"/>
    <s v="11"/>
    <s v="Ortopedická klinika"/>
    <x v="10"/>
    <s v="1162"/>
    <s v="operační sál - lokální"/>
    <s v="1162 - operační sál - lokální"/>
    <s v="50115067     ostatní ZPr - rukavice (sk.Z_532)"/>
    <x v="15"/>
    <x v="1"/>
    <n v="183.34750999999997"/>
    <n v="179.21199439382201"/>
  </r>
  <r>
    <s v="11"/>
    <s v="11"/>
    <s v="Ortopedická klinika"/>
    <x v="10"/>
    <s v="1162"/>
    <s v="operační sál - lokální"/>
    <s v="1162 - operační sál - lokální"/>
    <s v="50115067     ostatní ZPr - rukavice (sk.Z_532)"/>
    <x v="15"/>
    <x v="2"/>
    <n v="123.87976"/>
    <n v="176.816587388183"/>
  </r>
  <r>
    <s v="11"/>
    <s v="11"/>
    <s v="Ortopedická klinika"/>
    <x v="10"/>
    <s v="1162"/>
    <s v="operační sál - lokální"/>
    <s v="1162 - operační sál - lokální"/>
    <s v="50115079     ostatní ZPr - intenzivní péče (sk.Z_542)"/>
    <x v="18"/>
    <x v="2"/>
    <n v="10.564810000000001"/>
    <n v="0"/>
  </r>
  <r>
    <s v="11"/>
    <s v="11"/>
    <s v="Ortopedická klinika"/>
    <x v="10"/>
    <s v="1162"/>
    <s v="operační sál - lokální"/>
    <s v="1162 - operační sál - lokální"/>
    <s v="50115080     ostatní ZPr - staplery, extraktory (sk.Z_523)"/>
    <x v="30"/>
    <x v="0"/>
    <n v="29.645"/>
    <n v="90.140104748404994"/>
  </r>
  <r>
    <s v="11"/>
    <s v="11"/>
    <s v="Ortopedická klinika"/>
    <x v="10"/>
    <s v="1162"/>
    <s v="operační sál - lokální"/>
    <s v="1162 - operační sál - lokální"/>
    <s v="50115080     ostatní ZPr - staplery, extraktory (sk.Z_523)"/>
    <x v="30"/>
    <x v="1"/>
    <n v="36.179000000000002"/>
    <n v="29.99994211536"/>
  </r>
  <r>
    <s v="11"/>
    <s v="11"/>
    <s v="Ortopedická klinika"/>
    <x v="10"/>
    <s v="1162"/>
    <s v="operační sál - lokální"/>
    <s v="1162 - operační sál - lokální"/>
    <s v="50115080     ostatní ZPr - staplery, extraktory (sk.Z_523)"/>
    <x v="30"/>
    <x v="2"/>
    <n v="24.200240000000001"/>
    <n v="39.999004642582001"/>
  </r>
  <r>
    <s v="12"/>
    <s v="12"/>
    <s v="Urologická klinika"/>
    <x v="11"/>
    <s v="1211"/>
    <s v="lůžkové oddělení "/>
    <s v="1211 - lůžkové oddělení "/>
    <s v="50113     Léky a léčiva"/>
    <x v="2"/>
    <x v="0"/>
    <n v="1260.42281"/>
    <n v="1303.96873446935"/>
  </r>
  <r>
    <s v="12"/>
    <s v="12"/>
    <s v="Urologická klinika"/>
    <x v="11"/>
    <s v="1211"/>
    <s v="lůžkové oddělení "/>
    <s v="1211 - lůžkové oddělení "/>
    <s v="50113     Léky a léčiva"/>
    <x v="2"/>
    <x v="1"/>
    <n v="1239.7823300000009"/>
    <n v="1168.7163319751501"/>
  </r>
  <r>
    <s v="12"/>
    <s v="12"/>
    <s v="Urologická klinika"/>
    <x v="11"/>
    <s v="1211"/>
    <s v="lůžkové oddělení "/>
    <s v="1211 - lůžkové oddělení "/>
    <s v="50113     Léky a léčiva"/>
    <x v="2"/>
    <x v="2"/>
    <n v="971.48518000000001"/>
    <n v="1207.1717948384301"/>
  </r>
  <r>
    <s v="12"/>
    <s v="12"/>
    <s v="Urologická klinika"/>
    <x v="11"/>
    <s v="1211"/>
    <s v="lůžkové oddělení "/>
    <s v="1211 - lůžkové oddělení "/>
    <s v="50113001     léky - paušál+TISS (LEK)"/>
    <x v="3"/>
    <x v="0"/>
    <n v="756.71936999999889"/>
    <n v="777.73214223637206"/>
  </r>
  <r>
    <s v="12"/>
    <s v="12"/>
    <s v="Urologická klinika"/>
    <x v="11"/>
    <s v="1211"/>
    <s v="lůžkové oddělení "/>
    <s v="1211 - lůžkové oddělení "/>
    <s v="50113001     léky - paušál+TISS (LEK)"/>
    <x v="3"/>
    <x v="1"/>
    <n v="811.37569999999994"/>
    <n v="757.29257785333198"/>
  </r>
  <r>
    <s v="12"/>
    <s v="12"/>
    <s v="Urologická klinika"/>
    <x v="11"/>
    <s v="1211"/>
    <s v="lůžkové oddělení "/>
    <s v="1211 - lůžkové oddělení "/>
    <s v="50113001     léky - paušál+TISS (LEK)"/>
    <x v="3"/>
    <x v="2"/>
    <n v="604.05138999999997"/>
    <n v="753.65934875606695"/>
  </r>
  <r>
    <s v="12"/>
    <s v="12"/>
    <s v="Urologická klinika"/>
    <x v="11"/>
    <s v="1211"/>
    <s v="lůžkové oddělení "/>
    <s v="1211 - lůžkové oddělení "/>
    <s v="50113002     léky - parenterální výživa (LEK)"/>
    <x v="17"/>
    <x v="2"/>
    <n v="51.392940000000003"/>
    <n v="69"/>
  </r>
  <r>
    <s v="12"/>
    <s v="12"/>
    <s v="Urologická klinika"/>
    <x v="11"/>
    <s v="1211"/>
    <s v="lůžkové oddělení "/>
    <s v="1211 - lůžkové oddělení "/>
    <s v="50113006     léky - enterální výživa (LEK)"/>
    <x v="4"/>
    <x v="0"/>
    <n v="85.636039999998999"/>
    <n v="60.584367186462998"/>
  </r>
  <r>
    <s v="12"/>
    <s v="12"/>
    <s v="Urologická klinika"/>
    <x v="11"/>
    <s v="1211"/>
    <s v="lůžkové oddělení "/>
    <s v="1211 - lůžkové oddělení "/>
    <s v="50113006     léky - enterální výživa (LEK)"/>
    <x v="4"/>
    <x v="1"/>
    <n v="80.197620000000001"/>
    <n v="85.508098483168993"/>
  </r>
  <r>
    <s v="12"/>
    <s v="12"/>
    <s v="Urologická klinika"/>
    <x v="11"/>
    <s v="1211"/>
    <s v="lůžkové oddělení "/>
    <s v="1211 - lůžkové oddělení "/>
    <s v="50113006     léky - enterální výživa (LEK)"/>
    <x v="4"/>
    <x v="2"/>
    <n v="5.9604399999999984"/>
    <n v="13"/>
  </r>
  <r>
    <s v="12"/>
    <s v="12"/>
    <s v="Urologická klinika"/>
    <x v="11"/>
    <s v="1211"/>
    <s v="lůžkové oddělení "/>
    <s v="1211 - lůžkové oddělení "/>
    <s v="50113008     léky - krev.deriváty ZUL (TO)"/>
    <x v="5"/>
    <x v="0"/>
    <n v="20.910119999999999"/>
    <n v="0"/>
  </r>
  <r>
    <s v="12"/>
    <s v="12"/>
    <s v="Urologická klinika"/>
    <x v="11"/>
    <s v="1211"/>
    <s v="lůžkové oddělení "/>
    <s v="1211 - lůžkové oddělení "/>
    <s v="50113008     léky - krev.deriváty ZUL (TO)"/>
    <x v="5"/>
    <x v="1"/>
    <n v="79.668390000000002"/>
    <n v="20.000175613368"/>
  </r>
  <r>
    <s v="12"/>
    <s v="12"/>
    <s v="Urologická klinika"/>
    <x v="11"/>
    <s v="1211"/>
    <s v="lůžkové oddělení "/>
    <s v="1211 - lůžkové oddělení "/>
    <s v="50113008     léky - krev.deriváty ZUL (TO)"/>
    <x v="5"/>
    <x v="2"/>
    <n v="72.503999999999991"/>
    <n v="77.477899799959005"/>
  </r>
  <r>
    <s v="12"/>
    <s v="12"/>
    <s v="Urologická klinika"/>
    <x v="11"/>
    <s v="1211"/>
    <s v="lůžkové oddělení "/>
    <s v="1211 - lůžkové oddělení "/>
    <s v="50113011     léky - hemofilici ZUL (TO)"/>
    <x v="6"/>
    <x v="1"/>
    <n v="4.4459900000000001"/>
    <n v="0"/>
  </r>
  <r>
    <s v="12"/>
    <s v="12"/>
    <s v="Urologická klinika"/>
    <x v="11"/>
    <s v="1211"/>
    <s v="lůžkové oddělení "/>
    <s v="1211 - lůžkové oddělení "/>
    <s v="50113011     léky - hemofilici ZUL (TO)"/>
    <x v="6"/>
    <x v="2"/>
    <n v="25.515599999999999"/>
    <n v="0"/>
  </r>
  <r>
    <s v="12"/>
    <s v="12"/>
    <s v="Urologická klinika"/>
    <x v="11"/>
    <s v="1211"/>
    <s v="lůžkové oddělení "/>
    <s v="1211 - lůžkové oddělení "/>
    <s v="50113013     léky (paušál) - antibiotika (LEK)"/>
    <x v="7"/>
    <x v="0"/>
    <n v="288.17931999999996"/>
    <n v="356.26441666976001"/>
  </r>
  <r>
    <s v="12"/>
    <s v="12"/>
    <s v="Urologická klinika"/>
    <x v="11"/>
    <s v="1211"/>
    <s v="lůžkové oddělení "/>
    <s v="1211 - lůžkové oddělení "/>
    <s v="50113013     léky (paušál) - antibiotika (LEK)"/>
    <x v="7"/>
    <x v="1"/>
    <n v="165.58279999999999"/>
    <n v="203.98038969654499"/>
  </r>
  <r>
    <s v="12"/>
    <s v="12"/>
    <s v="Urologická klinika"/>
    <x v="11"/>
    <s v="1211"/>
    <s v="lůžkové oddělení "/>
    <s v="1211 - lůžkové oddělení "/>
    <s v="50113013     léky (paušál) - antibiotika (LEK)"/>
    <x v="7"/>
    <x v="2"/>
    <n v="138.20375999999999"/>
    <n v="189.15203258592101"/>
  </r>
  <r>
    <s v="12"/>
    <s v="12"/>
    <s v="Urologická klinika"/>
    <x v="11"/>
    <s v="1211"/>
    <s v="lůžkové oddělení "/>
    <s v="1211 - lůžkové oddělení "/>
    <s v="50113014     léky (paušál) - antimykotika (LEK)"/>
    <x v="8"/>
    <x v="0"/>
    <n v="7.6582100000000004"/>
    <n v="7.9983700391500001"/>
  </r>
  <r>
    <s v="12"/>
    <s v="12"/>
    <s v="Urologická klinika"/>
    <x v="11"/>
    <s v="1211"/>
    <s v="lůžkové oddělení "/>
    <s v="1211 - lůžkové oddělení "/>
    <s v="50113014     léky (paušál) - antimykotika (LEK)"/>
    <x v="8"/>
    <x v="1"/>
    <n v="3.5183300000000006"/>
    <n v="5.0003390153970004"/>
  </r>
  <r>
    <s v="12"/>
    <s v="12"/>
    <s v="Urologická klinika"/>
    <x v="11"/>
    <s v="1211"/>
    <s v="lůžkové oddělení "/>
    <s v="1211 - lůžkové oddělení "/>
    <s v="50113014     léky (paušál) - antimykotika (LEK)"/>
    <x v="8"/>
    <x v="2"/>
    <n v="5.7047499999999998"/>
    <n v="7.652186931648"/>
  </r>
  <r>
    <s v="12"/>
    <s v="12"/>
    <s v="Urologická klinika"/>
    <x v="11"/>
    <s v="1211"/>
    <s v="lůžkové oddělení "/>
    <s v="1211 - lůžkové oddělení "/>
    <s v="50113190     medicinální plyny"/>
    <x v="9"/>
    <x v="0"/>
    <n v="101.319749999999"/>
    <n v="101.38943833760101"/>
  </r>
  <r>
    <s v="12"/>
    <s v="12"/>
    <s v="Urologická klinika"/>
    <x v="11"/>
    <s v="1211"/>
    <s v="lůžkové oddělení "/>
    <s v="1211 - lůžkové oddělení "/>
    <s v="50113190     medicinální plyny"/>
    <x v="9"/>
    <x v="1"/>
    <n v="94.993499999999997"/>
    <n v="96.934751313337998"/>
  </r>
  <r>
    <s v="12"/>
    <s v="12"/>
    <s v="Urologická klinika"/>
    <x v="11"/>
    <s v="1211"/>
    <s v="lůžkové oddělení "/>
    <s v="1211 - lůžkové oddělení "/>
    <s v="50113190     medicinální plyny"/>
    <x v="9"/>
    <x v="2"/>
    <n v="68.152299999999997"/>
    <n v="97.230326764835993"/>
  </r>
  <r>
    <s v="12"/>
    <s v="12"/>
    <s v="Urologická klinika"/>
    <x v="11"/>
    <s v="1211"/>
    <s v="lůžkové oddělení "/>
    <s v="1211 - lůžkové oddělení "/>
    <s v="50115     Zdravotnické prostředky"/>
    <x v="0"/>
    <x v="0"/>
    <n v="302.90233000000006"/>
    <n v="354.925031262782"/>
  </r>
  <r>
    <s v="12"/>
    <s v="12"/>
    <s v="Urologická klinika"/>
    <x v="11"/>
    <s v="1211"/>
    <s v="lůžkové oddělení "/>
    <s v="1211 - lůžkové oddělení "/>
    <s v="50115     Zdravotnické prostředky"/>
    <x v="0"/>
    <x v="1"/>
    <n v="364.77363999999994"/>
    <n v="309.33321068410697"/>
  </r>
  <r>
    <s v="12"/>
    <s v="12"/>
    <s v="Urologická klinika"/>
    <x v="11"/>
    <s v="1211"/>
    <s v="lůžkové oddělení "/>
    <s v="1211 - lůžkové oddělení "/>
    <s v="50115     Zdravotnické prostředky"/>
    <x v="0"/>
    <x v="2"/>
    <n v="283.69558000000001"/>
    <n v="344.17584441313301"/>
  </r>
  <r>
    <s v="12"/>
    <s v="12"/>
    <s v="Urologická klinika"/>
    <x v="11"/>
    <s v="1211"/>
    <s v="lůžkové oddělení "/>
    <s v="1211 - lůžkové oddělení "/>
    <s v="50115020     diagnostika laboratorní-LEK (sk.Z_501)"/>
    <x v="10"/>
    <x v="0"/>
    <n v="3.982389999999"/>
    <n v="6.6499613463770002"/>
  </r>
  <r>
    <s v="12"/>
    <s v="12"/>
    <s v="Urologická klinika"/>
    <x v="11"/>
    <s v="1211"/>
    <s v="lůžkové oddělení "/>
    <s v="1211 - lůžkové oddělení "/>
    <s v="50115020     diagnostika laboratorní-LEK (sk.Z_501)"/>
    <x v="10"/>
    <x v="1"/>
    <n v="8.8496300000000012"/>
    <n v="4.9823857820440001"/>
  </r>
  <r>
    <s v="12"/>
    <s v="12"/>
    <s v="Urologická klinika"/>
    <x v="11"/>
    <s v="1211"/>
    <s v="lůžkové oddělení "/>
    <s v="1211 - lůžkové oddělení "/>
    <s v="50115020     diagnostika laboratorní-LEK (sk.Z_501)"/>
    <x v="10"/>
    <x v="2"/>
    <n v="2.2637400000000003"/>
    <n v="4.9999998425119996"/>
  </r>
  <r>
    <s v="12"/>
    <s v="12"/>
    <s v="Urologická klinika"/>
    <x v="11"/>
    <s v="1211"/>
    <s v="lůžkové oddělení "/>
    <s v="1211 - lůžkové oddělení "/>
    <s v="50115040     laboratorní materiál (sk.Z_505)"/>
    <x v="11"/>
    <x v="0"/>
    <n v="0.93125000000000002"/>
    <n v="0.94990943338099998"/>
  </r>
  <r>
    <s v="12"/>
    <s v="12"/>
    <s v="Urologická klinika"/>
    <x v="11"/>
    <s v="1211"/>
    <s v="lůžkové oddělení "/>
    <s v="1211 - lůžkové oddělení "/>
    <s v="50115040     laboratorní materiál (sk.Z_505)"/>
    <x v="11"/>
    <x v="1"/>
    <n v="0.71174999999999999"/>
    <n v="0.93130887196900003"/>
  </r>
  <r>
    <s v="12"/>
    <s v="12"/>
    <s v="Urologická klinika"/>
    <x v="11"/>
    <s v="1211"/>
    <s v="lůžkové oddělení "/>
    <s v="1211 - lůžkové oddělení "/>
    <s v="50115040     laboratorní materiál (sk.Z_505)"/>
    <x v="11"/>
    <x v="2"/>
    <n v="0.94425000000000003"/>
    <n v="0.99999996850200001"/>
  </r>
  <r>
    <s v="12"/>
    <s v="12"/>
    <s v="Urologická klinika"/>
    <x v="11"/>
    <s v="1211"/>
    <s v="lůžkové oddělení "/>
    <s v="1211 - lůžkové oddělení "/>
    <s v="50115050     obvazový materiál (sk.Z_502)"/>
    <x v="12"/>
    <x v="0"/>
    <n v="93.160569999999012"/>
    <n v="96.394358758110997"/>
  </r>
  <r>
    <s v="12"/>
    <s v="12"/>
    <s v="Urologická klinika"/>
    <x v="11"/>
    <s v="1211"/>
    <s v="lůžkové oddělení "/>
    <s v="1211 - lůžkové oddělení "/>
    <s v="50115050     obvazový materiál (sk.Z_502)"/>
    <x v="12"/>
    <x v="1"/>
    <n v="105.44884999999999"/>
    <n v="93.372421930536007"/>
  </r>
  <r>
    <s v="12"/>
    <s v="12"/>
    <s v="Urologická klinika"/>
    <x v="11"/>
    <s v="1211"/>
    <s v="lůžkové oddělení "/>
    <s v="1211 - lůžkové oddělení "/>
    <s v="50115050     obvazový materiál (sk.Z_502)"/>
    <x v="12"/>
    <x v="2"/>
    <n v="80.593329999999995"/>
    <n v="95.178477881117999"/>
  </r>
  <r>
    <s v="12"/>
    <s v="12"/>
    <s v="Urologická klinika"/>
    <x v="11"/>
    <s v="1211"/>
    <s v="lůžkové oddělení "/>
    <s v="1211 - lůžkové oddělení "/>
    <s v="50115060     ostatní ZPr - mimo níže uvedené (sk.Z_503)"/>
    <x v="1"/>
    <x v="0"/>
    <n v="132.25092000000001"/>
    <n v="166.18019301523199"/>
  </r>
  <r>
    <s v="12"/>
    <s v="12"/>
    <s v="Urologická klinika"/>
    <x v="11"/>
    <s v="1211"/>
    <s v="lůžkové oddělení "/>
    <s v="1211 - lůžkové oddělení "/>
    <s v="50115060     ostatní ZPr - mimo níže uvedené (sk.Z_503)"/>
    <x v="1"/>
    <x v="1"/>
    <n v="174.16931"/>
    <n v="137.25000018057301"/>
  </r>
  <r>
    <s v="12"/>
    <s v="12"/>
    <s v="Urologická klinika"/>
    <x v="11"/>
    <s v="1211"/>
    <s v="lůžkové oddělení "/>
    <s v="1211 - lůžkové oddělení "/>
    <s v="50115060     ostatní ZPr - mimo níže uvedené (sk.Z_503)"/>
    <x v="1"/>
    <x v="2"/>
    <n v="136.83682999999999"/>
    <n v="168.69611743328801"/>
  </r>
  <r>
    <s v="12"/>
    <s v="12"/>
    <s v="Urologická klinika"/>
    <x v="11"/>
    <s v="1211"/>
    <s v="lůžkové oddělení "/>
    <s v="1211 - lůžkové oddělení "/>
    <s v="50115063     ostatní ZPr - vaky, sety (sk.Z_528)"/>
    <x v="13"/>
    <x v="0"/>
    <n v="22.127000000000002"/>
    <n v="23.287721095963001"/>
  </r>
  <r>
    <s v="12"/>
    <s v="12"/>
    <s v="Urologická klinika"/>
    <x v="11"/>
    <s v="1211"/>
    <s v="lůžkové oddělení "/>
    <s v="1211 - lůžkové oddělení "/>
    <s v="50115063     ostatní ZPr - vaky, sety (sk.Z_528)"/>
    <x v="13"/>
    <x v="1"/>
    <n v="26.164300000000001"/>
    <n v="22.676149595838002"/>
  </r>
  <r>
    <s v="12"/>
    <s v="12"/>
    <s v="Urologická klinika"/>
    <x v="11"/>
    <s v="1211"/>
    <s v="lůžkové oddělení "/>
    <s v="1211 - lůžkové oddělení "/>
    <s v="50115063     ostatní ZPr - vaky, sety (sk.Z_528)"/>
    <x v="13"/>
    <x v="2"/>
    <n v="25.387999999999998"/>
    <n v="26.812740963345998"/>
  </r>
  <r>
    <s v="12"/>
    <s v="12"/>
    <s v="Urologická klinika"/>
    <x v="11"/>
    <s v="1211"/>
    <s v="lůžkové oddělení "/>
    <s v="1211 - lůžkové oddělení "/>
    <s v="50115064     ostatní ZPr - šicí materiál (sk.Z_529)"/>
    <x v="21"/>
    <x v="0"/>
    <n v="0"/>
    <n v="0.94998453898500002"/>
  </r>
  <r>
    <s v="12"/>
    <s v="12"/>
    <s v="Urologická klinika"/>
    <x v="11"/>
    <s v="1211"/>
    <s v="lůžkové oddělení "/>
    <s v="1211 - lůžkové oddělení "/>
    <s v="50115065     ostatní ZPr - vpichovací materiál (sk.Z_530)"/>
    <x v="14"/>
    <x v="0"/>
    <n v="2.4439999999989999"/>
    <n v="2.8504105736969998"/>
  </r>
  <r>
    <s v="12"/>
    <s v="12"/>
    <s v="Urologická klinika"/>
    <x v="11"/>
    <s v="1211"/>
    <s v="lůžkové oddělení "/>
    <s v="1211 - lůžkové oddělení "/>
    <s v="50115065     ostatní ZPr - vpichovací materiál (sk.Z_530)"/>
    <x v="14"/>
    <x v="1"/>
    <n v="5.0550000000000006"/>
    <n v="2.5070937306230001"/>
  </r>
  <r>
    <s v="12"/>
    <s v="12"/>
    <s v="Urologická klinika"/>
    <x v="11"/>
    <s v="1211"/>
    <s v="lůžkové oddělení "/>
    <s v="1211 - lůžkové oddělení "/>
    <s v="50115065     ostatní ZPr - vpichovací materiál (sk.Z_530)"/>
    <x v="14"/>
    <x v="2"/>
    <n v="7.1389999999999993"/>
    <n v="3.250378903498"/>
  </r>
  <r>
    <s v="12"/>
    <s v="12"/>
    <s v="Urologická klinika"/>
    <x v="11"/>
    <s v="1211"/>
    <s v="lůžkové oddělení "/>
    <s v="1211 - lůžkové oddělení "/>
    <s v="50115067     ostatní ZPr - rukavice (sk.Z_532)"/>
    <x v="15"/>
    <x v="0"/>
    <n v="42.701199999998998"/>
    <n v="46.456372390741997"/>
  </r>
  <r>
    <s v="12"/>
    <s v="12"/>
    <s v="Urologická klinika"/>
    <x v="11"/>
    <s v="1211"/>
    <s v="lůžkové oddělení "/>
    <s v="1211 - lůžkové oddělení "/>
    <s v="50115067     ostatní ZPr - rukavice (sk.Z_532)"/>
    <x v="15"/>
    <x v="1"/>
    <n v="44.3748"/>
    <n v="43.305442535933999"/>
  </r>
  <r>
    <s v="12"/>
    <s v="12"/>
    <s v="Urologická klinika"/>
    <x v="11"/>
    <s v="1211"/>
    <s v="lůžkové oddělení "/>
    <s v="1211 - lůžkové oddělení "/>
    <s v="50115067     ostatní ZPr - rukavice (sk.Z_532)"/>
    <x v="15"/>
    <x v="2"/>
    <n v="30.147199999999998"/>
    <n v="44.238129420865"/>
  </r>
  <r>
    <s v="12"/>
    <s v="12"/>
    <s v="Urologická klinika"/>
    <x v="11"/>
    <s v="1211"/>
    <s v="lůžkové oddělení "/>
    <s v="1211 - lůžkové oddělení "/>
    <s v="50115070     ostatní ZPr - katetry (sk.Z_513)"/>
    <x v="16"/>
    <x v="0"/>
    <n v="5.142499999999"/>
    <n v="11.206120110289"/>
  </r>
  <r>
    <s v="12"/>
    <s v="12"/>
    <s v="Urologická klinika"/>
    <x v="11"/>
    <s v="1211"/>
    <s v="lůžkové oddělení "/>
    <s v="1211 - lůžkové oddělení "/>
    <s v="50115070     ostatní ZPr - katetry (sk.Z_513)"/>
    <x v="16"/>
    <x v="1"/>
    <n v="0"/>
    <n v="4.1424758357250004"/>
  </r>
  <r>
    <s v="12"/>
    <s v="12"/>
    <s v="Urologická klinika"/>
    <x v="11"/>
    <s v="1211"/>
    <s v="lůžkové oddělení "/>
    <s v="1211 - lůžkové oddělení "/>
    <s v="50115079     ostatní ZPr - intenzivní péče (sk.Z_542)"/>
    <x v="18"/>
    <x v="2"/>
    <n v="0.38323000000000002"/>
    <n v="0"/>
  </r>
  <r>
    <s v="12"/>
    <s v="12"/>
    <s v="Urologická klinika"/>
    <x v="11"/>
    <s v="1211"/>
    <s v="lůžkové oddělení "/>
    <s v="1211 - lůžkové oddělení "/>
    <s v="50115090     ostatní ZPr - zubolékařský materiál (sk.Z_509)"/>
    <x v="51"/>
    <x v="0"/>
    <n v="0.16250000000000001"/>
    <n v="0"/>
  </r>
  <r>
    <s v="12"/>
    <s v="12"/>
    <s v="Urologická klinika"/>
    <x v="11"/>
    <s v="1211"/>
    <s v="lůžkové oddělení "/>
    <s v="1211 - lůžkové oddělení "/>
    <s v="50115090     ostatní ZPr - zubolékařský materiál (sk.Z_509)"/>
    <x v="51"/>
    <x v="1"/>
    <n v="0"/>
    <n v="0.16593222086000001"/>
  </r>
  <r>
    <s v="12"/>
    <s v="12"/>
    <s v="Urologická klinika"/>
    <x v="11"/>
    <s v="1221"/>
    <s v="ambulance "/>
    <s v="1221 - ambulance "/>
    <s v="50113     Léky a léčiva"/>
    <x v="2"/>
    <x v="0"/>
    <n v="1381.4479899999997"/>
    <n v="1558.51751392082"/>
  </r>
  <r>
    <s v="12"/>
    <s v="12"/>
    <s v="Urologická klinika"/>
    <x v="11"/>
    <s v="1221"/>
    <s v="ambulance "/>
    <s v="1221 - ambulance "/>
    <s v="50113     Léky a léčiva"/>
    <x v="2"/>
    <x v="1"/>
    <n v="2155.4723900000013"/>
    <n v="2612.5583564979402"/>
  </r>
  <r>
    <s v="12"/>
    <s v="12"/>
    <s v="Urologická klinika"/>
    <x v="11"/>
    <s v="1221"/>
    <s v="ambulance "/>
    <s v="1221 - ambulance "/>
    <s v="50113     Léky a léčiva"/>
    <x v="2"/>
    <x v="2"/>
    <n v="1421.8909399999998"/>
    <n v="1970.9287971895001"/>
  </r>
  <r>
    <s v="12"/>
    <s v="12"/>
    <s v="Urologická klinika"/>
    <x v="11"/>
    <s v="1221"/>
    <s v="ambulance "/>
    <s v="1221 - ambulance "/>
    <s v="50113001     léky - paušál+TISS (LEK)"/>
    <x v="3"/>
    <x v="0"/>
    <n v="1231.5355999999999"/>
    <n v="1297.2384547633201"/>
  </r>
  <r>
    <s v="12"/>
    <s v="12"/>
    <s v="Urologická klinika"/>
    <x v="11"/>
    <s v="1221"/>
    <s v="ambulance "/>
    <s v="1221 - ambulance "/>
    <s v="50113001     léky - paušál+TISS (LEK)"/>
    <x v="3"/>
    <x v="1"/>
    <n v="2012.3085500000011"/>
    <n v="2472.00113904523"/>
  </r>
  <r>
    <s v="12"/>
    <s v="12"/>
    <s v="Urologická klinika"/>
    <x v="11"/>
    <s v="1221"/>
    <s v="ambulance "/>
    <s v="1221 - ambulance "/>
    <s v="50113001     léky - paušál+TISS (LEK)"/>
    <x v="3"/>
    <x v="2"/>
    <n v="1321.50074"/>
    <n v="1827.2140893175099"/>
  </r>
  <r>
    <s v="12"/>
    <s v="12"/>
    <s v="Urologická klinika"/>
    <x v="11"/>
    <s v="1221"/>
    <s v="ambulance "/>
    <s v="1221 - ambulance "/>
    <s v="50113009     léky - RTG diagnostika ZUL (LEK)"/>
    <x v="22"/>
    <x v="0"/>
    <n v="147.15292999999903"/>
    <n v="258.57150583100901"/>
  </r>
  <r>
    <s v="12"/>
    <s v="12"/>
    <s v="Urologická klinika"/>
    <x v="11"/>
    <s v="1221"/>
    <s v="ambulance "/>
    <s v="1221 - ambulance "/>
    <s v="50113009     léky - RTG diagnostika ZUL (LEK)"/>
    <x v="22"/>
    <x v="1"/>
    <n v="141.10614999999999"/>
    <n v="137.81724906349299"/>
  </r>
  <r>
    <s v="12"/>
    <s v="12"/>
    <s v="Urologická klinika"/>
    <x v="11"/>
    <s v="1221"/>
    <s v="ambulance "/>
    <s v="1221 - ambulance "/>
    <s v="50113009     léky - RTG diagnostika ZUL (LEK)"/>
    <x v="22"/>
    <x v="2"/>
    <n v="99.244030000000009"/>
    <n v="141.56798477528901"/>
  </r>
  <r>
    <s v="12"/>
    <s v="12"/>
    <s v="Urologická klinika"/>
    <x v="11"/>
    <s v="1221"/>
    <s v="ambulance "/>
    <s v="1221 - ambulance "/>
    <s v="50113013     léky (paušál) - antibiotika (LEK)"/>
    <x v="7"/>
    <x v="0"/>
    <n v="1.8026600000000002"/>
    <n v="1.7412443301060001"/>
  </r>
  <r>
    <s v="12"/>
    <s v="12"/>
    <s v="Urologická klinika"/>
    <x v="11"/>
    <s v="1221"/>
    <s v="ambulance "/>
    <s v="1221 - ambulance "/>
    <s v="50113013     léky (paušál) - antibiotika (LEK)"/>
    <x v="7"/>
    <x v="1"/>
    <n v="2.05769"/>
    <n v="1.8245775591390001"/>
  </r>
  <r>
    <s v="12"/>
    <s v="12"/>
    <s v="Urologická klinika"/>
    <x v="11"/>
    <s v="1221"/>
    <s v="ambulance "/>
    <s v="1221 - ambulance "/>
    <s v="50113013     léky (paušál) - antibiotika (LEK)"/>
    <x v="7"/>
    <x v="2"/>
    <n v="1.1461700000000001"/>
    <n v="2.1467230967019999"/>
  </r>
  <r>
    <s v="12"/>
    <s v="12"/>
    <s v="Urologická klinika"/>
    <x v="11"/>
    <s v="1221"/>
    <s v="ambulance "/>
    <s v="1221 - ambulance "/>
    <s v="50113190     medicinální plyny"/>
    <x v="9"/>
    <x v="0"/>
    <n v="0.95679999999999998"/>
    <n v="0.96630899638400003"/>
  </r>
  <r>
    <s v="12"/>
    <s v="12"/>
    <s v="Urologická klinika"/>
    <x v="11"/>
    <s v="1221"/>
    <s v="ambulance "/>
    <s v="1221 - ambulance "/>
    <s v="50113190     medicinální plyny"/>
    <x v="9"/>
    <x v="1"/>
    <n v="0"/>
    <n v="0.915390830085"/>
  </r>
  <r>
    <s v="12"/>
    <s v="12"/>
    <s v="Urologická klinika"/>
    <x v="11"/>
    <s v="1221"/>
    <s v="ambulance "/>
    <s v="1221 - ambulance "/>
    <s v="50115     Zdravotnické prostředky"/>
    <x v="0"/>
    <x v="0"/>
    <n v="1315.97189"/>
    <n v="1441.0490456448999"/>
  </r>
  <r>
    <s v="12"/>
    <s v="12"/>
    <s v="Urologická klinika"/>
    <x v="11"/>
    <s v="1221"/>
    <s v="ambulance "/>
    <s v="1221 - ambulance "/>
    <s v="50115     Zdravotnické prostředky"/>
    <x v="0"/>
    <x v="1"/>
    <n v="1622.6783300000002"/>
    <n v="1412.03613827868"/>
  </r>
  <r>
    <s v="12"/>
    <s v="12"/>
    <s v="Urologická klinika"/>
    <x v="11"/>
    <s v="1221"/>
    <s v="ambulance "/>
    <s v="1221 - ambulance "/>
    <s v="50115     Zdravotnické prostředky"/>
    <x v="0"/>
    <x v="2"/>
    <n v="1359.2135899999998"/>
    <n v="1620.2445138744899"/>
  </r>
  <r>
    <s v="12"/>
    <s v="12"/>
    <s v="Urologická klinika"/>
    <x v="11"/>
    <s v="1221"/>
    <s v="ambulance "/>
    <s v="1221 - ambulance "/>
    <s v="50115020     diagnostika laboratorní-LEK (sk.Z_501)"/>
    <x v="10"/>
    <x v="0"/>
    <n v="0.90600999999999998"/>
    <n v="3.6741056388729998"/>
  </r>
  <r>
    <s v="12"/>
    <s v="12"/>
    <s v="Urologická klinika"/>
    <x v="11"/>
    <s v="1221"/>
    <s v="ambulance "/>
    <s v="1221 - ambulance "/>
    <s v="50115020     diagnostika laboratorní-LEK (sk.Z_501)"/>
    <x v="10"/>
    <x v="1"/>
    <n v="0"/>
    <n v="0.90600904039700003"/>
  </r>
  <r>
    <s v="12"/>
    <s v="12"/>
    <s v="Urologická klinika"/>
    <x v="11"/>
    <s v="1221"/>
    <s v="ambulance "/>
    <s v="1221 - ambulance "/>
    <s v="50115040     laboratorní materiál (sk.Z_505)"/>
    <x v="11"/>
    <x v="0"/>
    <n v="0.23250000000000001"/>
    <n v="0"/>
  </r>
  <r>
    <s v="12"/>
    <s v="12"/>
    <s v="Urologická klinika"/>
    <x v="11"/>
    <s v="1221"/>
    <s v="ambulance "/>
    <s v="1221 - ambulance "/>
    <s v="50115040     laboratorní materiál (sk.Z_505)"/>
    <x v="11"/>
    <x v="1"/>
    <n v="0"/>
    <n v="0.23251469823599999"/>
  </r>
  <r>
    <s v="12"/>
    <s v="12"/>
    <s v="Urologická klinika"/>
    <x v="11"/>
    <s v="1221"/>
    <s v="ambulance "/>
    <s v="1221 - ambulance "/>
    <s v="50115050     obvazový materiál (sk.Z_502)"/>
    <x v="12"/>
    <x v="0"/>
    <n v="35.763129999999997"/>
    <n v="28.673993748981999"/>
  </r>
  <r>
    <s v="12"/>
    <s v="12"/>
    <s v="Urologická klinika"/>
    <x v="11"/>
    <s v="1221"/>
    <s v="ambulance "/>
    <s v="1221 - ambulance "/>
    <s v="50115050     obvazový materiál (sk.Z_502)"/>
    <x v="12"/>
    <x v="1"/>
    <n v="37.210799999999999"/>
    <n v="35.844457198111002"/>
  </r>
  <r>
    <s v="12"/>
    <s v="12"/>
    <s v="Urologická klinika"/>
    <x v="11"/>
    <s v="1221"/>
    <s v="ambulance "/>
    <s v="1221 - ambulance "/>
    <s v="50115050     obvazový materiál (sk.Z_502)"/>
    <x v="12"/>
    <x v="2"/>
    <n v="22.222940000000001"/>
    <n v="33.821518055692998"/>
  </r>
  <r>
    <s v="12"/>
    <s v="12"/>
    <s v="Urologická klinika"/>
    <x v="11"/>
    <s v="1221"/>
    <s v="ambulance "/>
    <s v="1221 - ambulance "/>
    <s v="50115060     ostatní ZPr - mimo níže uvedené (sk.Z_503)"/>
    <x v="1"/>
    <x v="0"/>
    <n v="489.03972999999991"/>
    <n v="468.45599730564197"/>
  </r>
  <r>
    <s v="12"/>
    <s v="12"/>
    <s v="Urologická klinika"/>
    <x v="11"/>
    <s v="1221"/>
    <s v="ambulance "/>
    <s v="1221 - ambulance "/>
    <s v="50115060     ostatní ZPr - mimo níže uvedené (sk.Z_503)"/>
    <x v="1"/>
    <x v="1"/>
    <n v="714.71492999999998"/>
    <n v="518.03658757220398"/>
  </r>
  <r>
    <s v="12"/>
    <s v="12"/>
    <s v="Urologická klinika"/>
    <x v="11"/>
    <s v="1221"/>
    <s v="ambulance "/>
    <s v="1221 - ambulance "/>
    <s v="50115060     ostatní ZPr - mimo níže uvedené (sk.Z_503)"/>
    <x v="1"/>
    <x v="2"/>
    <n v="701.24110000000007"/>
    <n v="729.72427443074901"/>
  </r>
  <r>
    <s v="12"/>
    <s v="12"/>
    <s v="Urologická klinika"/>
    <x v="11"/>
    <s v="1221"/>
    <s v="ambulance "/>
    <s v="1221 - ambulance "/>
    <s v="50115063     ostatní ZPr - vaky, sety (sk.Z_528)"/>
    <x v="13"/>
    <x v="0"/>
    <n v="3.1356999999999999"/>
    <n v="4.1084518014549998"/>
  </r>
  <r>
    <s v="12"/>
    <s v="12"/>
    <s v="Urologická klinika"/>
    <x v="11"/>
    <s v="1221"/>
    <s v="ambulance "/>
    <s v="1221 - ambulance "/>
    <s v="50115063     ostatní ZPr - vaky, sety (sk.Z_528)"/>
    <x v="13"/>
    <x v="1"/>
    <n v="2.9408000000000003"/>
    <n v="3.071808148908"/>
  </r>
  <r>
    <s v="12"/>
    <s v="12"/>
    <s v="Urologická klinika"/>
    <x v="11"/>
    <s v="1221"/>
    <s v="ambulance "/>
    <s v="1221 - ambulance "/>
    <s v="50115063     ostatní ZPr - vaky, sety (sk.Z_528)"/>
    <x v="13"/>
    <x v="2"/>
    <n v="2.3675999999999995"/>
    <n v="3.1872580917260001"/>
  </r>
  <r>
    <s v="12"/>
    <s v="12"/>
    <s v="Urologická klinika"/>
    <x v="11"/>
    <s v="1221"/>
    <s v="ambulance "/>
    <s v="1221 - ambulance "/>
    <s v="50115064     ostatní ZPr - šicí materiál (sk.Z_529)"/>
    <x v="21"/>
    <x v="0"/>
    <n v="4.7714400000000001"/>
    <n v="39.946515357038997"/>
  </r>
  <r>
    <s v="12"/>
    <s v="12"/>
    <s v="Urologická klinika"/>
    <x v="11"/>
    <s v="1221"/>
    <s v="ambulance "/>
    <s v="1221 - ambulance "/>
    <s v="50115064     ostatní ZPr - šicí materiál (sk.Z_529)"/>
    <x v="21"/>
    <x v="1"/>
    <n v="8.41282"/>
    <n v="4.6780141318139998"/>
  </r>
  <r>
    <s v="12"/>
    <s v="12"/>
    <s v="Urologická klinika"/>
    <x v="11"/>
    <s v="1221"/>
    <s v="ambulance "/>
    <s v="1221 - ambulance "/>
    <s v="50115064     ostatní ZPr - šicí materiál (sk.Z_529)"/>
    <x v="21"/>
    <x v="2"/>
    <n v="5.2546299999999997"/>
    <n v="9.9999996850239992"/>
  </r>
  <r>
    <s v="12"/>
    <s v="12"/>
    <s v="Urologická klinika"/>
    <x v="11"/>
    <s v="1221"/>
    <s v="ambulance "/>
    <s v="1221 - ambulance "/>
    <s v="50115065     ostatní ZPr - vpichovací materiál (sk.Z_530)"/>
    <x v="14"/>
    <x v="0"/>
    <n v="138.06889999999999"/>
    <n v="130.267718648504"/>
  </r>
  <r>
    <s v="12"/>
    <s v="12"/>
    <s v="Urologická klinika"/>
    <x v="11"/>
    <s v="1221"/>
    <s v="ambulance "/>
    <s v="1221 - ambulance "/>
    <s v="50115065     ostatní ZPr - vpichovací materiál (sk.Z_530)"/>
    <x v="14"/>
    <x v="1"/>
    <n v="125.58363000000099"/>
    <n v="141.633254330662"/>
  </r>
  <r>
    <s v="12"/>
    <s v="12"/>
    <s v="Urologická klinika"/>
    <x v="11"/>
    <s v="1221"/>
    <s v="ambulance "/>
    <s v="1221 - ambulance "/>
    <s v="50115065     ostatní ZPr - vpichovací materiál (sk.Z_530)"/>
    <x v="14"/>
    <x v="2"/>
    <n v="68.476630000000014"/>
    <n v="100.749617820754"/>
  </r>
  <r>
    <s v="12"/>
    <s v="12"/>
    <s v="Urologická klinika"/>
    <x v="11"/>
    <s v="1221"/>
    <s v="ambulance "/>
    <s v="1221 - ambulance "/>
    <s v="50115067     ostatní ZPr - rukavice (sk.Z_532)"/>
    <x v="15"/>
    <x v="0"/>
    <n v="42.613900000000001"/>
    <n v="37.513062961830002"/>
  </r>
  <r>
    <s v="12"/>
    <s v="12"/>
    <s v="Urologická klinika"/>
    <x v="11"/>
    <s v="1221"/>
    <s v="ambulance "/>
    <s v="1221 - ambulance "/>
    <s v="50115067     ostatní ZPr - rukavice (sk.Z_532)"/>
    <x v="15"/>
    <x v="1"/>
    <n v="56.632499999999993"/>
    <n v="45.216910967986998"/>
  </r>
  <r>
    <s v="12"/>
    <s v="12"/>
    <s v="Urologická klinika"/>
    <x v="11"/>
    <s v="1221"/>
    <s v="ambulance "/>
    <s v="1221 - ambulance "/>
    <s v="50115067     ostatní ZPr - rukavice (sk.Z_532)"/>
    <x v="15"/>
    <x v="2"/>
    <n v="47.160500000000006"/>
    <n v="55.761867429375997"/>
  </r>
  <r>
    <s v="12"/>
    <s v="12"/>
    <s v="Urologická klinika"/>
    <x v="11"/>
    <s v="1221"/>
    <s v="ambulance "/>
    <s v="1221 - ambulance "/>
    <s v="50115070     ostatní ZPr - katetry (sk.Z_513)"/>
    <x v="16"/>
    <x v="0"/>
    <n v="501.41890999999998"/>
    <n v="530.69712287465404"/>
  </r>
  <r>
    <s v="12"/>
    <s v="12"/>
    <s v="Urologická klinika"/>
    <x v="11"/>
    <s v="1221"/>
    <s v="ambulance "/>
    <s v="1221 - ambulance "/>
    <s v="50115070     ostatní ZPr - katetry (sk.Z_513)"/>
    <x v="16"/>
    <x v="1"/>
    <n v="677.18284999999992"/>
    <n v="575.416600709308"/>
  </r>
  <r>
    <s v="12"/>
    <s v="12"/>
    <s v="Urologická klinika"/>
    <x v="11"/>
    <s v="1221"/>
    <s v="ambulance "/>
    <s v="1221 - ambulance "/>
    <s v="50115070     ostatní ZPr - katetry (sk.Z_513)"/>
    <x v="16"/>
    <x v="2"/>
    <n v="267.60718999999995"/>
    <n v="508.99998396773401"/>
  </r>
  <r>
    <s v="12"/>
    <s v="12"/>
    <s v="Urologická klinika"/>
    <x v="11"/>
    <s v="1221"/>
    <s v="ambulance "/>
    <s v="1221 - ambulance "/>
    <s v="50115075     ostatní ZPr - stenty (sk.Z_538)"/>
    <x v="35"/>
    <x v="2"/>
    <n v="233.38800000000001"/>
    <n v="177.999994393431"/>
  </r>
  <r>
    <s v="12"/>
    <s v="12"/>
    <s v="Urologická klinika"/>
    <x v="11"/>
    <s v="1221"/>
    <s v="ambulance "/>
    <s v="1221 - ambulance "/>
    <s v="50115079     ostatní ZPr - intenzivní péče (sk.Z_542)"/>
    <x v="18"/>
    <x v="2"/>
    <n v="11.494999999999999"/>
    <n v="0"/>
  </r>
  <r>
    <s v="12"/>
    <s v="12"/>
    <s v="Urologická klinika"/>
    <x v="11"/>
    <s v="1221"/>
    <s v="ambulance "/>
    <s v="1221 - ambulance "/>
    <s v="50115080     ostatní ZPr - staplery, extraktory (sk.Z_523)"/>
    <x v="30"/>
    <x v="0"/>
    <n v="100.02167"/>
    <n v="197.71207730791801"/>
  </r>
  <r>
    <s v="12"/>
    <s v="12"/>
    <s v="Urologická klinika"/>
    <x v="11"/>
    <s v="1221"/>
    <s v="ambulance "/>
    <s v="1221 - ambulance "/>
    <s v="50115080     ostatní ZPr - staplery, extraktory (sk.Z_523)"/>
    <x v="30"/>
    <x v="1"/>
    <n v="0"/>
    <n v="86.999981481046007"/>
  </r>
  <r>
    <s v="12"/>
    <s v="12"/>
    <s v="Urologická klinika"/>
    <x v="11"/>
    <s v="1262"/>
    <s v="operační sál - lokální"/>
    <s v="1262 - operační sál - lokální"/>
    <s v="50113     Léky a léčiva"/>
    <x v="2"/>
    <x v="1"/>
    <n v="0"/>
    <n v="0"/>
  </r>
  <r>
    <s v="12"/>
    <s v="12"/>
    <s v="Urologická klinika"/>
    <x v="11"/>
    <s v="1262"/>
    <s v="operační sál - lokální"/>
    <s v="1262 - operační sál - lokální"/>
    <s v="50113     Léky a léčiva"/>
    <x v="2"/>
    <x v="2"/>
    <n v="0"/>
    <n v="-3.041580677192"/>
  </r>
  <r>
    <s v="12"/>
    <s v="12"/>
    <s v="Urologická klinika"/>
    <x v="11"/>
    <s v="1262"/>
    <s v="operační sál - lokální"/>
    <s v="1262 - operační sál - lokální"/>
    <s v="50113001     léky - paušál+TISS (LEK)"/>
    <x v="3"/>
    <x v="1"/>
    <n v="0"/>
    <n v="0"/>
  </r>
  <r>
    <s v="12"/>
    <s v="12"/>
    <s v="Urologická klinika"/>
    <x v="11"/>
    <s v="1262"/>
    <s v="operační sál - lokální"/>
    <s v="1262 - operační sál - lokální"/>
    <s v="50113001     léky - paušál+TISS (LEK)"/>
    <x v="3"/>
    <x v="2"/>
    <n v="0"/>
    <n v="-3.041580677192"/>
  </r>
  <r>
    <s v="12"/>
    <s v="12"/>
    <s v="Urologická klinika"/>
    <x v="11"/>
    <s v="1262"/>
    <s v="operační sál - lokální"/>
    <s v="1262 - operační sál - lokální"/>
    <s v="50115     Zdravotnické prostředky"/>
    <x v="0"/>
    <x v="0"/>
    <n v="116.26647"/>
    <n v="145.725610339458"/>
  </r>
  <r>
    <s v="12"/>
    <s v="12"/>
    <s v="Urologická klinika"/>
    <x v="11"/>
    <s v="1262"/>
    <s v="operační sál - lokální"/>
    <s v="1262 - operační sál - lokální"/>
    <s v="50115     Zdravotnické prostředky"/>
    <x v="0"/>
    <x v="1"/>
    <n v="101.80107000000001"/>
    <n v="107.361516501079"/>
  </r>
  <r>
    <s v="12"/>
    <s v="12"/>
    <s v="Urologická klinika"/>
    <x v="11"/>
    <s v="1262"/>
    <s v="operační sál - lokální"/>
    <s v="1262 - operační sál - lokální"/>
    <s v="50115     Zdravotnické prostředky"/>
    <x v="0"/>
    <x v="2"/>
    <n v="31.052970000000002"/>
    <n v="82.649269474500997"/>
  </r>
  <r>
    <s v="12"/>
    <s v="12"/>
    <s v="Urologická klinika"/>
    <x v="11"/>
    <s v="1262"/>
    <s v="operační sál - lokální"/>
    <s v="1262 - operační sál - lokální"/>
    <s v="50115060     ostatní ZPr - mimo níže uvedené (sk.Z_503)"/>
    <x v="1"/>
    <x v="0"/>
    <n v="71.70702"/>
    <n v="105.149914285921"/>
  </r>
  <r>
    <s v="12"/>
    <s v="12"/>
    <s v="Urologická klinika"/>
    <x v="11"/>
    <s v="1262"/>
    <s v="operační sál - lokální"/>
    <s v="1262 - operační sál - lokální"/>
    <s v="50115060     ostatní ZPr - mimo níže uvedené (sk.Z_503)"/>
    <x v="1"/>
    <x v="1"/>
    <n v="80.192080000000004"/>
    <n v="71.706479806622994"/>
  </r>
  <r>
    <s v="12"/>
    <s v="12"/>
    <s v="Urologická klinika"/>
    <x v="11"/>
    <s v="1262"/>
    <s v="operační sál - lokální"/>
    <s v="1262 - operační sál - lokální"/>
    <s v="50115060     ostatní ZPr - mimo níže uvedené (sk.Z_503)"/>
    <x v="1"/>
    <x v="2"/>
    <n v="31.052970000000002"/>
    <n v="73.809057676153998"/>
  </r>
  <r>
    <s v="12"/>
    <s v="12"/>
    <s v="Urologická klinika"/>
    <x v="11"/>
    <s v="1262"/>
    <s v="operační sál - lokální"/>
    <s v="1262 - operační sál - lokální"/>
    <s v="50115063     ostatní ZPr - vaky, sety (sk.Z_528)"/>
    <x v="13"/>
    <x v="0"/>
    <n v="0"/>
    <n v="0.51819252460800003"/>
  </r>
  <r>
    <s v="12"/>
    <s v="12"/>
    <s v="Urologická klinika"/>
    <x v="11"/>
    <s v="1262"/>
    <s v="operační sál - lokální"/>
    <s v="1262 - operační sál - lokální"/>
    <s v="50115064     ostatní ZPr - šicí materiál (sk.Z_529)"/>
    <x v="21"/>
    <x v="0"/>
    <n v="0"/>
    <n v="0.94998453898500002"/>
  </r>
  <r>
    <s v="12"/>
    <s v="12"/>
    <s v="Urologická klinika"/>
    <x v="11"/>
    <s v="1262"/>
    <s v="operační sál - lokální"/>
    <s v="1262 - operační sál - lokální"/>
    <s v="50115065     ostatní ZPr - vpichovací materiál (sk.Z_530)"/>
    <x v="14"/>
    <x v="0"/>
    <n v="3.71"/>
    <n v="9.5805814888339995"/>
  </r>
  <r>
    <s v="12"/>
    <s v="12"/>
    <s v="Urologická klinika"/>
    <x v="11"/>
    <s v="1262"/>
    <s v="operační sál - lokální"/>
    <s v="1262 - operační sál - lokální"/>
    <s v="50115065     ostatní ZPr - vpichovací materiál (sk.Z_530)"/>
    <x v="14"/>
    <x v="1"/>
    <n v="0"/>
    <n v="3.8057764896130002"/>
  </r>
  <r>
    <s v="12"/>
    <s v="12"/>
    <s v="Urologická klinika"/>
    <x v="11"/>
    <s v="1262"/>
    <s v="operační sál - lokální"/>
    <s v="1262 - operační sál - lokální"/>
    <s v="50115067     ostatní ZPr - rukavice (sk.Z_532)"/>
    <x v="15"/>
    <x v="0"/>
    <n v="0"/>
    <n v="0.52256099710600001"/>
  </r>
  <r>
    <s v="12"/>
    <s v="12"/>
    <s v="Urologická klinika"/>
    <x v="11"/>
    <s v="1262"/>
    <s v="operační sál - lokální"/>
    <s v="1262 - operační sál - lokální"/>
    <s v="50115070     ostatní ZPr - katetry (sk.Z_513)"/>
    <x v="16"/>
    <x v="0"/>
    <n v="40.849449999999997"/>
    <n v="29.004376504002"/>
  </r>
  <r>
    <s v="12"/>
    <s v="12"/>
    <s v="Urologická klinika"/>
    <x v="11"/>
    <s v="1262"/>
    <s v="operační sál - lokální"/>
    <s v="1262 - operační sál - lokální"/>
    <s v="50115070     ostatní ZPr - katetry (sk.Z_513)"/>
    <x v="16"/>
    <x v="1"/>
    <n v="21.608989999999999"/>
    <n v="31.849260204842"/>
  </r>
  <r>
    <s v="12"/>
    <s v="12"/>
    <s v="Urologická klinika"/>
    <x v="11"/>
    <s v="1262"/>
    <s v="operační sál - lokální"/>
    <s v="1262 - operační sál - lokální"/>
    <s v="50115070     ostatní ZPr - katetry (sk.Z_513)"/>
    <x v="16"/>
    <x v="2"/>
    <n v="0"/>
    <n v="8.8402117983459991"/>
  </r>
  <r>
    <s v="12"/>
    <s v="12"/>
    <s v="Urologická klinika"/>
    <x v="11"/>
    <s v="1264"/>
    <s v="pracoviště COS"/>
    <s v="1264 - pracoviště COS"/>
    <s v="50113     Léky a léčiva"/>
    <x v="2"/>
    <x v="0"/>
    <n v="33.437829999999998"/>
    <n v="35.228498732359"/>
  </r>
  <r>
    <s v="12"/>
    <s v="12"/>
    <s v="Urologická klinika"/>
    <x v="11"/>
    <s v="1264"/>
    <s v="pracoviště COS"/>
    <s v="1264 - pracoviště COS"/>
    <s v="50113     Léky a léčiva"/>
    <x v="2"/>
    <x v="1"/>
    <n v="0"/>
    <n v="33.463158843841001"/>
  </r>
  <r>
    <s v="12"/>
    <s v="12"/>
    <s v="Urologická klinika"/>
    <x v="11"/>
    <s v="1264"/>
    <s v="pracoviště COS"/>
    <s v="1264 - pracoviště COS"/>
    <s v="50113001     léky - paušál+TISS (LEK)"/>
    <x v="3"/>
    <x v="0"/>
    <n v="33.437829999999998"/>
    <n v="35.228498732359"/>
  </r>
  <r>
    <s v="12"/>
    <s v="12"/>
    <s v="Urologická klinika"/>
    <x v="11"/>
    <s v="1264"/>
    <s v="pracoviště COS"/>
    <s v="1264 - pracoviště COS"/>
    <s v="50113001     léky - paušál+TISS (LEK)"/>
    <x v="3"/>
    <x v="1"/>
    <n v="0"/>
    <n v="33.463158843841001"/>
  </r>
  <r>
    <s v="12"/>
    <s v="12"/>
    <s v="Urologická klinika"/>
    <x v="11"/>
    <s v="1264"/>
    <s v="pracoviště COS"/>
    <s v="1264 - pracoviště COS"/>
    <s v="50115     Zdravotnické prostředky"/>
    <x v="0"/>
    <x v="0"/>
    <n v="9325.8429900000028"/>
    <n v="10151.396720639301"/>
  </r>
  <r>
    <s v="12"/>
    <s v="12"/>
    <s v="Urologická klinika"/>
    <x v="11"/>
    <s v="1264"/>
    <s v="pracoviště COS"/>
    <s v="1264 - pracoviště COS"/>
    <s v="50115     Zdravotnické prostředky"/>
    <x v="0"/>
    <x v="1"/>
    <n v="8938.1413500000017"/>
    <n v="11353.183458918"/>
  </r>
  <r>
    <s v="12"/>
    <s v="12"/>
    <s v="Urologická klinika"/>
    <x v="11"/>
    <s v="1264"/>
    <s v="pracoviště COS"/>
    <s v="1264 - pracoviště COS"/>
    <s v="50115     Zdravotnické prostředky"/>
    <x v="0"/>
    <x v="2"/>
    <n v="10347.134979999999"/>
    <n v="11132.742034394299"/>
  </r>
  <r>
    <s v="12"/>
    <s v="12"/>
    <s v="Urologická klinika"/>
    <x v="11"/>
    <s v="1264"/>
    <s v="pracoviště COS"/>
    <s v="1264 - pracoviště COS"/>
    <s v="50115004     implant.umělé těl.náhr.-kovové (s.Z_506)"/>
    <x v="25"/>
    <x v="0"/>
    <n v="157.896999999999"/>
    <n v="44.262919441161998"/>
  </r>
  <r>
    <s v="12"/>
    <s v="12"/>
    <s v="Urologická klinika"/>
    <x v="11"/>
    <s v="1264"/>
    <s v="pracoviště COS"/>
    <s v="1264 - pracoviště COS"/>
    <s v="50115011     implant.umělé těl.náhr.-ostat.nákl.PZT(s.Z_515)"/>
    <x v="26"/>
    <x v="1"/>
    <n v="796.18499999999983"/>
    <n v="624.49966374442795"/>
  </r>
  <r>
    <s v="12"/>
    <s v="12"/>
    <s v="Urologická klinika"/>
    <x v="11"/>
    <s v="1264"/>
    <s v="pracoviště COS"/>
    <s v="1264 - pracoviště COS"/>
    <s v="50115011     implant.umělé těl.náhr.-ostat.nákl.PZT(s.Z_515)"/>
    <x v="26"/>
    <x v="2"/>
    <n v="761.43315000000018"/>
    <n v="747.99997643981203"/>
  </r>
  <r>
    <s v="12"/>
    <s v="12"/>
    <s v="Urologická klinika"/>
    <x v="11"/>
    <s v="1264"/>
    <s v="pracoviště COS"/>
    <s v="1264 - pracoviště COS"/>
    <s v="50115050     obvazový materiál (sk.Z_502)"/>
    <x v="12"/>
    <x v="0"/>
    <n v="0"/>
    <n v="1.900076913922"/>
  </r>
  <r>
    <s v="12"/>
    <s v="12"/>
    <s v="Urologická klinika"/>
    <x v="11"/>
    <s v="1264"/>
    <s v="pracoviště COS"/>
    <s v="1264 - pracoviště COS"/>
    <s v="50115060     ostatní ZPr - mimo níže uvedené (sk.Z_503)"/>
    <x v="1"/>
    <x v="0"/>
    <n v="337.02035000000097"/>
    <n v="348.305784872385"/>
  </r>
  <r>
    <s v="12"/>
    <s v="12"/>
    <s v="Urologická klinika"/>
    <x v="11"/>
    <s v="1264"/>
    <s v="pracoviště COS"/>
    <s v="1264 - pracoviště COS"/>
    <s v="50115060     ostatní ZPr - mimo níže uvedené (sk.Z_503)"/>
    <x v="1"/>
    <x v="1"/>
    <n v="324.05206000000004"/>
    <n v="347.01820621506602"/>
  </r>
  <r>
    <s v="12"/>
    <s v="12"/>
    <s v="Urologická klinika"/>
    <x v="11"/>
    <s v="1264"/>
    <s v="pracoviště COS"/>
    <s v="1264 - pracoviště COS"/>
    <s v="50115060     ostatní ZPr - mimo níže uvedené (sk.Z_503)"/>
    <x v="1"/>
    <x v="2"/>
    <n v="123.43022000000002"/>
    <n v="357.77050856803203"/>
  </r>
  <r>
    <s v="12"/>
    <s v="12"/>
    <s v="Urologická klinika"/>
    <x v="11"/>
    <s v="1264"/>
    <s v="pracoviště COS"/>
    <s v="1264 - pracoviště COS"/>
    <s v="50115061     ostatní ZPr - robotické centrum (sk.Z_512)"/>
    <x v="43"/>
    <x v="0"/>
    <n v="7014.7442700000001"/>
    <n v="7812.0015939998102"/>
  </r>
  <r>
    <s v="12"/>
    <s v="12"/>
    <s v="Urologická klinika"/>
    <x v="11"/>
    <s v="1264"/>
    <s v="pracoviště COS"/>
    <s v="1264 - pracoviště COS"/>
    <s v="50115061     ostatní ZPr - robotické centrum (sk.Z_512)"/>
    <x v="43"/>
    <x v="1"/>
    <n v="5075.318940000001"/>
    <n v="8700.39574148053"/>
  </r>
  <r>
    <s v="12"/>
    <s v="12"/>
    <s v="Urologická klinika"/>
    <x v="11"/>
    <s v="1264"/>
    <s v="pracoviště COS"/>
    <s v="1264 - pracoviště COS"/>
    <s v="50115061     ostatní ZPr - robotické centrum (sk.Z_512)"/>
    <x v="43"/>
    <x v="2"/>
    <n v="8793.6010300000016"/>
    <n v="8629.9997488068202"/>
  </r>
  <r>
    <s v="12"/>
    <s v="12"/>
    <s v="Urologická klinika"/>
    <x v="11"/>
    <s v="1264"/>
    <s v="pracoviště COS"/>
    <s v="1264 - pracoviště COS"/>
    <s v="50115064     ostatní ZPr - šicí materiál (sk.Z_529)"/>
    <x v="21"/>
    <x v="1"/>
    <n v="1566.143"/>
    <n v="0"/>
  </r>
  <r>
    <s v="12"/>
    <s v="12"/>
    <s v="Urologická klinika"/>
    <x v="11"/>
    <s v="1264"/>
    <s v="pracoviště COS"/>
    <s v="1264 - pracoviště COS"/>
    <s v="50115066     ostatní ZPr - šicí materiál - robot (sk.Z_531)"/>
    <x v="44"/>
    <x v="0"/>
    <n v="45.4572"/>
    <n v="90.255915105373006"/>
  </r>
  <r>
    <s v="12"/>
    <s v="12"/>
    <s v="Urologická klinika"/>
    <x v="11"/>
    <s v="1264"/>
    <s v="pracoviště COS"/>
    <s v="1264 - pracoviště COS"/>
    <s v="50115066     ostatní ZPr - šicí materiál - robot (sk.Z_531)"/>
    <x v="44"/>
    <x v="1"/>
    <n v="75.762"/>
    <n v="51.635995551302997"/>
  </r>
  <r>
    <s v="12"/>
    <s v="12"/>
    <s v="Urologická klinika"/>
    <x v="11"/>
    <s v="1264"/>
    <s v="pracoviště COS"/>
    <s v="1264 - pracoviště COS"/>
    <s v="50115066     ostatní ZPr - šicí materiál - robot (sk.Z_531)"/>
    <x v="44"/>
    <x v="2"/>
    <n v="98.490600000000001"/>
    <n v="144.999997826667"/>
  </r>
  <r>
    <s v="12"/>
    <s v="12"/>
    <s v="Urologická klinika"/>
    <x v="11"/>
    <s v="1264"/>
    <s v="pracoviště COS"/>
    <s v="1264 - pracoviště COS"/>
    <s v="50115067     ostatní ZPr - rukavice (sk.Z_532)"/>
    <x v="15"/>
    <x v="0"/>
    <n v="0"/>
    <n v="0.23752254344000001"/>
  </r>
  <r>
    <s v="12"/>
    <s v="12"/>
    <s v="Urologická klinika"/>
    <x v="11"/>
    <s v="1264"/>
    <s v="pracoviště COS"/>
    <s v="1264 - pracoviště COS"/>
    <s v="50115070     ostatní ZPr - katetry (sk.Z_513)"/>
    <x v="16"/>
    <x v="0"/>
    <n v="97.637420000000006"/>
    <n v="88.590651029796007"/>
  </r>
  <r>
    <s v="12"/>
    <s v="12"/>
    <s v="Urologická klinika"/>
    <x v="11"/>
    <s v="1264"/>
    <s v="pracoviště COS"/>
    <s v="1264 - pracoviště COS"/>
    <s v="50115070     ostatní ZPr - katetry (sk.Z_513)"/>
    <x v="16"/>
    <x v="1"/>
    <n v="117.72695"/>
    <n v="99.636966054051001"/>
  </r>
  <r>
    <s v="12"/>
    <s v="12"/>
    <s v="Urologická klinika"/>
    <x v="11"/>
    <s v="1264"/>
    <s v="pracoviště COS"/>
    <s v="1264 - pracoviště COS"/>
    <s v="50115070     ostatní ZPr - katetry (sk.Z_513)"/>
    <x v="16"/>
    <x v="2"/>
    <n v="26.782070000000001"/>
    <n v="48.999998456618002"/>
  </r>
  <r>
    <s v="12"/>
    <s v="12"/>
    <s v="Urologická klinika"/>
    <x v="11"/>
    <s v="1264"/>
    <s v="pracoviště COS"/>
    <s v="1264 - pracoviště COS"/>
    <s v="50115075     ostatní ZPr - stenty (sk.Z_538)"/>
    <x v="35"/>
    <x v="2"/>
    <n v="48.848979999999997"/>
    <n v="69.999997795168994"/>
  </r>
  <r>
    <s v="12"/>
    <s v="12"/>
    <s v="Urologická klinika"/>
    <x v="11"/>
    <s v="1264"/>
    <s v="pracoviště COS"/>
    <s v="1264 - pracoviště COS"/>
    <s v="50115080     ostatní ZPr - staplery, extraktory (sk.Z_523)"/>
    <x v="30"/>
    <x v="0"/>
    <n v="1673.0867500000011"/>
    <n v="1765.8422567334201"/>
  </r>
  <r>
    <s v="12"/>
    <s v="12"/>
    <s v="Urologická klinika"/>
    <x v="11"/>
    <s v="1264"/>
    <s v="pracoviště COS"/>
    <s v="1264 - pracoviště COS"/>
    <s v="50115080     ostatní ZPr - staplery, extraktory (sk.Z_523)"/>
    <x v="30"/>
    <x v="1"/>
    <n v="982.9534000000001"/>
    <n v="1529.99688587265"/>
  </r>
  <r>
    <s v="12"/>
    <s v="12"/>
    <s v="Urologická klinika"/>
    <x v="11"/>
    <s v="1264"/>
    <s v="pracoviště COS"/>
    <s v="1264 - pracoviště COS"/>
    <s v="50115080     ostatní ZPr - staplery, extraktory (sk.Z_523)"/>
    <x v="30"/>
    <x v="2"/>
    <n v="494.54892999999998"/>
    <n v="1132.97180650115"/>
  </r>
  <r>
    <s v="12"/>
    <s v="12"/>
    <s v="Urologická klinika"/>
    <x v="11"/>
    <s v="1266"/>
    <s v="pracoviště DK COS"/>
    <s v="1266 - pracoviště DK COS"/>
    <s v="50115     Zdravotnické prostředky"/>
    <x v="0"/>
    <x v="0"/>
    <n v="0"/>
    <n v="0.52256099710600001"/>
  </r>
  <r>
    <s v="12"/>
    <s v="12"/>
    <s v="Urologická klinika"/>
    <x v="11"/>
    <s v="1266"/>
    <s v="pracoviště DK COS"/>
    <s v="1266 - pracoviště DK COS"/>
    <s v="50115067     ostatní ZPr - rukavice (sk.Z_532)"/>
    <x v="15"/>
    <x v="0"/>
    <n v="0"/>
    <n v="0.52256099710600001"/>
  </r>
  <r>
    <s v="13"/>
    <s v="13"/>
    <s v="Otolaryngologická klinika"/>
    <x v="12"/>
    <s v="1311"/>
    <s v="lůžkové oddělení 14"/>
    <s v="1311 - lůžkové oddělení 14"/>
    <s v="50113     Léky a léčiva"/>
    <x v="2"/>
    <x v="0"/>
    <n v="908.86389999999892"/>
    <n v="939.50560693612101"/>
  </r>
  <r>
    <s v="13"/>
    <s v="13"/>
    <s v="Otolaryngologická klinika"/>
    <x v="12"/>
    <s v="1311"/>
    <s v="lůžkové oddělení 14"/>
    <s v="1311 - lůžkové oddělení 14"/>
    <s v="50113     Léky a léčiva"/>
    <x v="2"/>
    <x v="1"/>
    <n v="972.67443999999989"/>
    <n v="1069.3006574972201"/>
  </r>
  <r>
    <s v="13"/>
    <s v="13"/>
    <s v="Otolaryngologická klinika"/>
    <x v="12"/>
    <s v="1311"/>
    <s v="lůžkové oddělení 14"/>
    <s v="1311 - lůžkové oddělení 14"/>
    <s v="50113     Léky a léčiva"/>
    <x v="2"/>
    <x v="2"/>
    <n v="656.84792000000004"/>
    <n v="1516.36503057148"/>
  </r>
  <r>
    <s v="13"/>
    <s v="13"/>
    <s v="Otolaryngologická klinika"/>
    <x v="12"/>
    <s v="1311"/>
    <s v="lůžkové oddělení 14"/>
    <s v="1311 - lůžkové oddělení 14"/>
    <s v="50113001     léky - paušál+TISS (LEK)"/>
    <x v="3"/>
    <x v="0"/>
    <n v="509.21299999999906"/>
    <n v="482.53822011592899"/>
  </r>
  <r>
    <s v="13"/>
    <s v="13"/>
    <s v="Otolaryngologická klinika"/>
    <x v="12"/>
    <s v="1311"/>
    <s v="lůžkové oddělení 14"/>
    <s v="1311 - lůžkové oddělení 14"/>
    <s v="50113001     léky - paušál+TISS (LEK)"/>
    <x v="3"/>
    <x v="1"/>
    <n v="495.20569"/>
    <n v="610.97077643046896"/>
  </r>
  <r>
    <s v="13"/>
    <s v="13"/>
    <s v="Otolaryngologická klinika"/>
    <x v="12"/>
    <s v="1311"/>
    <s v="lůžkové oddělení 14"/>
    <s v="1311 - lůžkové oddělení 14"/>
    <s v="50113001     léky - paušál+TISS (LEK)"/>
    <x v="3"/>
    <x v="2"/>
    <n v="360.47460999999998"/>
    <n v="486.85083581164298"/>
  </r>
  <r>
    <s v="13"/>
    <s v="13"/>
    <s v="Otolaryngologická klinika"/>
    <x v="12"/>
    <s v="1311"/>
    <s v="lůžkové oddělení 14"/>
    <s v="1311 - lůžkové oddělení 14"/>
    <s v="50113002     léky - parenterální výživa (LEK)"/>
    <x v="17"/>
    <x v="2"/>
    <n v="20.669219999999999"/>
    <n v="28"/>
  </r>
  <r>
    <s v="13"/>
    <s v="13"/>
    <s v="Otolaryngologická klinika"/>
    <x v="12"/>
    <s v="1311"/>
    <s v="lůžkové oddělení 14"/>
    <s v="1311 - lůžkové oddělení 14"/>
    <s v="50113006     léky - enterální výživa (LEK)"/>
    <x v="4"/>
    <x v="0"/>
    <n v="34.624960000000002"/>
    <n v="78.918250919326994"/>
  </r>
  <r>
    <s v="13"/>
    <s v="13"/>
    <s v="Otolaryngologická klinika"/>
    <x v="12"/>
    <s v="1311"/>
    <s v="lůžkové oddělení 14"/>
    <s v="1311 - lůžkové oddělení 14"/>
    <s v="50113006     léky - enterální výživa (LEK)"/>
    <x v="4"/>
    <x v="1"/>
    <n v="103.92053"/>
    <n v="144.99999999999901"/>
  </r>
  <r>
    <s v="13"/>
    <s v="13"/>
    <s v="Otolaryngologická klinika"/>
    <x v="12"/>
    <s v="1311"/>
    <s v="lůžkové oddělení 14"/>
    <s v="1311 - lůžkové oddělení 14"/>
    <s v="50113006     léky - enterální výživa (LEK)"/>
    <x v="4"/>
    <x v="2"/>
    <n v="96.464820000000003"/>
    <n v="603"/>
  </r>
  <r>
    <s v="13"/>
    <s v="13"/>
    <s v="Otolaryngologická klinika"/>
    <x v="12"/>
    <s v="1311"/>
    <s v="lůžkové oddělení 14"/>
    <s v="1311 - lůžkové oddělení 14"/>
    <s v="50113008     léky - krev.deriváty ZUL (TO)"/>
    <x v="5"/>
    <x v="0"/>
    <n v="0"/>
    <n v="3.0065358477520001"/>
  </r>
  <r>
    <s v="13"/>
    <s v="13"/>
    <s v="Otolaryngologická klinika"/>
    <x v="12"/>
    <s v="1311"/>
    <s v="lůžkové oddělení 14"/>
    <s v="1311 - lůžkové oddělení 14"/>
    <s v="50113008     léky - krev.deriváty ZUL (TO)"/>
    <x v="5"/>
    <x v="1"/>
    <n v="15.36816"/>
    <n v="0"/>
  </r>
  <r>
    <s v="13"/>
    <s v="13"/>
    <s v="Otolaryngologická klinika"/>
    <x v="12"/>
    <s v="1311"/>
    <s v="lůžkové oddělení 14"/>
    <s v="1311 - lůžkové oddělení 14"/>
    <s v="50113008     léky - krev.deriváty ZUL (TO)"/>
    <x v="5"/>
    <x v="2"/>
    <n v="14.80932"/>
    <n v="16.260793785175998"/>
  </r>
  <r>
    <s v="13"/>
    <s v="13"/>
    <s v="Otolaryngologická klinika"/>
    <x v="12"/>
    <s v="1311"/>
    <s v="lůžkové oddělení 14"/>
    <s v="1311 - lůžkové oddělení 14"/>
    <s v="50113011     léky - hemofilici ZUL (TO)"/>
    <x v="6"/>
    <x v="0"/>
    <n v="0"/>
    <n v="15.855169322175"/>
  </r>
  <r>
    <s v="13"/>
    <s v="13"/>
    <s v="Otolaryngologická klinika"/>
    <x v="12"/>
    <s v="1311"/>
    <s v="lůžkové oddělení 14"/>
    <s v="1311 - lůžkové oddělení 14"/>
    <s v="50113011     léky - hemofilici ZUL (TO)"/>
    <x v="6"/>
    <x v="1"/>
    <n v="48.79495"/>
    <n v="0"/>
  </r>
  <r>
    <s v="13"/>
    <s v="13"/>
    <s v="Otolaryngologická klinika"/>
    <x v="12"/>
    <s v="1311"/>
    <s v="lůžkové oddělení 14"/>
    <s v="1311 - lůžkové oddělení 14"/>
    <s v="50113011     léky - hemofilici ZUL (TO)"/>
    <x v="6"/>
    <x v="2"/>
    <n v="0"/>
    <n v="50.999998393623002"/>
  </r>
  <r>
    <s v="13"/>
    <s v="13"/>
    <s v="Otolaryngologická klinika"/>
    <x v="12"/>
    <s v="1311"/>
    <s v="lůžkové oddělení 14"/>
    <s v="1311 - lůžkové oddělení 14"/>
    <s v="50113013     léky (paušál) - antibiotika (LEK)"/>
    <x v="7"/>
    <x v="0"/>
    <n v="263.98847999999998"/>
    <n v="262.07099176085597"/>
  </r>
  <r>
    <s v="13"/>
    <s v="13"/>
    <s v="Otolaryngologická klinika"/>
    <x v="12"/>
    <s v="1311"/>
    <s v="lůžkové oddělení 14"/>
    <s v="1311 - lůžkové oddělení 14"/>
    <s v="50113013     léky (paušál) - antibiotika (LEK)"/>
    <x v="7"/>
    <x v="1"/>
    <n v="206.95445000000004"/>
    <n v="213.978563246714"/>
  </r>
  <r>
    <s v="13"/>
    <s v="13"/>
    <s v="Otolaryngologická klinika"/>
    <x v="12"/>
    <s v="1311"/>
    <s v="lůžkové oddělení 14"/>
    <s v="1311 - lůžkové oddělení 14"/>
    <s v="50113013     léky (paušál) - antibiotika (LEK)"/>
    <x v="7"/>
    <x v="2"/>
    <n v="95.298750000000013"/>
    <n v="221.46033633020801"/>
  </r>
  <r>
    <s v="13"/>
    <s v="13"/>
    <s v="Otolaryngologická klinika"/>
    <x v="12"/>
    <s v="1311"/>
    <s v="lůžkové oddělení 14"/>
    <s v="1311 - lůžkové oddělení 14"/>
    <s v="50113014     léky (paušál) - antimykotika (LEK)"/>
    <x v="8"/>
    <x v="0"/>
    <n v="6.59931"/>
    <n v="1.682624426659"/>
  </r>
  <r>
    <s v="13"/>
    <s v="13"/>
    <s v="Otolaryngologická klinika"/>
    <x v="12"/>
    <s v="1311"/>
    <s v="lůžkové oddělení 14"/>
    <s v="1311 - lůžkové oddělení 14"/>
    <s v="50113014     léky (paušál) - antimykotika (LEK)"/>
    <x v="8"/>
    <x v="1"/>
    <n v="7.8511600000000001"/>
    <n v="9.0003390153969995"/>
  </r>
  <r>
    <s v="13"/>
    <s v="13"/>
    <s v="Otolaryngologická klinika"/>
    <x v="12"/>
    <s v="1311"/>
    <s v="lůžkové oddělení 14"/>
    <s v="1311 - lůžkové oddělení 14"/>
    <s v="50113014     léky (paušál) - antimykotika (LEK)"/>
    <x v="8"/>
    <x v="2"/>
    <n v="0.9789000000000001"/>
    <n v="6.6956635651919996"/>
  </r>
  <r>
    <s v="13"/>
    <s v="13"/>
    <s v="Otolaryngologická klinika"/>
    <x v="12"/>
    <s v="1311"/>
    <s v="lůžkové oddělení 14"/>
    <s v="1311 - lůžkové oddělení 14"/>
    <s v="50113190     medicinální plyny"/>
    <x v="9"/>
    <x v="0"/>
    <n v="94.438149999999013"/>
    <n v="95.433814543420993"/>
  </r>
  <r>
    <s v="13"/>
    <s v="13"/>
    <s v="Otolaryngologická klinika"/>
    <x v="12"/>
    <s v="1311"/>
    <s v="lůžkové oddělení 14"/>
    <s v="1311 - lůžkové oddělení 14"/>
    <s v="50113190     medicinální plyny"/>
    <x v="9"/>
    <x v="1"/>
    <n v="94.579499999999996"/>
    <n v="90.350978804643006"/>
  </r>
  <r>
    <s v="13"/>
    <s v="13"/>
    <s v="Otolaryngologická klinika"/>
    <x v="12"/>
    <s v="1311"/>
    <s v="lůžkové oddělení 14"/>
    <s v="1311 - lůžkové oddělení 14"/>
    <s v="50113190     medicinální plyny"/>
    <x v="9"/>
    <x v="2"/>
    <n v="68.152300000000011"/>
    <n v="103.09740268563699"/>
  </r>
  <r>
    <s v="13"/>
    <s v="13"/>
    <s v="Otolaryngologická klinika"/>
    <x v="12"/>
    <s v="1311"/>
    <s v="lůžkové oddělení 14"/>
    <s v="1311 - lůžkové oddělení 14"/>
    <s v="50115     Zdravotnické prostředky"/>
    <x v="0"/>
    <x v="0"/>
    <n v="183.00192000000001"/>
    <n v="179.58314616059999"/>
  </r>
  <r>
    <s v="13"/>
    <s v="13"/>
    <s v="Otolaryngologická klinika"/>
    <x v="12"/>
    <s v="1311"/>
    <s v="lůžkové oddělení 14"/>
    <s v="1311 - lůžkové oddělení 14"/>
    <s v="50115     Zdravotnické prostředky"/>
    <x v="0"/>
    <x v="1"/>
    <n v="202.47192999999999"/>
    <n v="184.91471694350199"/>
  </r>
  <r>
    <s v="13"/>
    <s v="13"/>
    <s v="Otolaryngologická klinika"/>
    <x v="12"/>
    <s v="1311"/>
    <s v="lůžkové oddělení 14"/>
    <s v="1311 - lůžkové oddělení 14"/>
    <s v="50115     Zdravotnické prostředky"/>
    <x v="0"/>
    <x v="2"/>
    <n v="155.90800999999999"/>
    <n v="212.323425509842"/>
  </r>
  <r>
    <s v="13"/>
    <s v="13"/>
    <s v="Otolaryngologická klinika"/>
    <x v="12"/>
    <s v="1311"/>
    <s v="lůžkové oddělení 14"/>
    <s v="1311 - lůžkové oddělení 14"/>
    <s v="50115020     diagnostika laboratorní-LEK (sk.Z_501)"/>
    <x v="10"/>
    <x v="0"/>
    <n v="1.2679599999989999"/>
    <n v="4.592603548594"/>
  </r>
  <r>
    <s v="13"/>
    <s v="13"/>
    <s v="Otolaryngologická klinika"/>
    <x v="12"/>
    <s v="1311"/>
    <s v="lůžkové oddělení 14"/>
    <s v="1311 - lůžkové oddělení 14"/>
    <s v="50115020     diagnostika laboratorní-LEK (sk.Z_501)"/>
    <x v="10"/>
    <x v="1"/>
    <n v="3.4910899999999998"/>
    <n v="1.2679586570370001"/>
  </r>
  <r>
    <s v="13"/>
    <s v="13"/>
    <s v="Otolaryngologická klinika"/>
    <x v="12"/>
    <s v="1311"/>
    <s v="lůžkové oddělení 14"/>
    <s v="1311 - lůžkové oddělení 14"/>
    <s v="50115020     diagnostika laboratorní-LEK (sk.Z_501)"/>
    <x v="10"/>
    <x v="2"/>
    <n v="1.2583"/>
    <n v="3.4910898900389999"/>
  </r>
  <r>
    <s v="13"/>
    <s v="13"/>
    <s v="Otolaryngologická klinika"/>
    <x v="12"/>
    <s v="1311"/>
    <s v="lůžkové oddělení 14"/>
    <s v="1311 - lůžkové oddělení 14"/>
    <s v="50115040     laboratorní materiál (sk.Z_505)"/>
    <x v="11"/>
    <x v="1"/>
    <n v="0.27588000000000001"/>
    <n v="0"/>
  </r>
  <r>
    <s v="13"/>
    <s v="13"/>
    <s v="Otolaryngologická klinika"/>
    <x v="12"/>
    <s v="1311"/>
    <s v="lůžkové oddělení 14"/>
    <s v="1311 - lůžkové oddělení 14"/>
    <s v="50115040     laboratorní materiál (sk.Z_505)"/>
    <x v="11"/>
    <x v="2"/>
    <n v="0.18876000000000001"/>
    <n v="0"/>
  </r>
  <r>
    <s v="13"/>
    <s v="13"/>
    <s v="Otolaryngologická klinika"/>
    <x v="12"/>
    <s v="1311"/>
    <s v="lůžkové oddělení 14"/>
    <s v="1311 - lůžkové oddělení 14"/>
    <s v="50115050     obvazový materiál (sk.Z_502)"/>
    <x v="12"/>
    <x v="0"/>
    <n v="43.521590000000003"/>
    <n v="40.993454970464001"/>
  </r>
  <r>
    <s v="13"/>
    <s v="13"/>
    <s v="Otolaryngologická klinika"/>
    <x v="12"/>
    <s v="1311"/>
    <s v="lůžkové oddělení 14"/>
    <s v="1311 - lůžkové oddělení 14"/>
    <s v="50115050     obvazový materiál (sk.Z_502)"/>
    <x v="12"/>
    <x v="1"/>
    <n v="49.153469999999992"/>
    <n v="43.620560335427001"/>
  </r>
  <r>
    <s v="13"/>
    <s v="13"/>
    <s v="Otolaryngologická klinika"/>
    <x v="12"/>
    <s v="1311"/>
    <s v="lůžkové oddělení 14"/>
    <s v="1311 - lůžkové oddělení 14"/>
    <s v="50115050     obvazový materiál (sk.Z_502)"/>
    <x v="12"/>
    <x v="2"/>
    <n v="33.520319999999998"/>
    <n v="52.292991709204998"/>
  </r>
  <r>
    <s v="13"/>
    <s v="13"/>
    <s v="Otolaryngologická klinika"/>
    <x v="12"/>
    <s v="1311"/>
    <s v="lůžkové oddělení 14"/>
    <s v="1311 - lůžkové oddělení 14"/>
    <s v="50115060     ostatní ZPr - mimo níže uvedené (sk.Z_503)"/>
    <x v="1"/>
    <x v="0"/>
    <n v="91.185689999999013"/>
    <n v="83.159655356927999"/>
  </r>
  <r>
    <s v="13"/>
    <s v="13"/>
    <s v="Otolaryngologická klinika"/>
    <x v="12"/>
    <s v="1311"/>
    <s v="lůžkové oddělení 14"/>
    <s v="1311 - lůžkové oddělení 14"/>
    <s v="50115060     ostatní ZPr - mimo níže uvedené (sk.Z_503)"/>
    <x v="1"/>
    <x v="1"/>
    <n v="100.241"/>
    <n v="93.185054048338998"/>
  </r>
  <r>
    <s v="13"/>
    <s v="13"/>
    <s v="Otolaryngologická klinika"/>
    <x v="12"/>
    <s v="1311"/>
    <s v="lůžkové oddělení 14"/>
    <s v="1311 - lůžkové oddělení 14"/>
    <s v="50115060     ostatní ZPr - mimo níže uvedené (sk.Z_503)"/>
    <x v="1"/>
    <x v="2"/>
    <n v="86.120589999999993"/>
    <n v="100.562205502013"/>
  </r>
  <r>
    <s v="13"/>
    <s v="13"/>
    <s v="Otolaryngologická klinika"/>
    <x v="12"/>
    <s v="1311"/>
    <s v="lůžkové oddělení 14"/>
    <s v="1311 - lůžkové oddělení 14"/>
    <s v="50115063     ostatní ZPr - vaky, sety (sk.Z_528)"/>
    <x v="13"/>
    <x v="0"/>
    <n v="23.118499999999997"/>
    <n v="23.900222823639002"/>
  </r>
  <r>
    <s v="13"/>
    <s v="13"/>
    <s v="Otolaryngologická klinika"/>
    <x v="12"/>
    <s v="1311"/>
    <s v="lůžkové oddělení 14"/>
    <s v="1311 - lůžkové oddělení 14"/>
    <s v="50115063     ostatní ZPr - vaky, sety (sk.Z_528)"/>
    <x v="13"/>
    <x v="1"/>
    <n v="24.428550000000005"/>
    <n v="22.647446085576"/>
  </r>
  <r>
    <s v="13"/>
    <s v="13"/>
    <s v="Otolaryngologická klinika"/>
    <x v="12"/>
    <s v="1311"/>
    <s v="lůžkové oddělení 14"/>
    <s v="1311 - lůžkové oddělení 14"/>
    <s v="50115063     ostatní ZPr - vaky, sety (sk.Z_528)"/>
    <x v="13"/>
    <x v="2"/>
    <n v="19.941200000000002"/>
    <n v="26.408183321239001"/>
  </r>
  <r>
    <s v="13"/>
    <s v="13"/>
    <s v="Otolaryngologická klinika"/>
    <x v="12"/>
    <s v="1311"/>
    <s v="lůžkové oddělení 14"/>
    <s v="1311 - lůžkové oddělení 14"/>
    <s v="50115065     ostatní ZPr - vpichovací materiál (sk.Z_530)"/>
    <x v="14"/>
    <x v="0"/>
    <n v="2.8169999999999997"/>
    <n v="2.8504105736969998"/>
  </r>
  <r>
    <s v="13"/>
    <s v="13"/>
    <s v="Otolaryngologická klinika"/>
    <x v="12"/>
    <s v="1311"/>
    <s v="lůžkové oddělení 14"/>
    <s v="1311 - lůžkové oddělení 14"/>
    <s v="50115065     ostatní ZPr - vpichovací materiál (sk.Z_530)"/>
    <x v="14"/>
    <x v="1"/>
    <n v="4.3468"/>
    <n v="2.8897230111160002"/>
  </r>
  <r>
    <s v="13"/>
    <s v="13"/>
    <s v="Otolaryngologická klinika"/>
    <x v="12"/>
    <s v="1311"/>
    <s v="lůžkové oddělení 14"/>
    <s v="1311 - lůžkové oddělení 14"/>
    <s v="50115065     ostatní ZPr - vpichovací materiál (sk.Z_530)"/>
    <x v="14"/>
    <x v="2"/>
    <n v="4.6665000000000001"/>
    <n v="7.2237505631080001"/>
  </r>
  <r>
    <s v="13"/>
    <s v="13"/>
    <s v="Otolaryngologická klinika"/>
    <x v="12"/>
    <s v="1311"/>
    <s v="lůžkové oddělení 14"/>
    <s v="1311 - lůžkové oddělení 14"/>
    <s v="50115067     ostatní ZPr - rukavice (sk.Z_532)"/>
    <x v="15"/>
    <x v="0"/>
    <n v="15.04"/>
    <n v="18.568986878048001"/>
  </r>
  <r>
    <s v="13"/>
    <s v="13"/>
    <s v="Otolaryngologická klinika"/>
    <x v="12"/>
    <s v="1311"/>
    <s v="lůžkové oddělení 14"/>
    <s v="1311 - lůžkové oddělení 14"/>
    <s v="50115067     ostatní ZPr - rukavice (sk.Z_532)"/>
    <x v="15"/>
    <x v="1"/>
    <n v="16.111280000000001"/>
    <n v="15.252823240107"/>
  </r>
  <r>
    <s v="13"/>
    <s v="13"/>
    <s v="Otolaryngologická klinika"/>
    <x v="12"/>
    <s v="1311"/>
    <s v="lůžkové oddělení 14"/>
    <s v="1311 - lůžkové oddělení 14"/>
    <s v="50115067     ostatní ZPr - rukavice (sk.Z_532)"/>
    <x v="15"/>
    <x v="2"/>
    <n v="6.2624000000000013"/>
    <n v="15.467881426731999"/>
  </r>
  <r>
    <s v="13"/>
    <s v="13"/>
    <s v="Otolaryngologická klinika"/>
    <x v="12"/>
    <s v="1311"/>
    <s v="lůžkové oddělení 14"/>
    <s v="1311 - lůžkové oddělení 14"/>
    <s v="50115070     ostatní ZPr - katetry (sk.Z_513)"/>
    <x v="16"/>
    <x v="0"/>
    <n v="6.0511799999999996"/>
    <n v="5.5178120092269998"/>
  </r>
  <r>
    <s v="13"/>
    <s v="13"/>
    <s v="Otolaryngologická klinika"/>
    <x v="12"/>
    <s v="1311"/>
    <s v="lůžkové oddělení 14"/>
    <s v="1311 - lůžkové oddělení 14"/>
    <s v="50115070     ostatní ZPr - katetry (sk.Z_513)"/>
    <x v="16"/>
    <x v="1"/>
    <n v="4.4238600000000003"/>
    <n v="6.0511515658970003"/>
  </r>
  <r>
    <s v="13"/>
    <s v="13"/>
    <s v="Otolaryngologická klinika"/>
    <x v="12"/>
    <s v="1311"/>
    <s v="lůžkové oddělení 14"/>
    <s v="1311 - lůžkové oddělení 14"/>
    <s v="50115070     ostatní ZPr - katetry (sk.Z_513)"/>
    <x v="16"/>
    <x v="2"/>
    <n v="3.2544400000000002"/>
    <n v="6.877323097503"/>
  </r>
  <r>
    <s v="13"/>
    <s v="13"/>
    <s v="Otolaryngologická klinika"/>
    <x v="12"/>
    <s v="1311"/>
    <s v="lůžkové oddělení 14"/>
    <s v="1311 - lůžkové oddělení 14"/>
    <s v="50115079     ostatní ZPr - intenzivní péče (sk.Z_542)"/>
    <x v="18"/>
    <x v="2"/>
    <n v="0.69550000000000001"/>
    <n v="0"/>
  </r>
  <r>
    <s v="13"/>
    <s v="13"/>
    <s v="Otolaryngologická klinika"/>
    <x v="12"/>
    <s v="1321"/>
    <s v="ambulance"/>
    <s v="1321 - ambulance"/>
    <s v="50113     Léky a léčiva"/>
    <x v="2"/>
    <x v="0"/>
    <n v="160.42124999999902"/>
    <n v="161.610452755898"/>
  </r>
  <r>
    <s v="13"/>
    <s v="13"/>
    <s v="Otolaryngologická klinika"/>
    <x v="12"/>
    <s v="1321"/>
    <s v="ambulance"/>
    <s v="1321 - ambulance"/>
    <s v="50113     Léky a léčiva"/>
    <x v="2"/>
    <x v="1"/>
    <n v="160.56375000000003"/>
    <n v="160.505508378222"/>
  </r>
  <r>
    <s v="13"/>
    <s v="13"/>
    <s v="Otolaryngologická klinika"/>
    <x v="12"/>
    <s v="1321"/>
    <s v="ambulance"/>
    <s v="1321 - ambulance"/>
    <s v="50113     Léky a léčiva"/>
    <x v="2"/>
    <x v="2"/>
    <n v="122.66749999999999"/>
    <n v="138.991216581603"/>
  </r>
  <r>
    <s v="13"/>
    <s v="13"/>
    <s v="Otolaryngologická klinika"/>
    <x v="12"/>
    <s v="1321"/>
    <s v="ambulance"/>
    <s v="1321 - ambulance"/>
    <s v="50113001     léky - paušál+TISS (LEK)"/>
    <x v="3"/>
    <x v="0"/>
    <n v="153.63511999999901"/>
    <n v="153.55116627433"/>
  </r>
  <r>
    <s v="13"/>
    <s v="13"/>
    <s v="Otolaryngologická klinika"/>
    <x v="12"/>
    <s v="1321"/>
    <s v="ambulance"/>
    <s v="1321 - ambulance"/>
    <s v="50113001     léky - paušál+TISS (LEK)"/>
    <x v="3"/>
    <x v="1"/>
    <n v="155.34776000000002"/>
    <n v="153.751497168106"/>
  </r>
  <r>
    <s v="13"/>
    <s v="13"/>
    <s v="Otolaryngologická klinika"/>
    <x v="12"/>
    <s v="1321"/>
    <s v="ambulance"/>
    <s v="1321 - ambulance"/>
    <s v="50113001     léky - paušál+TISS (LEK)"/>
    <x v="3"/>
    <x v="2"/>
    <n v="117.10430999999998"/>
    <n v="135.53063044033601"/>
  </r>
  <r>
    <s v="13"/>
    <s v="13"/>
    <s v="Otolaryngologická klinika"/>
    <x v="12"/>
    <s v="1321"/>
    <s v="ambulance"/>
    <s v="1321 - ambulance"/>
    <s v="50113013     léky (paušál) - antibiotika (LEK)"/>
    <x v="7"/>
    <x v="0"/>
    <n v="4.7184299999999988"/>
    <n v="3.7901007181209998"/>
  </r>
  <r>
    <s v="13"/>
    <s v="13"/>
    <s v="Otolaryngologická klinika"/>
    <x v="12"/>
    <s v="1321"/>
    <s v="ambulance"/>
    <s v="1321 - ambulance"/>
    <s v="50113013     léky (paušál) - antibiotika (LEK)"/>
    <x v="7"/>
    <x v="1"/>
    <n v="4.47539"/>
    <n v="4.775798815291"/>
  </r>
  <r>
    <s v="13"/>
    <s v="13"/>
    <s v="Otolaryngologická klinika"/>
    <x v="12"/>
    <s v="1321"/>
    <s v="ambulance"/>
    <s v="1321 - ambulance"/>
    <s v="50113013     léky (paušál) - antibiotika (LEK)"/>
    <x v="7"/>
    <x v="2"/>
    <n v="4.1199399999999997"/>
    <n v="2.7395309180930001"/>
  </r>
  <r>
    <s v="13"/>
    <s v="13"/>
    <s v="Otolaryngologická klinika"/>
    <x v="12"/>
    <s v="1321"/>
    <s v="ambulance"/>
    <s v="1321 - ambulance"/>
    <s v="50113190     medicinální plyny"/>
    <x v="9"/>
    <x v="0"/>
    <n v="2.0676999999999999"/>
    <n v="4.269185763446"/>
  </r>
  <r>
    <s v="13"/>
    <s v="13"/>
    <s v="Otolaryngologická klinika"/>
    <x v="12"/>
    <s v="1321"/>
    <s v="ambulance"/>
    <s v="1321 - ambulance"/>
    <s v="50113190     medicinální plyny"/>
    <x v="9"/>
    <x v="1"/>
    <n v="0.74060000000000004"/>
    <n v="1.9782123948250001"/>
  </r>
  <r>
    <s v="13"/>
    <s v="13"/>
    <s v="Otolaryngologická klinika"/>
    <x v="12"/>
    <s v="1321"/>
    <s v="ambulance"/>
    <s v="1321 - ambulance"/>
    <s v="50113190     medicinální plyny"/>
    <x v="9"/>
    <x v="2"/>
    <n v="1.4432499999999999"/>
    <n v="0.72105522317299997"/>
  </r>
  <r>
    <s v="13"/>
    <s v="13"/>
    <s v="Otolaryngologická klinika"/>
    <x v="12"/>
    <s v="1321"/>
    <s v="ambulance"/>
    <s v="1321 - ambulance"/>
    <s v="50115     Zdravotnické prostředky"/>
    <x v="0"/>
    <x v="0"/>
    <n v="326.59174999999999"/>
    <n v="335.40577523137102"/>
  </r>
  <r>
    <s v="13"/>
    <s v="13"/>
    <s v="Otolaryngologická klinika"/>
    <x v="12"/>
    <s v="1321"/>
    <s v="ambulance"/>
    <s v="1321 - ambulance"/>
    <s v="50115     Zdravotnické prostředky"/>
    <x v="0"/>
    <x v="1"/>
    <n v="420.28046999999998"/>
    <n v="322.87808984358497"/>
  </r>
  <r>
    <s v="13"/>
    <s v="13"/>
    <s v="Otolaryngologická klinika"/>
    <x v="12"/>
    <s v="1321"/>
    <s v="ambulance"/>
    <s v="1321 - ambulance"/>
    <s v="50115     Zdravotnické prostředky"/>
    <x v="0"/>
    <x v="2"/>
    <n v="440.63066999999995"/>
    <n v="451.26289293155401"/>
  </r>
  <r>
    <s v="13"/>
    <s v="13"/>
    <s v="Otolaryngologická klinika"/>
    <x v="12"/>
    <s v="1321"/>
    <s v="ambulance"/>
    <s v="1321 - ambulance"/>
    <s v="50115020     diagnostika laboratorní-LEK (sk.Z_501)"/>
    <x v="10"/>
    <x v="1"/>
    <n v="2.3700000000000001E-3"/>
    <n v="0"/>
  </r>
  <r>
    <s v="13"/>
    <s v="13"/>
    <s v="Otolaryngologická klinika"/>
    <x v="12"/>
    <s v="1321"/>
    <s v="ambulance"/>
    <s v="1321 - ambulance"/>
    <s v="50115020     diagnostika laboratorní-LEK (sk.Z_501)"/>
    <x v="10"/>
    <x v="2"/>
    <n v="0"/>
    <n v="2.369999925E-3"/>
  </r>
  <r>
    <s v="13"/>
    <s v="13"/>
    <s v="Otolaryngologická klinika"/>
    <x v="12"/>
    <s v="1321"/>
    <s v="ambulance"/>
    <s v="1321 - ambulance"/>
    <s v="50115040     laboratorní materiál (sk.Z_505)"/>
    <x v="11"/>
    <x v="0"/>
    <n v="0.65339999999999998"/>
    <n v="0"/>
  </r>
  <r>
    <s v="13"/>
    <s v="13"/>
    <s v="Otolaryngologická klinika"/>
    <x v="12"/>
    <s v="1321"/>
    <s v="ambulance"/>
    <s v="1321 - ambulance"/>
    <s v="50115040     laboratorní materiál (sk.Z_505)"/>
    <x v="11"/>
    <x v="1"/>
    <n v="1.2645399999999998"/>
    <n v="-0.34655869321299998"/>
  </r>
  <r>
    <s v="13"/>
    <s v="13"/>
    <s v="Otolaryngologická klinika"/>
    <x v="12"/>
    <s v="1321"/>
    <s v="ambulance"/>
    <s v="1321 - ambulance"/>
    <s v="50115040     laboratorní materiál (sk.Z_505)"/>
    <x v="11"/>
    <x v="2"/>
    <n v="0.1694"/>
    <n v="1.60035061745"/>
  </r>
  <r>
    <s v="13"/>
    <s v="13"/>
    <s v="Otolaryngologická klinika"/>
    <x v="12"/>
    <s v="1321"/>
    <s v="ambulance"/>
    <s v="1321 - ambulance"/>
    <s v="50115050     obvazový materiál (sk.Z_502)"/>
    <x v="12"/>
    <x v="0"/>
    <n v="60.212129999999"/>
    <n v="69.891382927920006"/>
  </r>
  <r>
    <s v="13"/>
    <s v="13"/>
    <s v="Otolaryngologická klinika"/>
    <x v="12"/>
    <s v="1321"/>
    <s v="ambulance"/>
    <s v="1321 - ambulance"/>
    <s v="50115050     obvazový materiál (sk.Z_502)"/>
    <x v="12"/>
    <x v="1"/>
    <n v="94.398740000000004"/>
    <n v="61.349058174536999"/>
  </r>
  <r>
    <s v="13"/>
    <s v="13"/>
    <s v="Otolaryngologická klinika"/>
    <x v="12"/>
    <s v="1321"/>
    <s v="ambulance"/>
    <s v="1321 - ambulance"/>
    <s v="50115050     obvazový materiál (sk.Z_502)"/>
    <x v="12"/>
    <x v="2"/>
    <n v="111.33755000000001"/>
    <n v="89.472061594327997"/>
  </r>
  <r>
    <s v="13"/>
    <s v="13"/>
    <s v="Otolaryngologická klinika"/>
    <x v="12"/>
    <s v="1321"/>
    <s v="ambulance"/>
    <s v="1321 - ambulance"/>
    <s v="50115060     ostatní ZPr - mimo níže uvedené (sk.Z_503)"/>
    <x v="1"/>
    <x v="0"/>
    <n v="212.79386"/>
    <n v="207.84003049626801"/>
  </r>
  <r>
    <s v="13"/>
    <s v="13"/>
    <s v="Otolaryngologická klinika"/>
    <x v="12"/>
    <s v="1321"/>
    <s v="ambulance"/>
    <s v="1321 - ambulance"/>
    <s v="50115060     ostatní ZPr - mimo níže uvedené (sk.Z_503)"/>
    <x v="1"/>
    <x v="1"/>
    <n v="183.38337000000001"/>
    <n v="208.79249911198599"/>
  </r>
  <r>
    <s v="13"/>
    <s v="13"/>
    <s v="Otolaryngologická klinika"/>
    <x v="12"/>
    <s v="1321"/>
    <s v="ambulance"/>
    <s v="1321 - ambulance"/>
    <s v="50115060     ostatní ZPr - mimo níže uvedené (sk.Z_503)"/>
    <x v="1"/>
    <x v="2"/>
    <n v="280.93270999999999"/>
    <n v="177.377629763675"/>
  </r>
  <r>
    <s v="13"/>
    <s v="13"/>
    <s v="Otolaryngologická klinika"/>
    <x v="12"/>
    <s v="1321"/>
    <s v="ambulance"/>
    <s v="1321 - ambulance"/>
    <s v="50115063     ostatní ZPr - vaky, sety (sk.Z_528)"/>
    <x v="13"/>
    <x v="0"/>
    <n v="2.8829500000000001"/>
    <n v="2.2167251331809998"/>
  </r>
  <r>
    <s v="13"/>
    <s v="13"/>
    <s v="Otolaryngologická klinika"/>
    <x v="12"/>
    <s v="1321"/>
    <s v="ambulance"/>
    <s v="1321 - ambulance"/>
    <s v="50115063     ostatní ZPr - vaky, sety (sk.Z_528)"/>
    <x v="13"/>
    <x v="1"/>
    <n v="3.4305999999999996"/>
    <n v="2.8242080884309999"/>
  </r>
  <r>
    <s v="13"/>
    <s v="13"/>
    <s v="Otolaryngologická klinika"/>
    <x v="12"/>
    <s v="1321"/>
    <s v="ambulance"/>
    <s v="1321 - ambulance"/>
    <s v="50115063     ostatní ZPr - vaky, sety (sk.Z_528)"/>
    <x v="13"/>
    <x v="2"/>
    <n v="4.4924999999999997"/>
    <n v="4.5918157023350004"/>
  </r>
  <r>
    <s v="13"/>
    <s v="13"/>
    <s v="Otolaryngologická klinika"/>
    <x v="12"/>
    <s v="1321"/>
    <s v="ambulance"/>
    <s v="1321 - ambulance"/>
    <s v="50115064     ostatní ZPr - šicí materiál (sk.Z_529)"/>
    <x v="21"/>
    <x v="0"/>
    <n v="1.50535"/>
    <n v="0"/>
  </r>
  <r>
    <s v="13"/>
    <s v="13"/>
    <s v="Otolaryngologická klinika"/>
    <x v="12"/>
    <s v="1321"/>
    <s v="ambulance"/>
    <s v="1321 - ambulance"/>
    <s v="50115064     ostatní ZPr - šicí materiál (sk.Z_529)"/>
    <x v="21"/>
    <x v="1"/>
    <n v="0"/>
    <n v="1.4758749084809999"/>
  </r>
  <r>
    <s v="13"/>
    <s v="13"/>
    <s v="Otolaryngologická klinika"/>
    <x v="12"/>
    <s v="1321"/>
    <s v="ambulance"/>
    <s v="1321 - ambulance"/>
    <s v="50115065     ostatní ZPr - vpichovací materiál (sk.Z_530)"/>
    <x v="14"/>
    <x v="0"/>
    <n v="1.0874999999999999"/>
    <n v="0.95009885242400005"/>
  </r>
  <r>
    <s v="13"/>
    <s v="13"/>
    <s v="Otolaryngologická klinika"/>
    <x v="12"/>
    <s v="1321"/>
    <s v="ambulance"/>
    <s v="1321 - ambulance"/>
    <s v="50115065     ostatní ZPr - vpichovací materiál (sk.Z_530)"/>
    <x v="14"/>
    <x v="1"/>
    <n v="1.3420000000000001"/>
    <n v="1.115574644866"/>
  </r>
  <r>
    <s v="13"/>
    <s v="13"/>
    <s v="Otolaryngologická klinika"/>
    <x v="12"/>
    <s v="1321"/>
    <s v="ambulance"/>
    <s v="1321 - ambulance"/>
    <s v="50115065     ostatní ZPr - vpichovací materiál (sk.Z_530)"/>
    <x v="14"/>
    <x v="2"/>
    <n v="1.2769999999999999"/>
    <n v="3.2474698534359998"/>
  </r>
  <r>
    <s v="13"/>
    <s v="13"/>
    <s v="Otolaryngologická klinika"/>
    <x v="12"/>
    <s v="1321"/>
    <s v="ambulance"/>
    <s v="1321 - ambulance"/>
    <s v="50115067     ostatní ZPr - rukavice (sk.Z_532)"/>
    <x v="15"/>
    <x v="0"/>
    <n v="14.912799999999999"/>
    <n v="29.253711536061999"/>
  </r>
  <r>
    <s v="13"/>
    <s v="13"/>
    <s v="Otolaryngologická klinika"/>
    <x v="12"/>
    <s v="1321"/>
    <s v="ambulance"/>
    <s v="1321 - ambulance"/>
    <s v="50115067     ostatní ZPr - rukavice (sk.Z_532)"/>
    <x v="15"/>
    <x v="1"/>
    <n v="11.825999999999999"/>
    <n v="15.123823298873999"/>
  </r>
  <r>
    <s v="13"/>
    <s v="13"/>
    <s v="Otolaryngologická klinika"/>
    <x v="12"/>
    <s v="1321"/>
    <s v="ambulance"/>
    <s v="1321 - ambulance"/>
    <s v="50115067     ostatní ZPr - rukavice (sk.Z_532)"/>
    <x v="15"/>
    <x v="2"/>
    <n v="13.9312"/>
    <n v="13.046611573986"/>
  </r>
  <r>
    <s v="13"/>
    <s v="13"/>
    <s v="Otolaryngologická klinika"/>
    <x v="12"/>
    <s v="1321"/>
    <s v="ambulance"/>
    <s v="1321 - ambulance"/>
    <s v="50115070     ostatní ZPr - katetry (sk.Z_513)"/>
    <x v="16"/>
    <x v="0"/>
    <n v="32.543759999999999"/>
    <n v="25.253826285513"/>
  </r>
  <r>
    <s v="13"/>
    <s v="13"/>
    <s v="Otolaryngologická klinika"/>
    <x v="12"/>
    <s v="1321"/>
    <s v="ambulance"/>
    <s v="1321 - ambulance"/>
    <s v="50115070     ostatní ZPr - katetry (sk.Z_513)"/>
    <x v="16"/>
    <x v="1"/>
    <n v="21.153649999999999"/>
    <n v="32.54361030962"/>
  </r>
  <r>
    <s v="13"/>
    <s v="13"/>
    <s v="Otolaryngologická klinika"/>
    <x v="12"/>
    <s v="1321"/>
    <s v="ambulance"/>
    <s v="1321 - ambulance"/>
    <s v="50115070     ostatní ZPr - katetry (sk.Z_513)"/>
    <x v="16"/>
    <x v="2"/>
    <n v="27.662569999999999"/>
    <n v="43.004046559218999"/>
  </r>
  <r>
    <s v="13"/>
    <s v="13"/>
    <s v="Otolaryngologická klinika"/>
    <x v="12"/>
    <s v="1321"/>
    <s v="ambulance"/>
    <s v="1321 - ambulance"/>
    <s v="50115079     ostatní ZPr - intenzivní péče (sk.Z_542)"/>
    <x v="18"/>
    <x v="2"/>
    <n v="0.82773999999999992"/>
    <n v="0"/>
  </r>
  <r>
    <s v="13"/>
    <s v="13"/>
    <s v="Otolaryngologická klinika"/>
    <x v="12"/>
    <s v="1321"/>
    <s v="ambulance"/>
    <s v="1321 - ambulance"/>
    <s v="50115080     ostatní ZPr - staplery, extraktory (sk.Z_523)"/>
    <x v="30"/>
    <x v="1"/>
    <n v="103.47919999999999"/>
    <n v="0"/>
  </r>
  <r>
    <s v="13"/>
    <s v="13"/>
    <s v="Otolaryngologická klinika"/>
    <x v="12"/>
    <s v="1321"/>
    <s v="ambulance"/>
    <s v="1321 - ambulance"/>
    <s v="50115080     ostatní ZPr - staplery, extraktory (sk.Z_523)"/>
    <x v="30"/>
    <x v="2"/>
    <n v="0"/>
    <n v="118.920537267196"/>
  </r>
  <r>
    <s v="13"/>
    <s v="13"/>
    <s v="Otolaryngologická klinika"/>
    <x v="12"/>
    <s v="1362"/>
    <s v="operační sál - lokální"/>
    <s v="1362 - operační sál - lokální"/>
    <s v="50113     Léky a léčiva"/>
    <x v="2"/>
    <x v="0"/>
    <n v="169.50067999999999"/>
    <n v="175.646623737776"/>
  </r>
  <r>
    <s v="13"/>
    <s v="13"/>
    <s v="Otolaryngologická klinika"/>
    <x v="12"/>
    <s v="1362"/>
    <s v="operační sál - lokální"/>
    <s v="1362 - operační sál - lokální"/>
    <s v="50113     Léky a léčiva"/>
    <x v="2"/>
    <x v="1"/>
    <n v="172.98275000000001"/>
    <n v="167.71617846623201"/>
  </r>
  <r>
    <s v="13"/>
    <s v="13"/>
    <s v="Otolaryngologická klinika"/>
    <x v="12"/>
    <s v="1362"/>
    <s v="operační sál - lokální"/>
    <s v="1362 - operační sál - lokální"/>
    <s v="50113     Léky a léčiva"/>
    <x v="2"/>
    <x v="2"/>
    <n v="109.96951000000001"/>
    <n v="180.491181315566"/>
  </r>
  <r>
    <s v="13"/>
    <s v="13"/>
    <s v="Otolaryngologická klinika"/>
    <x v="12"/>
    <s v="1362"/>
    <s v="operační sál - lokální"/>
    <s v="1362 - operační sál - lokální"/>
    <s v="50113001     léky - paušál+TISS (LEK)"/>
    <x v="3"/>
    <x v="0"/>
    <n v="122.84690999999901"/>
    <n v="124.26287211932301"/>
  </r>
  <r>
    <s v="13"/>
    <s v="13"/>
    <s v="Otolaryngologická klinika"/>
    <x v="12"/>
    <s v="1362"/>
    <s v="operační sál - lokální"/>
    <s v="1362 - operační sál - lokální"/>
    <s v="50113001     léky - paušál+TISS (LEK)"/>
    <x v="3"/>
    <x v="1"/>
    <n v="122.98834000000002"/>
    <n v="122.939965386661"/>
  </r>
  <r>
    <s v="13"/>
    <s v="13"/>
    <s v="Otolaryngologická klinika"/>
    <x v="12"/>
    <s v="1362"/>
    <s v="operační sál - lokální"/>
    <s v="1362 - operační sál - lokální"/>
    <s v="50113001     léky - paušál+TISS (LEK)"/>
    <x v="3"/>
    <x v="2"/>
    <n v="78.870750000000015"/>
    <n v="129.44630366028599"/>
  </r>
  <r>
    <s v="13"/>
    <s v="13"/>
    <s v="Otolaryngologická klinika"/>
    <x v="12"/>
    <s v="1362"/>
    <s v="operační sál - lokální"/>
    <s v="1362 - operační sál - lokální"/>
    <s v="50113013     léky (paušál) - antibiotika (LEK)"/>
    <x v="7"/>
    <x v="0"/>
    <n v="2.5535700000000001"/>
    <n v="1.5710442353530001"/>
  </r>
  <r>
    <s v="13"/>
    <s v="13"/>
    <s v="Otolaryngologická klinika"/>
    <x v="12"/>
    <s v="1362"/>
    <s v="operační sál - lokální"/>
    <s v="1362 - operační sál - lokální"/>
    <s v="50113013     léky (paušál) - antibiotika (LEK)"/>
    <x v="7"/>
    <x v="1"/>
    <n v="5.4388100000000001"/>
    <n v="2.584617464021"/>
  </r>
  <r>
    <s v="13"/>
    <s v="13"/>
    <s v="Otolaryngologická klinika"/>
    <x v="12"/>
    <s v="1362"/>
    <s v="operační sál - lokální"/>
    <s v="1362 - operační sál - lokální"/>
    <s v="50113013     léky (paušál) - antibiotika (LEK)"/>
    <x v="7"/>
    <x v="2"/>
    <n v="5.7473099999999997"/>
    <n v="5.358639570847"/>
  </r>
  <r>
    <s v="13"/>
    <s v="13"/>
    <s v="Otolaryngologická klinika"/>
    <x v="12"/>
    <s v="1362"/>
    <s v="operační sál - lokální"/>
    <s v="1362 - operační sál - lokální"/>
    <s v="50113190     medicinální plyny"/>
    <x v="9"/>
    <x v="0"/>
    <n v="44.100199999998999"/>
    <n v="49.812707383099998"/>
  </r>
  <r>
    <s v="13"/>
    <s v="13"/>
    <s v="Otolaryngologická klinika"/>
    <x v="12"/>
    <s v="1362"/>
    <s v="operační sál - lokální"/>
    <s v="1362 - operační sál - lokální"/>
    <s v="50113190     medicinální plyny"/>
    <x v="9"/>
    <x v="1"/>
    <n v="44.555599999999998"/>
    <n v="42.191595615548003"/>
  </r>
  <r>
    <s v="13"/>
    <s v="13"/>
    <s v="Otolaryngologická klinika"/>
    <x v="12"/>
    <s v="1362"/>
    <s v="operační sál - lokální"/>
    <s v="1362 - operační sál - lokální"/>
    <s v="50113190     medicinální plyny"/>
    <x v="9"/>
    <x v="2"/>
    <n v="25.35145"/>
    <n v="45.686238084431999"/>
  </r>
  <r>
    <s v="13"/>
    <s v="13"/>
    <s v="Otolaryngologická klinika"/>
    <x v="12"/>
    <s v="1362"/>
    <s v="operační sál - lokální"/>
    <s v="1362 - operační sál - lokální"/>
    <s v="50115     Zdravotnické prostředky"/>
    <x v="0"/>
    <x v="0"/>
    <n v="1368.52685"/>
    <n v="1343.57212250411"/>
  </r>
  <r>
    <s v="13"/>
    <s v="13"/>
    <s v="Otolaryngologická klinika"/>
    <x v="12"/>
    <s v="1362"/>
    <s v="operační sál - lokální"/>
    <s v="1362 - operační sál - lokální"/>
    <s v="50115     Zdravotnické prostředky"/>
    <x v="0"/>
    <x v="1"/>
    <n v="1637.8164500000009"/>
    <n v="1369.3760962732899"/>
  </r>
  <r>
    <s v="13"/>
    <s v="13"/>
    <s v="Otolaryngologická klinika"/>
    <x v="12"/>
    <s v="1362"/>
    <s v="operační sál - lokální"/>
    <s v="1362 - operační sál - lokální"/>
    <s v="50115     Zdravotnické prostředky"/>
    <x v="0"/>
    <x v="2"/>
    <n v="1317.5370399999999"/>
    <n v="1717.76745158475"/>
  </r>
  <r>
    <s v="13"/>
    <s v="13"/>
    <s v="Otolaryngologická klinika"/>
    <x v="12"/>
    <s v="1362"/>
    <s v="operační sál - lokální"/>
    <s v="1362 - operační sál - lokální"/>
    <s v="50115004     implant.umělé těl.náhr.-kovové (s.Z_506)"/>
    <x v="25"/>
    <x v="0"/>
    <n v="176.64299999999901"/>
    <n v="195.332073341246"/>
  </r>
  <r>
    <s v="13"/>
    <s v="13"/>
    <s v="Otolaryngologická klinika"/>
    <x v="12"/>
    <s v="1362"/>
    <s v="operační sál - lokální"/>
    <s v="1362 - operační sál - lokální"/>
    <s v="50115004     implant.umělé těl.náhr.-kovové (s.Z_506)"/>
    <x v="25"/>
    <x v="1"/>
    <n v="114.495"/>
    <n v="166.99991008057299"/>
  </r>
  <r>
    <s v="13"/>
    <s v="13"/>
    <s v="Otolaryngologická klinika"/>
    <x v="12"/>
    <s v="1362"/>
    <s v="operační sál - lokální"/>
    <s v="1362 - operační sál - lokální"/>
    <s v="50115004     implant.umělé těl.náhr.-kovové (s.Z_506)"/>
    <x v="25"/>
    <x v="2"/>
    <n v="99.946499999999986"/>
    <n v="249.99999212560601"/>
  </r>
  <r>
    <s v="13"/>
    <s v="13"/>
    <s v="Otolaryngologická klinika"/>
    <x v="12"/>
    <s v="1362"/>
    <s v="operační sál - lokální"/>
    <s v="1362 - operační sál - lokální"/>
    <s v="50115011     implant.umělé těl.náhr.-ostat.nákl.PZT(s.Z_515)"/>
    <x v="26"/>
    <x v="1"/>
    <n v="56.548259999999999"/>
    <n v="24.999994077162999"/>
  </r>
  <r>
    <s v="13"/>
    <s v="13"/>
    <s v="Otolaryngologická klinika"/>
    <x v="12"/>
    <s v="1362"/>
    <s v="operační sál - lokální"/>
    <s v="1362 - operační sál - lokální"/>
    <s v="50115011     implant.umělé těl.náhr.-ostat.nákl.PZT(s.Z_515)"/>
    <x v="26"/>
    <x v="2"/>
    <n v="51.567"/>
    <n v="101.999996787247"/>
  </r>
  <r>
    <s v="13"/>
    <s v="13"/>
    <s v="Otolaryngologická klinika"/>
    <x v="12"/>
    <s v="1362"/>
    <s v="operační sál - lokální"/>
    <s v="1362 - operační sál - lokální"/>
    <s v="50115040     laboratorní materiál (sk.Z_505)"/>
    <x v="11"/>
    <x v="0"/>
    <n v="0.32100000000000001"/>
    <n v="1.899932860454"/>
  </r>
  <r>
    <s v="13"/>
    <s v="13"/>
    <s v="Otolaryngologická klinika"/>
    <x v="12"/>
    <s v="1362"/>
    <s v="operační sál - lokální"/>
    <s v="1362 - operační sál - lokální"/>
    <s v="50115040     laboratorní materiál (sk.Z_505)"/>
    <x v="11"/>
    <x v="1"/>
    <n v="1.7907999999999999"/>
    <n v="0.32102029304899998"/>
  </r>
  <r>
    <s v="13"/>
    <s v="13"/>
    <s v="Otolaryngologická klinika"/>
    <x v="12"/>
    <s v="1362"/>
    <s v="operační sál - lokální"/>
    <s v="1362 - operační sál - lokální"/>
    <s v="50115040     laboratorní materiál (sk.Z_505)"/>
    <x v="11"/>
    <x v="2"/>
    <n v="2.7261299999999999"/>
    <n v="1.3996492880560001"/>
  </r>
  <r>
    <s v="13"/>
    <s v="13"/>
    <s v="Otolaryngologická klinika"/>
    <x v="12"/>
    <s v="1362"/>
    <s v="operační sál - lokální"/>
    <s v="1362 - operační sál - lokální"/>
    <s v="50115050     obvazový materiál (sk.Z_502)"/>
    <x v="12"/>
    <x v="0"/>
    <n v="228.38972000000001"/>
    <n v="191.97102399248701"/>
  </r>
  <r>
    <s v="13"/>
    <s v="13"/>
    <s v="Otolaryngologická klinika"/>
    <x v="12"/>
    <s v="1362"/>
    <s v="operační sál - lokální"/>
    <s v="1362 - operační sál - lokální"/>
    <s v="50115050     obvazový materiál (sk.Z_502)"/>
    <x v="12"/>
    <x v="1"/>
    <n v="315.49882999999994"/>
    <n v="255.90912389868501"/>
  </r>
  <r>
    <s v="13"/>
    <s v="13"/>
    <s v="Otolaryngologická klinika"/>
    <x v="12"/>
    <s v="1362"/>
    <s v="operační sál - lokální"/>
    <s v="1362 - operační sál - lokální"/>
    <s v="50115050     obvazový materiál (sk.Z_502)"/>
    <x v="12"/>
    <x v="2"/>
    <n v="208.36324999999999"/>
    <n v="300.23493277453701"/>
  </r>
  <r>
    <s v="13"/>
    <s v="13"/>
    <s v="Otolaryngologická klinika"/>
    <x v="12"/>
    <s v="1362"/>
    <s v="operační sál - lokální"/>
    <s v="1362 - operační sál - lokální"/>
    <s v="50115060     ostatní ZPr - mimo níže uvedené (sk.Z_503)"/>
    <x v="1"/>
    <x v="0"/>
    <n v="611.08025999999893"/>
    <n v="669.89478308391904"/>
  </r>
  <r>
    <s v="13"/>
    <s v="13"/>
    <s v="Otolaryngologická klinika"/>
    <x v="12"/>
    <s v="1362"/>
    <s v="operační sál - lokální"/>
    <s v="1362 - operační sál - lokální"/>
    <s v="50115060     ostatní ZPr - mimo níže uvedené (sk.Z_503)"/>
    <x v="1"/>
    <x v="1"/>
    <n v="540.29298000000006"/>
    <n v="563.07705850650598"/>
  </r>
  <r>
    <s v="13"/>
    <s v="13"/>
    <s v="Otolaryngologická klinika"/>
    <x v="12"/>
    <s v="1362"/>
    <s v="operační sál - lokální"/>
    <s v="1362 - operační sál - lokální"/>
    <s v="50115060     ostatní ZPr - mimo níže uvedené (sk.Z_503)"/>
    <x v="1"/>
    <x v="2"/>
    <n v="398.32954000000001"/>
    <n v="606.99998088097095"/>
  </r>
  <r>
    <s v="13"/>
    <s v="13"/>
    <s v="Otolaryngologická klinika"/>
    <x v="12"/>
    <s v="1362"/>
    <s v="operační sál - lokální"/>
    <s v="1362 - operační sál - lokální"/>
    <s v="50115063     ostatní ZPr - vaky, sety (sk.Z_528)"/>
    <x v="13"/>
    <x v="0"/>
    <n v="4.5979999999999999"/>
    <n v="0"/>
  </r>
  <r>
    <s v="13"/>
    <s v="13"/>
    <s v="Otolaryngologická klinika"/>
    <x v="12"/>
    <s v="1362"/>
    <s v="operační sál - lokální"/>
    <s v="1362 - operační sál - lokální"/>
    <s v="50115063     ostatní ZPr - vaky, sety (sk.Z_528)"/>
    <x v="13"/>
    <x v="1"/>
    <n v="0"/>
    <n v="4.5043128707079996"/>
  </r>
  <r>
    <s v="13"/>
    <s v="13"/>
    <s v="Otolaryngologická klinika"/>
    <x v="12"/>
    <s v="1362"/>
    <s v="operační sál - lokální"/>
    <s v="1362 - operační sál - lokální"/>
    <s v="50115064     ostatní ZPr - šicí materiál (sk.Z_529)"/>
    <x v="21"/>
    <x v="0"/>
    <n v="257.79557999999997"/>
    <n v="244.84795911918499"/>
  </r>
  <r>
    <s v="13"/>
    <s v="13"/>
    <s v="Otolaryngologická klinika"/>
    <x v="12"/>
    <s v="1362"/>
    <s v="operační sál - lokální"/>
    <s v="1362 - operační sál - lokální"/>
    <s v="50115064     ostatní ZPr - šicí materiál (sk.Z_529)"/>
    <x v="21"/>
    <x v="1"/>
    <n v="208.99635000000001"/>
    <n v="252.74788457137601"/>
  </r>
  <r>
    <s v="13"/>
    <s v="13"/>
    <s v="Otolaryngologická klinika"/>
    <x v="12"/>
    <s v="1362"/>
    <s v="operační sál - lokální"/>
    <s v="1362 - operační sál - lokální"/>
    <s v="50115064     ostatní ZPr - šicí materiál (sk.Z_529)"/>
    <x v="21"/>
    <x v="2"/>
    <n v="171.94927999999999"/>
    <n v="228.99999278705499"/>
  </r>
  <r>
    <s v="13"/>
    <s v="13"/>
    <s v="Otolaryngologická klinika"/>
    <x v="12"/>
    <s v="1362"/>
    <s v="operační sál - lokální"/>
    <s v="1362 - operační sál - lokální"/>
    <s v="50115065     ostatní ZPr - vpichovací materiál (sk.Z_530)"/>
    <x v="14"/>
    <x v="0"/>
    <n v="7.5730899999999997"/>
    <n v="4.2354289499569999"/>
  </r>
  <r>
    <s v="13"/>
    <s v="13"/>
    <s v="Otolaryngologická klinika"/>
    <x v="12"/>
    <s v="1362"/>
    <s v="operační sál - lokální"/>
    <s v="1362 - operační sál - lokální"/>
    <s v="50115065     ostatní ZPr - vpichovací materiál (sk.Z_530)"/>
    <x v="14"/>
    <x v="1"/>
    <n v="0.30399999999999999"/>
    <n v="3.7685961916299999"/>
  </r>
  <r>
    <s v="13"/>
    <s v="13"/>
    <s v="Otolaryngologická klinika"/>
    <x v="12"/>
    <s v="1362"/>
    <s v="operační sál - lokální"/>
    <s v="1362 - operační sál - lokální"/>
    <s v="50115065     ostatní ZPr - vpichovací materiál (sk.Z_530)"/>
    <x v="14"/>
    <x v="2"/>
    <n v="5.4854600000000007"/>
    <n v="0.52877923698100004"/>
  </r>
  <r>
    <s v="13"/>
    <s v="13"/>
    <s v="Otolaryngologická klinika"/>
    <x v="12"/>
    <s v="1362"/>
    <s v="operační sál - lokální"/>
    <s v="1362 - operační sál - lokální"/>
    <s v="50115067     ostatní ZPr - rukavice (sk.Z_532)"/>
    <x v="15"/>
    <x v="0"/>
    <n v="52.466690000000007"/>
    <n v="32.390921156860998"/>
  </r>
  <r>
    <s v="13"/>
    <s v="13"/>
    <s v="Otolaryngologická klinika"/>
    <x v="12"/>
    <s v="1362"/>
    <s v="operační sál - lokální"/>
    <s v="1362 - operační sál - lokální"/>
    <s v="50115067     ostatní ZPr - rukavice (sk.Z_532)"/>
    <x v="15"/>
    <x v="1"/>
    <n v="82.628830000000008"/>
    <n v="68.209124304840998"/>
  </r>
  <r>
    <s v="13"/>
    <s v="13"/>
    <s v="Otolaryngologická klinika"/>
    <x v="12"/>
    <s v="1362"/>
    <s v="operační sál - lokální"/>
    <s v="1362 - operační sál - lokální"/>
    <s v="50115067     ostatní ZPr - rukavice (sk.Z_532)"/>
    <x v="15"/>
    <x v="2"/>
    <n v="49.479330000000004"/>
    <n v="83.485503471551993"/>
  </r>
  <r>
    <s v="13"/>
    <s v="13"/>
    <s v="Otolaryngologická klinika"/>
    <x v="12"/>
    <s v="1362"/>
    <s v="operační sál - lokální"/>
    <s v="1362 - operační sál - lokální"/>
    <s v="50115070     ostatní ZPr - katetry (sk.Z_513)"/>
    <x v="16"/>
    <x v="0"/>
    <n v="21.15354"/>
    <n v="0"/>
  </r>
  <r>
    <s v="13"/>
    <s v="13"/>
    <s v="Otolaryngologická klinika"/>
    <x v="12"/>
    <s v="1362"/>
    <s v="operační sál - lokální"/>
    <s v="1362 - operační sál - lokální"/>
    <s v="50115070     ostatní ZPr - katetry (sk.Z_513)"/>
    <x v="16"/>
    <x v="1"/>
    <n v="10.93272"/>
    <n v="20.153443831524999"/>
  </r>
  <r>
    <s v="13"/>
    <s v="13"/>
    <s v="Otolaryngologická klinika"/>
    <x v="12"/>
    <s v="1362"/>
    <s v="operační sál - lokální"/>
    <s v="1362 - operační sál - lokální"/>
    <s v="50115070     ostatní ZPr - katetry (sk.Z_513)"/>
    <x v="16"/>
    <x v="2"/>
    <n v="8.1360600000000005"/>
    <n v="10.118628453422"/>
  </r>
  <r>
    <s v="13"/>
    <s v="13"/>
    <s v="Otolaryngologická klinika"/>
    <x v="12"/>
    <s v="1362"/>
    <s v="operační sál - lokální"/>
    <s v="1362 - operační sál - lokální"/>
    <s v="50115079     ostatní ZPr - intenzivní péče (sk.Z_542)"/>
    <x v="18"/>
    <x v="2"/>
    <n v="321.55448999999999"/>
    <n v="0"/>
  </r>
  <r>
    <s v="13"/>
    <s v="13"/>
    <s v="Otolaryngologická klinika"/>
    <x v="12"/>
    <s v="1362"/>
    <s v="operační sál - lokální"/>
    <s v="1362 - operační sál - lokální"/>
    <s v="50115080     ostatní ZPr - staplery, extraktory (sk.Z_523)"/>
    <x v="30"/>
    <x v="1"/>
    <n v="302.87268"/>
    <n v="0"/>
  </r>
  <r>
    <s v="13"/>
    <s v="13"/>
    <s v="Otolaryngologická klinika"/>
    <x v="12"/>
    <s v="1362"/>
    <s v="operační sál - lokální"/>
    <s v="1362 - operační sál - lokální"/>
    <s v="50115080     ostatní ZPr - staplery, extraktory (sk.Z_523)"/>
    <x v="30"/>
    <x v="2"/>
    <n v="0"/>
    <n v="124.99999606280301"/>
  </r>
  <r>
    <s v="13"/>
    <s v="13"/>
    <s v="Otolaryngologická klinika"/>
    <x v="12"/>
    <s v="1362"/>
    <s v="operační sál - lokální"/>
    <s v="1362 - operační sál - lokální"/>
    <s v="50115090     ostatní ZPr - zubolékařský materiál (sk.Z_509)"/>
    <x v="51"/>
    <x v="0"/>
    <n v="8.5059700000000014"/>
    <n v="3"/>
  </r>
  <r>
    <s v="13"/>
    <s v="13"/>
    <s v="Otolaryngologická klinika"/>
    <x v="12"/>
    <s v="1362"/>
    <s v="operační sál - lokální"/>
    <s v="1362 - operační sál - lokální"/>
    <s v="50115090     ostatní ZPr - zubolékařský materiál (sk.Z_509)"/>
    <x v="51"/>
    <x v="1"/>
    <n v="3.456"/>
    <n v="8.6856276472319998"/>
  </r>
  <r>
    <s v="13"/>
    <s v="13"/>
    <s v="Otolaryngologická klinika"/>
    <x v="12"/>
    <s v="1362"/>
    <s v="operační sál - lokální"/>
    <s v="1362 - operační sál - lokální"/>
    <s v="50115090     ostatní ZPr - zubolékařský materiál (sk.Z_509)"/>
    <x v="51"/>
    <x v="2"/>
    <n v="0"/>
    <n v="8.9999997165209997"/>
  </r>
  <r>
    <s v="13"/>
    <s v="13"/>
    <s v="Otolaryngologická klinika"/>
    <x v="12"/>
    <s v="1364"/>
    <s v="pracoviště COS"/>
    <s v="1364 - pracoviště COS"/>
    <s v="50115     Zdravotnické prostředky"/>
    <x v="0"/>
    <x v="0"/>
    <n v="0"/>
    <n v="8.5511536099860006"/>
  </r>
  <r>
    <s v="13"/>
    <s v="13"/>
    <s v="Otolaryngologická klinika"/>
    <x v="12"/>
    <s v="1364"/>
    <s v="pracoviště COS"/>
    <s v="1364 - pracoviště COS"/>
    <s v="50115067     ostatní ZPr - rukavice (sk.Z_532)"/>
    <x v="15"/>
    <x v="0"/>
    <n v="0"/>
    <n v="8.5511536099860006"/>
  </r>
  <r>
    <s v="14"/>
    <s v="14"/>
    <s v="Oční klinika"/>
    <x v="13"/>
    <s v="1412"/>
    <s v="lůžka 13"/>
    <s v="1412 - lůžka 13"/>
    <s v="50113     Léky a léčiva"/>
    <x v="2"/>
    <x v="0"/>
    <n v="1131.4969199999989"/>
    <n v="992.30154800006096"/>
  </r>
  <r>
    <s v="14"/>
    <s v="14"/>
    <s v="Oční klinika"/>
    <x v="13"/>
    <s v="1412"/>
    <s v="lůžka 13"/>
    <s v="1412 - lůžka 13"/>
    <s v="50113     Léky a léčiva"/>
    <x v="2"/>
    <x v="1"/>
    <n v="370.64781999999997"/>
    <n v="396.70849318174498"/>
  </r>
  <r>
    <s v="14"/>
    <s v="14"/>
    <s v="Oční klinika"/>
    <x v="13"/>
    <s v="1412"/>
    <s v="lůžka 13"/>
    <s v="1412 - lůžka 13"/>
    <s v="50113     Léky a léčiva"/>
    <x v="2"/>
    <x v="2"/>
    <n v="253.59116"/>
    <n v="410.85648231712798"/>
  </r>
  <r>
    <s v="14"/>
    <s v="14"/>
    <s v="Oční klinika"/>
    <x v="13"/>
    <s v="1412"/>
    <s v="lůžka 13"/>
    <s v="1412 - lůžka 13"/>
    <s v="50113001     léky - paušál+TISS (LEK)"/>
    <x v="3"/>
    <x v="0"/>
    <n v="313.75315999999907"/>
    <n v="318.96455896886698"/>
  </r>
  <r>
    <s v="14"/>
    <s v="14"/>
    <s v="Oční klinika"/>
    <x v="13"/>
    <s v="1412"/>
    <s v="lůžka 13"/>
    <s v="1412 - lůžka 13"/>
    <s v="50113001     léky - paušál+TISS (LEK)"/>
    <x v="3"/>
    <x v="1"/>
    <n v="304.66305"/>
    <n v="312.70138386311601"/>
  </r>
  <r>
    <s v="14"/>
    <s v="14"/>
    <s v="Oční klinika"/>
    <x v="13"/>
    <s v="1412"/>
    <s v="lůžka 13"/>
    <s v="1412 - lůžka 13"/>
    <s v="50113001     léky - paušál+TISS (LEK)"/>
    <x v="3"/>
    <x v="2"/>
    <n v="224.51777999999999"/>
    <n v="324.22179679624998"/>
  </r>
  <r>
    <s v="14"/>
    <s v="14"/>
    <s v="Oční klinika"/>
    <x v="13"/>
    <s v="1412"/>
    <s v="lůžka 13"/>
    <s v="1412 - lůžka 13"/>
    <s v="50113013     léky (paušál) - antibiotika (LEK)"/>
    <x v="7"/>
    <x v="0"/>
    <n v="87.219200000000001"/>
    <n v="86.903992347162003"/>
  </r>
  <r>
    <s v="14"/>
    <s v="14"/>
    <s v="Oční klinika"/>
    <x v="13"/>
    <s v="1412"/>
    <s v="lůžka 13"/>
    <s v="1412 - lůžka 13"/>
    <s v="50113013     léky (paušál) - antibiotika (LEK)"/>
    <x v="7"/>
    <x v="1"/>
    <n v="48.381819999999998"/>
    <n v="76.992405813857999"/>
  </r>
  <r>
    <s v="14"/>
    <s v="14"/>
    <s v="Oční klinika"/>
    <x v="13"/>
    <s v="1412"/>
    <s v="lůžka 13"/>
    <s v="1412 - lůžka 13"/>
    <s v="50113013     léky (paušál) - antibiotika (LEK)"/>
    <x v="7"/>
    <x v="2"/>
    <n v="27.99494"/>
    <n v="66.085238316236001"/>
  </r>
  <r>
    <s v="14"/>
    <s v="14"/>
    <s v="Oční klinika"/>
    <x v="13"/>
    <s v="1412"/>
    <s v="lůžka 13"/>
    <s v="1412 - lůžka 13"/>
    <s v="50113014     léky (paušál) - antimykotika (LEK)"/>
    <x v="8"/>
    <x v="0"/>
    <n v="728.59557999999993"/>
    <n v="586.43299668403199"/>
  </r>
  <r>
    <s v="14"/>
    <s v="14"/>
    <s v="Oční klinika"/>
    <x v="13"/>
    <s v="1412"/>
    <s v="lůžka 13"/>
    <s v="1412 - lůžka 13"/>
    <s v="50113014     léky (paušál) - antimykotika (LEK)"/>
    <x v="8"/>
    <x v="1"/>
    <n v="15.568159999999999"/>
    <n v="7.0147035047699999"/>
  </r>
  <r>
    <s v="14"/>
    <s v="14"/>
    <s v="Oční klinika"/>
    <x v="13"/>
    <s v="1412"/>
    <s v="lůžka 13"/>
    <s v="1412 - lůžka 13"/>
    <s v="50113014     léky (paušál) - antimykotika (LEK)"/>
    <x v="8"/>
    <x v="2"/>
    <n v="1.0784400000000001"/>
    <n v="18.625030494495"/>
  </r>
  <r>
    <s v="14"/>
    <s v="14"/>
    <s v="Oční klinika"/>
    <x v="13"/>
    <s v="1412"/>
    <s v="lůžka 13"/>
    <s v="1412 - lůžka 13"/>
    <s v="50113015     léky - samoplátci (LEK)"/>
    <x v="54"/>
    <x v="0"/>
    <n v="1.9289799999999999"/>
    <n v="0"/>
  </r>
  <r>
    <s v="14"/>
    <s v="14"/>
    <s v="Oční klinika"/>
    <x v="13"/>
    <s v="1412"/>
    <s v="lůžka 13"/>
    <s v="1412 - lůžka 13"/>
    <s v="50113015     léky - samoplátci (LEK)"/>
    <x v="54"/>
    <x v="1"/>
    <n v="2.0347900000000001"/>
    <n v="0"/>
  </r>
  <r>
    <s v="14"/>
    <s v="14"/>
    <s v="Oční klinika"/>
    <x v="13"/>
    <s v="1412"/>
    <s v="lůžka 13"/>
    <s v="1412 - lůžka 13"/>
    <s v="50113015     léky - samoplátci (LEK)"/>
    <x v="54"/>
    <x v="2"/>
    <n v="0"/>
    <n v="1.924416710145"/>
  </r>
  <r>
    <s v="14"/>
    <s v="14"/>
    <s v="Oční klinika"/>
    <x v="13"/>
    <s v="1412"/>
    <s v="lůžka 13"/>
    <s v="1412 - lůžka 13"/>
    <s v="50115     Zdravotnické prostředky"/>
    <x v="0"/>
    <x v="0"/>
    <n v="65.180700000000002"/>
    <n v="78.219370937822006"/>
  </r>
  <r>
    <s v="14"/>
    <s v="14"/>
    <s v="Oční klinika"/>
    <x v="13"/>
    <s v="1412"/>
    <s v="lůžka 13"/>
    <s v="1412 - lůžka 13"/>
    <s v="50115     Zdravotnické prostředky"/>
    <x v="0"/>
    <x v="1"/>
    <n v="58.085220000000007"/>
    <n v="64.183550388141995"/>
  </r>
  <r>
    <s v="14"/>
    <s v="14"/>
    <s v="Oční klinika"/>
    <x v="13"/>
    <s v="1412"/>
    <s v="lůžka 13"/>
    <s v="1412 - lůžka 13"/>
    <s v="50115     Zdravotnické prostředky"/>
    <x v="0"/>
    <x v="2"/>
    <n v="45.431379999999997"/>
    <n v="53.444987343760999"/>
  </r>
  <r>
    <s v="14"/>
    <s v="14"/>
    <s v="Oční klinika"/>
    <x v="13"/>
    <s v="1412"/>
    <s v="lůžka 13"/>
    <s v="1412 - lůžka 13"/>
    <s v="50115020     diagnostika laboratorní-LEK (sk.Z_501)"/>
    <x v="10"/>
    <x v="0"/>
    <n v="2.0523299999989999"/>
    <n v="5.5111014583160003"/>
  </r>
  <r>
    <s v="14"/>
    <s v="14"/>
    <s v="Oční klinika"/>
    <x v="13"/>
    <s v="1412"/>
    <s v="lůžka 13"/>
    <s v="1412 - lůžka 13"/>
    <s v="50115020     diagnostika laboratorní-LEK (sk.Z_501)"/>
    <x v="10"/>
    <x v="1"/>
    <n v="0.15246000000000001"/>
    <n v="2.05232782627"/>
  </r>
  <r>
    <s v="14"/>
    <s v="14"/>
    <s v="Oční klinika"/>
    <x v="13"/>
    <s v="1412"/>
    <s v="lůžka 13"/>
    <s v="1412 - lůžka 13"/>
    <s v="50115020     diagnostika laboratorní-LEK (sk.Z_501)"/>
    <x v="10"/>
    <x v="2"/>
    <n v="0"/>
    <n v="0.70351107316000006"/>
  </r>
  <r>
    <s v="14"/>
    <s v="14"/>
    <s v="Oční klinika"/>
    <x v="13"/>
    <s v="1412"/>
    <s v="lůžka 13"/>
    <s v="1412 - lůžka 13"/>
    <s v="50115040     laboratorní materiál (sk.Z_505)"/>
    <x v="11"/>
    <x v="0"/>
    <n v="0.246"/>
    <n v="0"/>
  </r>
  <r>
    <s v="14"/>
    <s v="14"/>
    <s v="Oční klinika"/>
    <x v="13"/>
    <s v="1412"/>
    <s v="lůžka 13"/>
    <s v="1412 - lůžka 13"/>
    <s v="50115040     laboratorní materiál (sk.Z_505)"/>
    <x v="11"/>
    <x v="1"/>
    <n v="0"/>
    <n v="0.24601555168200001"/>
  </r>
  <r>
    <s v="14"/>
    <s v="14"/>
    <s v="Oční klinika"/>
    <x v="13"/>
    <s v="1412"/>
    <s v="lůžka 13"/>
    <s v="1412 - lůžka 13"/>
    <s v="50115050     obvazový materiál (sk.Z_502)"/>
    <x v="12"/>
    <x v="0"/>
    <n v="16.848389999998997"/>
    <n v="17.729320079895"/>
  </r>
  <r>
    <s v="14"/>
    <s v="14"/>
    <s v="Oční klinika"/>
    <x v="13"/>
    <s v="1412"/>
    <s v="lůžka 13"/>
    <s v="1412 - lůžka 13"/>
    <s v="50115050     obvazový materiál (sk.Z_502)"/>
    <x v="12"/>
    <x v="1"/>
    <n v="16.764569999999999"/>
    <n v="16.886704105934001"/>
  </r>
  <r>
    <s v="14"/>
    <s v="14"/>
    <s v="Oční klinika"/>
    <x v="13"/>
    <s v="1412"/>
    <s v="lůžka 13"/>
    <s v="1412 - lůžka 13"/>
    <s v="50115050     obvazový materiál (sk.Z_502)"/>
    <x v="12"/>
    <x v="2"/>
    <n v="13.997339999999999"/>
    <n v="16.027425362500001"/>
  </r>
  <r>
    <s v="14"/>
    <s v="14"/>
    <s v="Oční klinika"/>
    <x v="13"/>
    <s v="1412"/>
    <s v="lůžka 13"/>
    <s v="1412 - lůžka 13"/>
    <s v="50115060     ostatní ZPr - mimo níže uvedené (sk.Z_503)"/>
    <x v="1"/>
    <x v="0"/>
    <n v="26.676750000000002"/>
    <n v="33.349969126365004"/>
  </r>
  <r>
    <s v="14"/>
    <s v="14"/>
    <s v="Oční klinika"/>
    <x v="13"/>
    <s v="1412"/>
    <s v="lůžka 13"/>
    <s v="1412 - lůžka 13"/>
    <s v="50115060     ostatní ZPr - mimo níže uvedené (sk.Z_503)"/>
    <x v="1"/>
    <x v="1"/>
    <n v="27.303429999999999"/>
    <n v="26.676549034966001"/>
  </r>
  <r>
    <s v="14"/>
    <s v="14"/>
    <s v="Oční klinika"/>
    <x v="13"/>
    <s v="1412"/>
    <s v="lůžka 13"/>
    <s v="1412 - lůžka 13"/>
    <s v="50115060     ostatní ZPr - mimo níže uvedené (sk.Z_503)"/>
    <x v="1"/>
    <x v="2"/>
    <n v="21.37726"/>
    <n v="23.352488717513001"/>
  </r>
  <r>
    <s v="14"/>
    <s v="14"/>
    <s v="Oční klinika"/>
    <x v="13"/>
    <s v="1412"/>
    <s v="lůžka 13"/>
    <s v="1412 - lůžka 13"/>
    <s v="50115063     ostatní ZPr - vaky, sety (sk.Z_528)"/>
    <x v="13"/>
    <x v="0"/>
    <n v="9.2816999999989989"/>
    <n v="5.5559726196400003"/>
  </r>
  <r>
    <s v="14"/>
    <s v="14"/>
    <s v="Oční klinika"/>
    <x v="13"/>
    <s v="1412"/>
    <s v="lůžka 13"/>
    <s v="1412 - lůžka 13"/>
    <s v="50115063     ostatní ZPr - vaky, sety (sk.Z_528)"/>
    <x v="13"/>
    <x v="1"/>
    <n v="7.7592999999999996"/>
    <n v="9.0925795502509992"/>
  </r>
  <r>
    <s v="14"/>
    <s v="14"/>
    <s v="Oční klinika"/>
    <x v="13"/>
    <s v="1412"/>
    <s v="lůžka 13"/>
    <s v="1412 - lůžka 13"/>
    <s v="50115063     ostatní ZPr - vaky, sety (sk.Z_528)"/>
    <x v="13"/>
    <x v="2"/>
    <n v="6.5350999999999999"/>
    <n v="9.2818490433019996"/>
  </r>
  <r>
    <s v="14"/>
    <s v="14"/>
    <s v="Oční klinika"/>
    <x v="13"/>
    <s v="1412"/>
    <s v="lůžka 13"/>
    <s v="1412 - lůžka 13"/>
    <s v="50115065     ostatní ZPr - vpichovací materiál (sk.Z_530)"/>
    <x v="14"/>
    <x v="0"/>
    <n v="0.96612999999999993"/>
    <n v="1.345992377005"/>
  </r>
  <r>
    <s v="14"/>
    <s v="14"/>
    <s v="Oční klinika"/>
    <x v="13"/>
    <s v="1412"/>
    <s v="lůžka 13"/>
    <s v="1412 - lůžka 13"/>
    <s v="50115065     ostatní ZPr - vpichovací materiál (sk.Z_530)"/>
    <x v="14"/>
    <x v="1"/>
    <n v="1.5072700000000001"/>
    <n v="0.99107138541999995"/>
  </r>
  <r>
    <s v="14"/>
    <s v="14"/>
    <s v="Oční klinika"/>
    <x v="13"/>
    <s v="1412"/>
    <s v="lůžka 13"/>
    <s v="1412 - lůžka 13"/>
    <s v="50115065     ostatní ZPr - vpichovací materiál (sk.Z_530)"/>
    <x v="14"/>
    <x v="2"/>
    <n v="1.179"/>
    <n v="0.89696847775499999"/>
  </r>
  <r>
    <s v="14"/>
    <s v="14"/>
    <s v="Oční klinika"/>
    <x v="13"/>
    <s v="1412"/>
    <s v="lůžka 13"/>
    <s v="1412 - lůžka 13"/>
    <s v="50115067     ostatní ZPr - rukavice (sk.Z_532)"/>
    <x v="15"/>
    <x v="0"/>
    <n v="9.1093999999990025"/>
    <n v="14.727015276598999"/>
  </r>
  <r>
    <s v="14"/>
    <s v="14"/>
    <s v="Oční klinika"/>
    <x v="13"/>
    <s v="1412"/>
    <s v="lůžka 13"/>
    <s v="1412 - lůžka 13"/>
    <s v="50115067     ostatní ZPr - rukavice (sk.Z_532)"/>
    <x v="15"/>
    <x v="1"/>
    <n v="4.5981899999999998"/>
    <n v="8.2383029336139995"/>
  </r>
  <r>
    <s v="14"/>
    <s v="14"/>
    <s v="Oční klinika"/>
    <x v="13"/>
    <s v="1412"/>
    <s v="lůžka 13"/>
    <s v="1412 - lůžka 13"/>
    <s v="50115067     ostatní ZPr - rukavice (sk.Z_532)"/>
    <x v="15"/>
    <x v="2"/>
    <n v="2.2730800000000002"/>
    <n v="3.1827446695299999"/>
  </r>
  <r>
    <s v="14"/>
    <s v="14"/>
    <s v="Oční klinika"/>
    <x v="13"/>
    <s v="1412"/>
    <s v="lůžka 13"/>
    <s v="1412 - lůžka 13"/>
    <s v="50115079     ostatní ZPr - intenzivní péče (sk.Z_542)"/>
    <x v="18"/>
    <x v="2"/>
    <n v="6.9599999999999995E-2"/>
    <n v="0"/>
  </r>
  <r>
    <s v="14"/>
    <s v="14"/>
    <s v="Oční klinika"/>
    <x v="13"/>
    <s v="1421"/>
    <s v="ambulance"/>
    <s v="1421 - ambulance"/>
    <s v="50113     Léky a léčiva"/>
    <x v="2"/>
    <x v="0"/>
    <n v="301.05964"/>
    <n v="270.66685345944802"/>
  </r>
  <r>
    <s v="14"/>
    <s v="14"/>
    <s v="Oční klinika"/>
    <x v="13"/>
    <s v="1421"/>
    <s v="ambulance"/>
    <s v="1421 - ambulance"/>
    <s v="50113     Léky a léčiva"/>
    <x v="2"/>
    <x v="1"/>
    <n v="303.69200000000001"/>
    <n v="304.30802721639299"/>
  </r>
  <r>
    <s v="14"/>
    <s v="14"/>
    <s v="Oční klinika"/>
    <x v="13"/>
    <s v="1421"/>
    <s v="ambulance"/>
    <s v="1421 - ambulance"/>
    <s v="50113     Léky a léčiva"/>
    <x v="2"/>
    <x v="2"/>
    <n v="182.84869000000003"/>
    <n v="298.532973352292"/>
  </r>
  <r>
    <s v="14"/>
    <s v="14"/>
    <s v="Oční klinika"/>
    <x v="13"/>
    <s v="1421"/>
    <s v="ambulance"/>
    <s v="1421 - ambulance"/>
    <s v="50113001     léky - paušál+TISS (LEK)"/>
    <x v="3"/>
    <x v="0"/>
    <n v="263.76903000000004"/>
    <n v="256.28689571232002"/>
  </r>
  <r>
    <s v="14"/>
    <s v="14"/>
    <s v="Oční klinika"/>
    <x v="13"/>
    <s v="1421"/>
    <s v="ambulance"/>
    <s v="1421 - ambulance"/>
    <s v="50113001     léky - paušál+TISS (LEK)"/>
    <x v="3"/>
    <x v="1"/>
    <n v="274.86194999999998"/>
    <n v="269.72550162533702"/>
  </r>
  <r>
    <s v="14"/>
    <s v="14"/>
    <s v="Oční klinika"/>
    <x v="13"/>
    <s v="1421"/>
    <s v="ambulance"/>
    <s v="1421 - ambulance"/>
    <s v="50113001     léky - paušál+TISS (LEK)"/>
    <x v="3"/>
    <x v="2"/>
    <n v="169.12382000000002"/>
    <n v="260.02098054751298"/>
  </r>
  <r>
    <s v="14"/>
    <s v="14"/>
    <s v="Oční klinika"/>
    <x v="13"/>
    <s v="1421"/>
    <s v="ambulance"/>
    <s v="1421 - ambulance"/>
    <s v="50113013     léky (paušál) - antibiotika (LEK)"/>
    <x v="7"/>
    <x v="0"/>
    <n v="18.37209"/>
    <n v="14.379957747128"/>
  </r>
  <r>
    <s v="14"/>
    <s v="14"/>
    <s v="Oční klinika"/>
    <x v="13"/>
    <s v="1421"/>
    <s v="ambulance"/>
    <s v="1421 - ambulance"/>
    <s v="50113013     léky (paušál) - antibiotika (LEK)"/>
    <x v="7"/>
    <x v="1"/>
    <n v="22.55829"/>
    <n v="18.595466215758002"/>
  </r>
  <r>
    <s v="14"/>
    <s v="14"/>
    <s v="Oční klinika"/>
    <x v="13"/>
    <s v="1421"/>
    <s v="ambulance"/>
    <s v="1421 - ambulance"/>
    <s v="50113013     léky (paušál) - antibiotika (LEK)"/>
    <x v="7"/>
    <x v="2"/>
    <n v="13.724870000000001"/>
    <n v="28.441322305591999"/>
  </r>
  <r>
    <s v="14"/>
    <s v="14"/>
    <s v="Oční klinika"/>
    <x v="13"/>
    <s v="1421"/>
    <s v="ambulance"/>
    <s v="1421 - ambulance"/>
    <s v="50113014     léky (paušál) - antimykotika (LEK)"/>
    <x v="8"/>
    <x v="0"/>
    <n v="18.918520000000001"/>
    <n v="0"/>
  </r>
  <r>
    <s v="14"/>
    <s v="14"/>
    <s v="Oční klinika"/>
    <x v="13"/>
    <s v="1421"/>
    <s v="ambulance"/>
    <s v="1421 - ambulance"/>
    <s v="50113014     léky (paušál) - antimykotika (LEK)"/>
    <x v="8"/>
    <x v="1"/>
    <n v="6.2717599999999996"/>
    <n v="15.987059375296001"/>
  </r>
  <r>
    <s v="14"/>
    <s v="14"/>
    <s v="Oční klinika"/>
    <x v="13"/>
    <s v="1421"/>
    <s v="ambulance"/>
    <s v="1421 - ambulance"/>
    <s v="50113014     léky (paušál) - antimykotika (LEK)"/>
    <x v="8"/>
    <x v="2"/>
    <n v="0"/>
    <n v="10.070670499186001"/>
  </r>
  <r>
    <s v="14"/>
    <s v="14"/>
    <s v="Oční klinika"/>
    <x v="13"/>
    <s v="1421"/>
    <s v="ambulance"/>
    <s v="1421 - ambulance"/>
    <s v="50115     Zdravotnické prostředky"/>
    <x v="0"/>
    <x v="0"/>
    <n v="148.623729999999"/>
    <n v="145.308152864482"/>
  </r>
  <r>
    <s v="14"/>
    <s v="14"/>
    <s v="Oční klinika"/>
    <x v="13"/>
    <s v="1421"/>
    <s v="ambulance"/>
    <s v="1421 - ambulance"/>
    <s v="50115     Zdravotnické prostředky"/>
    <x v="0"/>
    <x v="1"/>
    <n v="141.70778999999999"/>
    <n v="146.32154591221399"/>
  </r>
  <r>
    <s v="14"/>
    <s v="14"/>
    <s v="Oční klinika"/>
    <x v="13"/>
    <s v="1421"/>
    <s v="ambulance"/>
    <s v="1421 - ambulance"/>
    <s v="50115     Zdravotnické prostředky"/>
    <x v="0"/>
    <x v="2"/>
    <n v="70.632130000000004"/>
    <n v="134.27525908102999"/>
  </r>
  <r>
    <s v="14"/>
    <s v="14"/>
    <s v="Oční klinika"/>
    <x v="13"/>
    <s v="1421"/>
    <s v="ambulance"/>
    <s v="1421 - ambulance"/>
    <s v="50115004     implant.umělé těl.náhr.-kovové (s.Z_506)"/>
    <x v="25"/>
    <x v="0"/>
    <n v="0"/>
    <n v="2.5052762712800001"/>
  </r>
  <r>
    <s v="14"/>
    <s v="14"/>
    <s v="Oční klinika"/>
    <x v="13"/>
    <s v="1421"/>
    <s v="ambulance"/>
    <s v="1421 - ambulance"/>
    <s v="50115020     diagnostika laboratorní-LEK (sk.Z_501)"/>
    <x v="10"/>
    <x v="0"/>
    <n v="7.8688300000000009"/>
    <n v="13.935263630308"/>
  </r>
  <r>
    <s v="14"/>
    <s v="14"/>
    <s v="Oční klinika"/>
    <x v="13"/>
    <s v="1421"/>
    <s v="ambulance"/>
    <s v="1421 - ambulance"/>
    <s v="50115020     diagnostika laboratorní-LEK (sk.Z_501)"/>
    <x v="10"/>
    <x v="1"/>
    <n v="2.0146699999999997"/>
    <n v="7.868821665714"/>
  </r>
  <r>
    <s v="14"/>
    <s v="14"/>
    <s v="Oční klinika"/>
    <x v="13"/>
    <s v="1421"/>
    <s v="ambulance"/>
    <s v="1421 - ambulance"/>
    <s v="50115020     diagnostika laboratorní-LEK (sk.Z_501)"/>
    <x v="10"/>
    <x v="2"/>
    <n v="0"/>
    <n v="9.2964886118629995"/>
  </r>
  <r>
    <s v="14"/>
    <s v="14"/>
    <s v="Oční klinika"/>
    <x v="13"/>
    <s v="1421"/>
    <s v="ambulance"/>
    <s v="1421 - ambulance"/>
    <s v="50115040     laboratorní materiál (sk.Z_505)"/>
    <x v="11"/>
    <x v="1"/>
    <n v="0.23386000000000001"/>
    <n v="0"/>
  </r>
  <r>
    <s v="14"/>
    <s v="14"/>
    <s v="Oční klinika"/>
    <x v="13"/>
    <s v="1421"/>
    <s v="ambulance"/>
    <s v="1421 - ambulance"/>
    <s v="50115040     laboratorní materiál (sk.Z_505)"/>
    <x v="11"/>
    <x v="2"/>
    <n v="0"/>
    <n v="0.145906247548"/>
  </r>
  <r>
    <s v="14"/>
    <s v="14"/>
    <s v="Oční klinika"/>
    <x v="13"/>
    <s v="1421"/>
    <s v="ambulance"/>
    <s v="1421 - ambulance"/>
    <s v="50115050     obvazový materiál (sk.Z_502)"/>
    <x v="12"/>
    <x v="0"/>
    <n v="13.619999999998999"/>
    <n v="14.920720579081999"/>
  </r>
  <r>
    <s v="14"/>
    <s v="14"/>
    <s v="Oční klinika"/>
    <x v="13"/>
    <s v="1421"/>
    <s v="ambulance"/>
    <s v="1421 - ambulance"/>
    <s v="50115050     obvazový materiál (sk.Z_502)"/>
    <x v="12"/>
    <x v="1"/>
    <n v="11.749379999999999"/>
    <n v="13.650972580931001"/>
  </r>
  <r>
    <s v="14"/>
    <s v="14"/>
    <s v="Oční klinika"/>
    <x v="13"/>
    <s v="1421"/>
    <s v="ambulance"/>
    <s v="1421 - ambulance"/>
    <s v="50115050     obvazový materiál (sk.Z_502)"/>
    <x v="12"/>
    <x v="2"/>
    <n v="10.77375"/>
    <n v="11.088790996114"/>
  </r>
  <r>
    <s v="14"/>
    <s v="14"/>
    <s v="Oční klinika"/>
    <x v="13"/>
    <s v="1421"/>
    <s v="ambulance"/>
    <s v="1421 - ambulance"/>
    <s v="50115060     ostatní ZPr - mimo níže uvedené (sk.Z_503)"/>
    <x v="1"/>
    <x v="0"/>
    <n v="82.531599999999003"/>
    <n v="71.874870468894002"/>
  </r>
  <r>
    <s v="14"/>
    <s v="14"/>
    <s v="Oční klinika"/>
    <x v="13"/>
    <s v="1421"/>
    <s v="ambulance"/>
    <s v="1421 - ambulance"/>
    <s v="50115060     ostatní ZPr - mimo níže uvedené (sk.Z_503)"/>
    <x v="1"/>
    <x v="1"/>
    <n v="92.006699999999995"/>
    <n v="82.53097826138"/>
  </r>
  <r>
    <s v="14"/>
    <s v="14"/>
    <s v="Oční klinika"/>
    <x v="13"/>
    <s v="1421"/>
    <s v="ambulance"/>
    <s v="1421 - ambulance"/>
    <s v="50115060     ostatní ZPr - mimo níže uvedené (sk.Z_503)"/>
    <x v="1"/>
    <x v="2"/>
    <n v="33.536360000000002"/>
    <n v="86.799136387673997"/>
  </r>
  <r>
    <s v="14"/>
    <s v="14"/>
    <s v="Oční klinika"/>
    <x v="13"/>
    <s v="1421"/>
    <s v="ambulance"/>
    <s v="1421 - ambulance"/>
    <s v="50115064     ostatní ZPr - šicí materiál (sk.Z_529)"/>
    <x v="21"/>
    <x v="0"/>
    <n v="29.013039999999997"/>
    <n v="25.682310829108001"/>
  </r>
  <r>
    <s v="14"/>
    <s v="14"/>
    <s v="Oční klinika"/>
    <x v="13"/>
    <s v="1421"/>
    <s v="ambulance"/>
    <s v="1421 - ambulance"/>
    <s v="50115064     ostatní ZPr - šicí materiál (sk.Z_529)"/>
    <x v="21"/>
    <x v="1"/>
    <n v="22.168559999999999"/>
    <n v="28.444958152441998"/>
  </r>
  <r>
    <s v="14"/>
    <s v="14"/>
    <s v="Oční klinika"/>
    <x v="13"/>
    <s v="1421"/>
    <s v="ambulance"/>
    <s v="1421 - ambulance"/>
    <s v="50115064     ostatní ZPr - šicí materiál (sk.Z_529)"/>
    <x v="21"/>
    <x v="2"/>
    <n v="13.200420000000001"/>
    <n v="15.637853730685"/>
  </r>
  <r>
    <s v="14"/>
    <s v="14"/>
    <s v="Oční klinika"/>
    <x v="13"/>
    <s v="1421"/>
    <s v="ambulance"/>
    <s v="1421 - ambulance"/>
    <s v="50115065     ostatní ZPr - vpichovací materiál (sk.Z_530)"/>
    <x v="14"/>
    <x v="0"/>
    <n v="0.57312999999900005"/>
    <n v="0"/>
  </r>
  <r>
    <s v="14"/>
    <s v="14"/>
    <s v="Oční klinika"/>
    <x v="13"/>
    <s v="1421"/>
    <s v="ambulance"/>
    <s v="1421 - ambulance"/>
    <s v="50115065     ostatní ZPr - vpichovací materiál (sk.Z_530)"/>
    <x v="14"/>
    <x v="1"/>
    <n v="1.2829999999999999"/>
    <n v="0.58792578961999997"/>
  </r>
  <r>
    <s v="14"/>
    <s v="14"/>
    <s v="Oční klinika"/>
    <x v="13"/>
    <s v="1421"/>
    <s v="ambulance"/>
    <s v="1421 - ambulance"/>
    <s v="50115065     ostatní ZPr - vpichovací materiál (sk.Z_530)"/>
    <x v="14"/>
    <x v="2"/>
    <n v="0.84200000000000008"/>
    <n v="1.034577210588"/>
  </r>
  <r>
    <s v="14"/>
    <s v="14"/>
    <s v="Oční klinika"/>
    <x v="13"/>
    <s v="1421"/>
    <s v="ambulance"/>
    <s v="1421 - ambulance"/>
    <s v="50115067     ostatní ZPr - rukavice (sk.Z_532)"/>
    <x v="15"/>
    <x v="0"/>
    <n v="13.832299999999998"/>
    <n v="16.389711085805999"/>
  </r>
  <r>
    <s v="14"/>
    <s v="14"/>
    <s v="Oční klinika"/>
    <x v="13"/>
    <s v="1421"/>
    <s v="ambulance"/>
    <s v="1421 - ambulance"/>
    <s v="50115067     ostatní ZPr - rukavice (sk.Z_532)"/>
    <x v="15"/>
    <x v="1"/>
    <n v="12.251620000000001"/>
    <n v="12.028034242171"/>
  </r>
  <r>
    <s v="14"/>
    <s v="14"/>
    <s v="Oční klinika"/>
    <x v="13"/>
    <s v="1421"/>
    <s v="ambulance"/>
    <s v="1421 - ambulance"/>
    <s v="50115067     ostatní ZPr - rukavice (sk.Z_532)"/>
    <x v="15"/>
    <x v="2"/>
    <n v="12.279599999999999"/>
    <n v="10.272505896554"/>
  </r>
  <r>
    <s v="14"/>
    <s v="14"/>
    <s v="Oční klinika"/>
    <x v="13"/>
    <s v="1421"/>
    <s v="ambulance"/>
    <s v="1421 - ambulance"/>
    <s v="50115090     ostatní ZPr - zubolékařský materiál (sk.Z_509)"/>
    <x v="51"/>
    <x v="0"/>
    <n v="1.18483"/>
    <n v="0"/>
  </r>
  <r>
    <s v="14"/>
    <s v="14"/>
    <s v="Oční klinika"/>
    <x v="13"/>
    <s v="1421"/>
    <s v="ambulance"/>
    <s v="1421 - ambulance"/>
    <s v="50115090     ostatní ZPr - zubolékařský materiál (sk.Z_509)"/>
    <x v="51"/>
    <x v="1"/>
    <n v="0"/>
    <n v="1.2098552199529999"/>
  </r>
  <r>
    <s v="14"/>
    <s v="14"/>
    <s v="Oční klinika"/>
    <x v="13"/>
    <s v="1462"/>
    <s v="operační sál - lokální"/>
    <s v="1462 - operační sál - lokální"/>
    <s v="50113     Léky a léčiva"/>
    <x v="2"/>
    <x v="0"/>
    <n v="1379.780140000001"/>
    <n v="1329.90953178"/>
  </r>
  <r>
    <s v="14"/>
    <s v="14"/>
    <s v="Oční klinika"/>
    <x v="13"/>
    <s v="1462"/>
    <s v="operační sál - lokální"/>
    <s v="1462 - operační sál - lokální"/>
    <s v="50113     Léky a léčiva"/>
    <x v="2"/>
    <x v="1"/>
    <n v="1249.107120000001"/>
    <n v="1433.88544294188"/>
  </r>
  <r>
    <s v="14"/>
    <s v="14"/>
    <s v="Oční klinika"/>
    <x v="13"/>
    <s v="1462"/>
    <s v="operační sál - lokální"/>
    <s v="1462 - operační sál - lokální"/>
    <s v="50113     Léky a léčiva"/>
    <x v="2"/>
    <x v="2"/>
    <n v="985.40476999999998"/>
    <n v="1334.8953784174901"/>
  </r>
  <r>
    <s v="14"/>
    <s v="14"/>
    <s v="Oční klinika"/>
    <x v="13"/>
    <s v="1462"/>
    <s v="operační sál - lokální"/>
    <s v="1462 - operační sál - lokální"/>
    <s v="50113001     léky - paušál+TISS (LEK)"/>
    <x v="3"/>
    <x v="0"/>
    <n v="972.73783000000014"/>
    <n v="1259.1319183509099"/>
  </r>
  <r>
    <s v="14"/>
    <s v="14"/>
    <s v="Oční klinika"/>
    <x v="13"/>
    <s v="1462"/>
    <s v="operační sál - lokální"/>
    <s v="1462 - operační sál - lokální"/>
    <s v="50113001     léky - paušál+TISS (LEK)"/>
    <x v="3"/>
    <x v="1"/>
    <n v="994.82803999999999"/>
    <n v="972.57744132007701"/>
  </r>
  <r>
    <s v="14"/>
    <s v="14"/>
    <s v="Oční klinika"/>
    <x v="13"/>
    <s v="1462"/>
    <s v="operační sál - lokální"/>
    <s v="1462 - operační sál - lokální"/>
    <s v="50113001     léky - paušál+TISS (LEK)"/>
    <x v="3"/>
    <x v="2"/>
    <n v="782.86142000000007"/>
    <n v="1067.67396392657"/>
  </r>
  <r>
    <s v="14"/>
    <s v="14"/>
    <s v="Oční klinika"/>
    <x v="13"/>
    <s v="1462"/>
    <s v="operační sál - lokální"/>
    <s v="1462 - operační sál - lokální"/>
    <s v="50113013     léky (paušál) - antibiotika (LEK)"/>
    <x v="7"/>
    <x v="0"/>
    <n v="12.118499999999001"/>
    <n v="14.381505789245001"/>
  </r>
  <r>
    <s v="14"/>
    <s v="14"/>
    <s v="Oční klinika"/>
    <x v="13"/>
    <s v="1462"/>
    <s v="operační sál - lokální"/>
    <s v="1462 - operační sál - lokální"/>
    <s v="50113013     léky (paušál) - antibiotika (LEK)"/>
    <x v="7"/>
    <x v="1"/>
    <n v="11.92465"/>
    <n v="12.265842227839"/>
  </r>
  <r>
    <s v="14"/>
    <s v="14"/>
    <s v="Oční klinika"/>
    <x v="13"/>
    <s v="1462"/>
    <s v="operační sál - lokální"/>
    <s v="1462 - operační sál - lokální"/>
    <s v="50113013     léky (paušál) - antibiotika (LEK)"/>
    <x v="7"/>
    <x v="2"/>
    <n v="9.7302700000000009"/>
    <n v="18.339705230919002"/>
  </r>
  <r>
    <s v="14"/>
    <s v="14"/>
    <s v="Oční klinika"/>
    <x v="13"/>
    <s v="1462"/>
    <s v="operační sál - lokální"/>
    <s v="1462 - operační sál - lokální"/>
    <s v="50113015     léky - samoplátci (LEK)"/>
    <x v="54"/>
    <x v="0"/>
    <n v="343.66314999999997"/>
    <n v="0"/>
  </r>
  <r>
    <s v="14"/>
    <s v="14"/>
    <s v="Oční klinika"/>
    <x v="13"/>
    <s v="1462"/>
    <s v="operační sál - lokální"/>
    <s v="1462 - operační sál - lokální"/>
    <s v="50113015     léky - samoplátci (LEK)"/>
    <x v="54"/>
    <x v="1"/>
    <n v="197.73556999999997"/>
    <n v="399.99999999999301"/>
  </r>
  <r>
    <s v="14"/>
    <s v="14"/>
    <s v="Oční klinika"/>
    <x v="13"/>
    <s v="1462"/>
    <s v="operační sál - lokální"/>
    <s v="1462 - operační sál - lokální"/>
    <s v="50113015     léky - samoplátci (LEK)"/>
    <x v="54"/>
    <x v="2"/>
    <n v="132.23114999999999"/>
    <n v="202.88026433900399"/>
  </r>
  <r>
    <s v="14"/>
    <s v="14"/>
    <s v="Oční klinika"/>
    <x v="13"/>
    <s v="1462"/>
    <s v="operační sál - lokální"/>
    <s v="1462 - operační sál - lokální"/>
    <s v="50113190     medicinální plyny"/>
    <x v="9"/>
    <x v="0"/>
    <n v="51.260659999999007"/>
    <n v="56.396107639848999"/>
  </r>
  <r>
    <s v="14"/>
    <s v="14"/>
    <s v="Oční klinika"/>
    <x v="13"/>
    <s v="1462"/>
    <s v="operační sál - lokální"/>
    <s v="1462 - operační sál - lokální"/>
    <s v="50113190     medicinální plyny"/>
    <x v="9"/>
    <x v="1"/>
    <n v="44.618859999999998"/>
    <n v="49.042159393974003"/>
  </r>
  <r>
    <s v="14"/>
    <s v="14"/>
    <s v="Oční klinika"/>
    <x v="13"/>
    <s v="1462"/>
    <s v="operační sál - lokální"/>
    <s v="1462 - operační sál - lokální"/>
    <s v="50113190     medicinální plyny"/>
    <x v="9"/>
    <x v="2"/>
    <n v="60.58193"/>
    <n v="46.001444920997997"/>
  </r>
  <r>
    <s v="14"/>
    <s v="14"/>
    <s v="Oční klinika"/>
    <x v="13"/>
    <s v="1462"/>
    <s v="operační sál - lokální"/>
    <s v="1462 - operační sál - lokální"/>
    <s v="50115     Zdravotnické prostředky"/>
    <x v="0"/>
    <x v="0"/>
    <n v="8353.2464400000044"/>
    <n v="9479.2678800531594"/>
  </r>
  <r>
    <s v="14"/>
    <s v="14"/>
    <s v="Oční klinika"/>
    <x v="13"/>
    <s v="1462"/>
    <s v="operační sál - lokální"/>
    <s v="1462 - operační sál - lokální"/>
    <s v="50115     Zdravotnické prostředky"/>
    <x v="0"/>
    <x v="1"/>
    <n v="8724.1069500000067"/>
    <n v="8754.9137216048694"/>
  </r>
  <r>
    <s v="14"/>
    <s v="14"/>
    <s v="Oční klinika"/>
    <x v="13"/>
    <s v="1462"/>
    <s v="operační sál - lokální"/>
    <s v="1462 - operační sál - lokální"/>
    <s v="50115     Zdravotnické prostředky"/>
    <x v="0"/>
    <x v="2"/>
    <n v="6435.014680000002"/>
    <n v="8751.2535945279997"/>
  </r>
  <r>
    <s v="14"/>
    <s v="14"/>
    <s v="Oční klinika"/>
    <x v="13"/>
    <s v="1462"/>
    <s v="operační sál - lokální"/>
    <s v="1462 - operační sál - lokální"/>
    <s v="50115004     implant.umělé těl.náhr.-kovové (s.Z_506)"/>
    <x v="25"/>
    <x v="0"/>
    <n v="3074.7107300000016"/>
    <n v="3805.3151381251901"/>
  </r>
  <r>
    <s v="14"/>
    <s v="14"/>
    <s v="Oční klinika"/>
    <x v="13"/>
    <s v="1462"/>
    <s v="operační sál - lokální"/>
    <s v="1462 - operační sál - lokální"/>
    <s v="50115004     implant.umělé těl.náhr.-kovové (s.Z_506)"/>
    <x v="25"/>
    <x v="1"/>
    <n v="64.450599999999994"/>
    <n v="13.999995154042001"/>
  </r>
  <r>
    <s v="14"/>
    <s v="14"/>
    <s v="Oční klinika"/>
    <x v="13"/>
    <s v="1462"/>
    <s v="operační sál - lokální"/>
    <s v="1462 - operační sál - lokální"/>
    <s v="50115004     implant.umělé těl.náhr.-kovové (s.Z_506)"/>
    <x v="25"/>
    <x v="2"/>
    <n v="51.110599999999998"/>
    <n v="69.999997795168994"/>
  </r>
  <r>
    <s v="14"/>
    <s v="14"/>
    <s v="Oční klinika"/>
    <x v="13"/>
    <s v="1462"/>
    <s v="operační sál - lokální"/>
    <s v="1462 - operační sál - lokální"/>
    <s v="50115011     implant.umělé těl.náhr.-ostat.nákl.PZT(s.Z_515)"/>
    <x v="26"/>
    <x v="1"/>
    <n v="4348.425110000002"/>
    <n v="4278.9983157606703"/>
  </r>
  <r>
    <s v="14"/>
    <s v="14"/>
    <s v="Oční klinika"/>
    <x v="13"/>
    <s v="1462"/>
    <s v="operační sál - lokální"/>
    <s v="1462 - operační sál - lokální"/>
    <s v="50115011     implant.umělé těl.náhr.-ostat.nákl.PZT(s.Z_515)"/>
    <x v="26"/>
    <x v="2"/>
    <n v="4205.0559100000009"/>
    <n v="6013.8600727779303"/>
  </r>
  <r>
    <s v="14"/>
    <s v="14"/>
    <s v="Oční klinika"/>
    <x v="13"/>
    <s v="1462"/>
    <s v="operační sál - lokální"/>
    <s v="1462 - operační sál - lokální"/>
    <s v="50115040     laboratorní materiál (sk.Z_505)"/>
    <x v="11"/>
    <x v="0"/>
    <n v="2.0617999999999999"/>
    <n v="0"/>
  </r>
  <r>
    <s v="14"/>
    <s v="14"/>
    <s v="Oční klinika"/>
    <x v="13"/>
    <s v="1462"/>
    <s v="operační sál - lokální"/>
    <s v="1462 - operační sál - lokální"/>
    <s v="50115040     laboratorní materiál (sk.Z_505)"/>
    <x v="11"/>
    <x v="1"/>
    <n v="3.0396400000000008"/>
    <n v="3.0619303433299998"/>
  </r>
  <r>
    <s v="14"/>
    <s v="14"/>
    <s v="Oční klinika"/>
    <x v="13"/>
    <s v="1462"/>
    <s v="operační sál - lokální"/>
    <s v="1462 - operační sál - lokální"/>
    <s v="50115040     laboratorní materiál (sk.Z_505)"/>
    <x v="11"/>
    <x v="2"/>
    <n v="2.6438800000000002"/>
    <n v="1.854093689455"/>
  </r>
  <r>
    <s v="14"/>
    <s v="14"/>
    <s v="Oční klinika"/>
    <x v="13"/>
    <s v="1462"/>
    <s v="operační sál - lokální"/>
    <s v="1462 - operační sál - lokální"/>
    <s v="50115050     obvazový materiál (sk.Z_502)"/>
    <x v="12"/>
    <x v="0"/>
    <n v="49.831089999998994"/>
    <n v="66.926999631217001"/>
  </r>
  <r>
    <s v="14"/>
    <s v="14"/>
    <s v="Oční klinika"/>
    <x v="13"/>
    <s v="1462"/>
    <s v="operační sál - lokální"/>
    <s v="1462 - operační sál - lokální"/>
    <s v="50115050     obvazový materiál (sk.Z_502)"/>
    <x v="12"/>
    <x v="1"/>
    <n v="12.216200000000001"/>
    <n v="42.944412770653003"/>
  </r>
  <r>
    <s v="14"/>
    <s v="14"/>
    <s v="Oční klinika"/>
    <x v="13"/>
    <s v="1462"/>
    <s v="operační sál - lokální"/>
    <s v="1462 - operační sál - lokální"/>
    <s v="50115050     obvazový materiál (sk.Z_502)"/>
    <x v="12"/>
    <x v="2"/>
    <n v="5.6765100000000004"/>
    <n v="12.883782381482"/>
  </r>
  <r>
    <s v="14"/>
    <s v="14"/>
    <s v="Oční klinika"/>
    <x v="13"/>
    <s v="1462"/>
    <s v="operační sál - lokální"/>
    <s v="1462 - operační sál - lokální"/>
    <s v="50115051     nadstandard ZUM (hrazeno pac.) (sk.Z_520)"/>
    <x v="53"/>
    <x v="0"/>
    <n v="1002.6151600000001"/>
    <n v="1423.5486613666601"/>
  </r>
  <r>
    <s v="14"/>
    <s v="14"/>
    <s v="Oční klinika"/>
    <x v="13"/>
    <s v="1462"/>
    <s v="operační sál - lokální"/>
    <s v="1462 - operační sál - lokální"/>
    <s v="50115060     ostatní ZPr - mimo níže uvedené (sk.Z_503)"/>
    <x v="1"/>
    <x v="0"/>
    <n v="3972.208250000001"/>
    <n v="3919.8480195438801"/>
  </r>
  <r>
    <s v="14"/>
    <s v="14"/>
    <s v="Oční klinika"/>
    <x v="13"/>
    <s v="1462"/>
    <s v="operační sál - lokální"/>
    <s v="1462 - operační sál - lokální"/>
    <s v="50115060     ostatní ZPr - mimo níže uvedené (sk.Z_503)"/>
    <x v="1"/>
    <x v="1"/>
    <n v="4024.6702500000024"/>
    <n v="4147.1827358745504"/>
  </r>
  <r>
    <s v="14"/>
    <s v="14"/>
    <s v="Oční klinika"/>
    <x v="13"/>
    <s v="1462"/>
    <s v="operační sál - lokální"/>
    <s v="1462 - operační sál - lokální"/>
    <s v="50115060     ostatní ZPr - mimo níže uvedené (sk.Z_503)"/>
    <x v="1"/>
    <x v="2"/>
    <n v="1930.2093700000007"/>
    <n v="2397.9621562041598"/>
  </r>
  <r>
    <s v="14"/>
    <s v="14"/>
    <s v="Oční klinika"/>
    <x v="13"/>
    <s v="1462"/>
    <s v="operační sál - lokální"/>
    <s v="1462 - operační sál - lokální"/>
    <s v="50115063     ostatní ZPr - vaky, sety (sk.Z_528)"/>
    <x v="13"/>
    <x v="0"/>
    <n v="4.74526"/>
    <n v="7.8901007961580003"/>
  </r>
  <r>
    <s v="14"/>
    <s v="14"/>
    <s v="Oční klinika"/>
    <x v="13"/>
    <s v="1462"/>
    <s v="operační sál - lokální"/>
    <s v="1462 - operační sál - lokální"/>
    <s v="50115063     ostatní ZPr - vaky, sety (sk.Z_528)"/>
    <x v="13"/>
    <x v="1"/>
    <n v="6.4817300000000007"/>
    <n v="8.6485702022349997"/>
  </r>
  <r>
    <s v="14"/>
    <s v="14"/>
    <s v="Oční klinika"/>
    <x v="13"/>
    <s v="1462"/>
    <s v="operační sál - lokální"/>
    <s v="1462 - operační sál - lokální"/>
    <s v="50115063     ostatní ZPr - vaky, sety (sk.Z_528)"/>
    <x v="13"/>
    <x v="2"/>
    <n v="0.16339999999999999"/>
    <n v="4.7181505157309998"/>
  </r>
  <r>
    <s v="14"/>
    <s v="14"/>
    <s v="Oční klinika"/>
    <x v="13"/>
    <s v="1462"/>
    <s v="operační sál - lokální"/>
    <s v="1462 - operační sál - lokální"/>
    <s v="50115064     ostatní ZPr - šicí materiál (sk.Z_529)"/>
    <x v="21"/>
    <x v="0"/>
    <n v="192.85370999999898"/>
    <n v="206.94661143957501"/>
  </r>
  <r>
    <s v="14"/>
    <s v="14"/>
    <s v="Oční klinika"/>
    <x v="13"/>
    <s v="1462"/>
    <s v="operační sál - lokální"/>
    <s v="1462 - operační sál - lokální"/>
    <s v="50115064     ostatní ZPr - šicí materiál (sk.Z_529)"/>
    <x v="21"/>
    <x v="1"/>
    <n v="190.90457000000004"/>
    <n v="199.077293290813"/>
  </r>
  <r>
    <s v="14"/>
    <s v="14"/>
    <s v="Oční klinika"/>
    <x v="13"/>
    <s v="1462"/>
    <s v="operační sál - lokální"/>
    <s v="1462 - operační sál - lokální"/>
    <s v="50115064     ostatní ZPr - šicí materiál (sk.Z_529)"/>
    <x v="21"/>
    <x v="2"/>
    <n v="110.50578000000002"/>
    <n v="176.36214022178001"/>
  </r>
  <r>
    <s v="14"/>
    <s v="14"/>
    <s v="Oční klinika"/>
    <x v="13"/>
    <s v="1462"/>
    <s v="operační sál - lokální"/>
    <s v="1462 - operační sál - lokální"/>
    <s v="50115065     ostatní ZPr - vpichovací materiál (sk.Z_530)"/>
    <x v="14"/>
    <x v="0"/>
    <n v="1.095389999999"/>
    <n v="1.3500988524240001"/>
  </r>
  <r>
    <s v="14"/>
    <s v="14"/>
    <s v="Oční klinika"/>
    <x v="13"/>
    <s v="1462"/>
    <s v="operační sál - lokální"/>
    <s v="1462 - operační sál - lokální"/>
    <s v="50115065     ostatní ZPr - vpichovací materiál (sk.Z_530)"/>
    <x v="14"/>
    <x v="1"/>
    <n v="1.6030700000000002"/>
    <n v="1.123668331255"/>
  </r>
  <r>
    <s v="14"/>
    <s v="14"/>
    <s v="Oční klinika"/>
    <x v="13"/>
    <s v="1462"/>
    <s v="operační sál - lokální"/>
    <s v="1462 - operační sál - lokální"/>
    <s v="50115065     ostatní ZPr - vpichovací materiál (sk.Z_530)"/>
    <x v="14"/>
    <x v="2"/>
    <n v="1.5572499999999998"/>
    <n v="1.068454217163"/>
  </r>
  <r>
    <s v="14"/>
    <s v="14"/>
    <s v="Oční klinika"/>
    <x v="13"/>
    <s v="1462"/>
    <s v="operační sál - lokální"/>
    <s v="1462 - operační sál - lokální"/>
    <s v="50115067     ostatní ZPr - rukavice (sk.Z_532)"/>
    <x v="15"/>
    <x v="0"/>
    <n v="53.125050000000002"/>
    <n v="47.442250298051"/>
  </r>
  <r>
    <s v="14"/>
    <s v="14"/>
    <s v="Oční klinika"/>
    <x v="13"/>
    <s v="1462"/>
    <s v="operační sál - lokální"/>
    <s v="1462 - operační sál - lokální"/>
    <s v="50115067     ostatní ZPr - rukavice (sk.Z_532)"/>
    <x v="15"/>
    <x v="1"/>
    <n v="72.315780000000004"/>
    <n v="59.876799877328999"/>
  </r>
  <r>
    <s v="14"/>
    <s v="14"/>
    <s v="Oční klinika"/>
    <x v="13"/>
    <s v="1462"/>
    <s v="operační sál - lokální"/>
    <s v="1462 - operační sál - lokální"/>
    <s v="50115067     ostatní ZPr - rukavice (sk.Z_532)"/>
    <x v="15"/>
    <x v="2"/>
    <n v="58.395979999999994"/>
    <n v="72.544746725123005"/>
  </r>
  <r>
    <s v="14"/>
    <s v="14"/>
    <s v="Oční klinika"/>
    <x v="13"/>
    <s v="1462"/>
    <s v="operační sál - lokální"/>
    <s v="1462 - operační sál - lokální"/>
    <s v="50115079     ostatní ZPr - intenzivní péče (sk.Z_542)"/>
    <x v="18"/>
    <x v="2"/>
    <n v="69.695999999999998"/>
    <n v="0"/>
  </r>
  <r>
    <s v="14"/>
    <s v="14"/>
    <s v="Oční klinika"/>
    <x v="13"/>
    <s v="1466"/>
    <s v="pracoviště DK COS"/>
    <s v="1466 - pracoviště DK COS"/>
    <s v="50115     Zdravotnické prostředky"/>
    <x v="0"/>
    <x v="0"/>
    <n v="0"/>
    <n v="4.8958506028209996"/>
  </r>
  <r>
    <s v="14"/>
    <s v="14"/>
    <s v="Oční klinika"/>
    <x v="13"/>
    <s v="1466"/>
    <s v="pracoviště DK COS"/>
    <s v="1466 - pracoviště DK COS"/>
    <s v="50115067     ostatní ZPr - rukavice (sk.Z_532)"/>
    <x v="15"/>
    <x v="0"/>
    <n v="0"/>
    <n v="4.8958506028209996"/>
  </r>
  <r>
    <s v="14"/>
    <s v="14"/>
    <s v="Oční klinika"/>
    <x v="13"/>
    <s v="1494"/>
    <s v="centrum - oční"/>
    <s v="1494 - centrum - oční"/>
    <s v="50113     Léky a léčiva"/>
    <x v="2"/>
    <x v="0"/>
    <n v="19891.752160000007"/>
    <n v="23169.999999998701"/>
  </r>
  <r>
    <s v="14"/>
    <s v="14"/>
    <s v="Oční klinika"/>
    <x v="13"/>
    <s v="1494"/>
    <s v="centrum - oční"/>
    <s v="1494 - centrum - oční"/>
    <s v="50113     Léky a léčiva"/>
    <x v="2"/>
    <x v="1"/>
    <n v="24198.32923000001"/>
    <n v="24211.2278075916"/>
  </r>
  <r>
    <s v="14"/>
    <s v="14"/>
    <s v="Oční klinika"/>
    <x v="13"/>
    <s v="1494"/>
    <s v="centrum - oční"/>
    <s v="1494 - centrum - oční"/>
    <s v="50113     Léky a léčiva"/>
    <x v="2"/>
    <x v="2"/>
    <n v="18776.842740000011"/>
    <n v="26157.999135951501"/>
  </r>
  <r>
    <s v="14"/>
    <s v="14"/>
    <s v="Oční klinika"/>
    <x v="13"/>
    <s v="1494"/>
    <s v="centrum - oční"/>
    <s v="1494 - centrum - oční"/>
    <s v="50113016     léky - spotřeba v centrech (LEK)"/>
    <x v="39"/>
    <x v="0"/>
    <n v="19891.752160000007"/>
    <n v="23169.999999998701"/>
  </r>
  <r>
    <s v="14"/>
    <s v="14"/>
    <s v="Oční klinika"/>
    <x v="13"/>
    <s v="1494"/>
    <s v="centrum - oční"/>
    <s v="1494 - centrum - oční"/>
    <s v="50113016     léky - spotřeba v centrech (LEK)"/>
    <x v="39"/>
    <x v="1"/>
    <n v="24198.32923000001"/>
    <n v="24211.2278075916"/>
  </r>
  <r>
    <s v="14"/>
    <s v="14"/>
    <s v="Oční klinika"/>
    <x v="13"/>
    <s v="1494"/>
    <s v="centrum - oční"/>
    <s v="1494 - centrum - oční"/>
    <s v="50113016     léky - spotřeba v centrech (LEK)"/>
    <x v="39"/>
    <x v="2"/>
    <n v="18776.842740000011"/>
    <n v="26157.999135951501"/>
  </r>
  <r>
    <s v="15"/>
    <s v="15"/>
    <s v="Oddělení alergologie a kl. imun."/>
    <x v="14"/>
    <s v="1521"/>
    <s v="ambulance"/>
    <s v="1521 - ambulance"/>
    <s v="50113     Léky a léčiva"/>
    <x v="2"/>
    <x v="0"/>
    <n v="2979.2259600000007"/>
    <n v="1874.9439114628101"/>
  </r>
  <r>
    <s v="15"/>
    <s v="15"/>
    <s v="Oddělení alergologie a kl. imun."/>
    <x v="14"/>
    <s v="1521"/>
    <s v="ambulance"/>
    <s v="1521 - ambulance"/>
    <s v="50113     Léky a léčiva"/>
    <x v="2"/>
    <x v="1"/>
    <n v="3963.6110300000023"/>
    <n v="2966.5023415462601"/>
  </r>
  <r>
    <s v="15"/>
    <s v="15"/>
    <s v="Oddělení alergologie a kl. imun."/>
    <x v="14"/>
    <s v="1521"/>
    <s v="ambulance"/>
    <s v="1521 - ambulance"/>
    <s v="50113     Léky a léčiva"/>
    <x v="2"/>
    <x v="2"/>
    <n v="2232.1602300000013"/>
    <n v="3905.6754427195401"/>
  </r>
  <r>
    <s v="15"/>
    <s v="15"/>
    <s v="Oddělení alergologie a kl. imun."/>
    <x v="14"/>
    <s v="1521"/>
    <s v="ambulance"/>
    <s v="1521 - ambulance"/>
    <s v="50113001     léky - paušál+TISS (LEK)"/>
    <x v="3"/>
    <x v="0"/>
    <n v="43.111309999999001"/>
    <n v="51.999900960494003"/>
  </r>
  <r>
    <s v="15"/>
    <s v="15"/>
    <s v="Oddělení alergologie a kl. imun."/>
    <x v="14"/>
    <s v="1521"/>
    <s v="ambulance"/>
    <s v="1521 - ambulance"/>
    <s v="50113001     léky - paušál+TISS (LEK)"/>
    <x v="3"/>
    <x v="1"/>
    <n v="40.505009999999999"/>
    <n v="43.143966414569"/>
  </r>
  <r>
    <s v="15"/>
    <s v="15"/>
    <s v="Oddělení alergologie a kl. imun."/>
    <x v="14"/>
    <s v="1521"/>
    <s v="ambulance"/>
    <s v="1521 - ambulance"/>
    <s v="50113001     léky - paušál+TISS (LEK)"/>
    <x v="3"/>
    <x v="2"/>
    <n v="34.354430000000001"/>
    <n v="140.99999555884199"/>
  </r>
  <r>
    <s v="15"/>
    <s v="15"/>
    <s v="Oddělení alergologie a kl. imun."/>
    <x v="14"/>
    <s v="1521"/>
    <s v="ambulance"/>
    <s v="1521 - ambulance"/>
    <s v="50113007     léky - krev.deriváty ZUL (LEK)"/>
    <x v="45"/>
    <x v="0"/>
    <n v="454.04574999999994"/>
    <n v="0"/>
  </r>
  <r>
    <s v="15"/>
    <s v="15"/>
    <s v="Oddělení alergologie a kl. imun."/>
    <x v="14"/>
    <s v="1521"/>
    <s v="ambulance"/>
    <s v="1521 - ambulance"/>
    <s v="50113007     léky - krev.deriváty ZUL (LEK)"/>
    <x v="45"/>
    <x v="1"/>
    <n v="294.97906999999998"/>
    <n v="442.336590293391"/>
  </r>
  <r>
    <s v="15"/>
    <s v="15"/>
    <s v="Oddělení alergologie a kl. imun."/>
    <x v="14"/>
    <s v="1521"/>
    <s v="ambulance"/>
    <s v="1521 - ambulance"/>
    <s v="50113007     léky - krev.deriváty ZUL (LEK)"/>
    <x v="45"/>
    <x v="2"/>
    <n v="86.104700000000008"/>
    <n v="338.430544895813"/>
  </r>
  <r>
    <s v="15"/>
    <s v="15"/>
    <s v="Oddělení alergologie a kl. imun."/>
    <x v="14"/>
    <s v="1521"/>
    <s v="ambulance"/>
    <s v="1521 - ambulance"/>
    <s v="50113008     léky - krev.deriváty ZUL (TO)"/>
    <x v="5"/>
    <x v="0"/>
    <n v="2482.0689000000011"/>
    <n v="1822.94401050231"/>
  </r>
  <r>
    <s v="15"/>
    <s v="15"/>
    <s v="Oddělení alergologie a kl. imun."/>
    <x v="14"/>
    <s v="1521"/>
    <s v="ambulance"/>
    <s v="1521 - ambulance"/>
    <s v="50113008     léky - krev.deriváty ZUL (TO)"/>
    <x v="5"/>
    <x v="1"/>
    <n v="3628.1269500000021"/>
    <n v="2481.0217848382999"/>
  </r>
  <r>
    <s v="15"/>
    <s v="15"/>
    <s v="Oddělení alergologie a kl. imun."/>
    <x v="14"/>
    <s v="1521"/>
    <s v="ambulance"/>
    <s v="1521 - ambulance"/>
    <s v="50113008     léky - krev.deriváty ZUL (TO)"/>
    <x v="5"/>
    <x v="2"/>
    <n v="2111.7011000000011"/>
    <n v="3426.2449022648798"/>
  </r>
  <r>
    <s v="15"/>
    <s v="15"/>
    <s v="Oddělení alergologie a kl. imun."/>
    <x v="14"/>
    <s v="1521"/>
    <s v="ambulance"/>
    <s v="1521 - ambulance"/>
    <s v="50115     Zdravotnické prostředky"/>
    <x v="0"/>
    <x v="0"/>
    <n v="226.89152000000001"/>
    <n v="228.30428485553199"/>
  </r>
  <r>
    <s v="15"/>
    <s v="15"/>
    <s v="Oddělení alergologie a kl. imun."/>
    <x v="14"/>
    <s v="1521"/>
    <s v="ambulance"/>
    <s v="1521 - ambulance"/>
    <s v="50115     Zdravotnické prostředky"/>
    <x v="0"/>
    <x v="1"/>
    <n v="438.50782000000004"/>
    <n v="441.12542946351101"/>
  </r>
  <r>
    <s v="15"/>
    <s v="15"/>
    <s v="Oddělení alergologie a kl. imun."/>
    <x v="14"/>
    <s v="1521"/>
    <s v="ambulance"/>
    <s v="1521 - ambulance"/>
    <s v="50115     Zdravotnické prostředky"/>
    <x v="0"/>
    <x v="2"/>
    <n v="303.06705999999997"/>
    <n v="440.99998610956902"/>
  </r>
  <r>
    <s v="15"/>
    <s v="15"/>
    <s v="Oddělení alergologie a kl. imun."/>
    <x v="14"/>
    <s v="1521"/>
    <s v="ambulance"/>
    <s v="1521 - ambulance"/>
    <s v="50115020     diagnostika laboratorní-LEK (sk.Z_501)"/>
    <x v="10"/>
    <x v="0"/>
    <n v="7.8089999999000001E-2"/>
    <n v="0"/>
  </r>
  <r>
    <s v="15"/>
    <s v="15"/>
    <s v="Oddělení alergologie a kl. imun."/>
    <x v="14"/>
    <s v="1521"/>
    <s v="ambulance"/>
    <s v="1521 - ambulance"/>
    <s v="50115020     diagnostika laboratorní-LEK (sk.Z_501)"/>
    <x v="10"/>
    <x v="1"/>
    <n v="0"/>
    <n v="7.8089917290000005E-2"/>
  </r>
  <r>
    <s v="15"/>
    <s v="15"/>
    <s v="Oddělení alergologie a kl. imun."/>
    <x v="14"/>
    <s v="1521"/>
    <s v="ambulance"/>
    <s v="1521 - ambulance"/>
    <s v="50115050     obvazový materiál (sk.Z_502)"/>
    <x v="12"/>
    <x v="0"/>
    <n v="5.9293500000000003"/>
    <n v="8.3957019455089998"/>
  </r>
  <r>
    <s v="15"/>
    <s v="15"/>
    <s v="Oddělení alergologie a kl. imun."/>
    <x v="14"/>
    <s v="1521"/>
    <s v="ambulance"/>
    <s v="1521 - ambulance"/>
    <s v="50115050     obvazový materiál (sk.Z_502)"/>
    <x v="12"/>
    <x v="1"/>
    <n v="6.6524300000000007"/>
    <n v="5.942833647044"/>
  </r>
  <r>
    <s v="15"/>
    <s v="15"/>
    <s v="Oddělení alergologie a kl. imun."/>
    <x v="14"/>
    <s v="1521"/>
    <s v="ambulance"/>
    <s v="1521 - ambulance"/>
    <s v="50115050     obvazový materiál (sk.Z_502)"/>
    <x v="12"/>
    <x v="2"/>
    <n v="4.3869100000000003"/>
    <n v="5.9999998110139998"/>
  </r>
  <r>
    <s v="15"/>
    <s v="15"/>
    <s v="Oddělení alergologie a kl. imun."/>
    <x v="14"/>
    <s v="1521"/>
    <s v="ambulance"/>
    <s v="1521 - ambulance"/>
    <s v="50115060     ostatní ZPr - mimo níže uvedené (sk.Z_503)"/>
    <x v="1"/>
    <x v="0"/>
    <n v="210.86558000000002"/>
    <n v="211.31615347074299"/>
  </r>
  <r>
    <s v="15"/>
    <s v="15"/>
    <s v="Oddělení alergologie a kl. imun."/>
    <x v="14"/>
    <s v="1521"/>
    <s v="ambulance"/>
    <s v="1521 - ambulance"/>
    <s v="50115060     ostatní ZPr - mimo níže uvedené (sk.Z_503)"/>
    <x v="1"/>
    <x v="1"/>
    <n v="419.14118999999999"/>
    <n v="424.996798330415"/>
  </r>
  <r>
    <s v="15"/>
    <s v="15"/>
    <s v="Oddělení alergologie a kl. imun."/>
    <x v="14"/>
    <s v="1521"/>
    <s v="ambulance"/>
    <s v="1521 - ambulance"/>
    <s v="50115060     ostatní ZPr - mimo níže uvedené (sk.Z_503)"/>
    <x v="1"/>
    <x v="2"/>
    <n v="289.31695999999999"/>
    <n v="424.99998661352998"/>
  </r>
  <r>
    <s v="15"/>
    <s v="15"/>
    <s v="Oddělení alergologie a kl. imun."/>
    <x v="14"/>
    <s v="1521"/>
    <s v="ambulance"/>
    <s v="1521 - ambulance"/>
    <s v="50115063     ostatní ZPr - vaky, sety (sk.Z_528)"/>
    <x v="13"/>
    <x v="0"/>
    <n v="2.8535000000000004"/>
    <n v="2"/>
  </r>
  <r>
    <s v="15"/>
    <s v="15"/>
    <s v="Oddělení alergologie a kl. imun."/>
    <x v="14"/>
    <s v="1521"/>
    <s v="ambulance"/>
    <s v="1521 - ambulance"/>
    <s v="50115063     ostatní ZPr - vaky, sety (sk.Z_528)"/>
    <x v="13"/>
    <x v="1"/>
    <n v="2.9401999999999999"/>
    <n v="2.7953581506230001"/>
  </r>
  <r>
    <s v="15"/>
    <s v="15"/>
    <s v="Oddělení alergologie a kl. imun."/>
    <x v="14"/>
    <s v="1521"/>
    <s v="ambulance"/>
    <s v="1521 - ambulance"/>
    <s v="50115063     ostatní ZPr - vaky, sety (sk.Z_528)"/>
    <x v="13"/>
    <x v="2"/>
    <n v="0"/>
    <n v="2.9999999055069999"/>
  </r>
  <r>
    <s v="15"/>
    <s v="15"/>
    <s v="Oddělení alergologie a kl. imun."/>
    <x v="14"/>
    <s v="1521"/>
    <s v="ambulance"/>
    <s v="1521 - ambulance"/>
    <s v="50115065     ostatní ZPr - vpichovací materiál (sk.Z_530)"/>
    <x v="14"/>
    <x v="0"/>
    <n v="3.9399999999990003"/>
    <n v="3.8504105736969998"/>
  </r>
  <r>
    <s v="15"/>
    <s v="15"/>
    <s v="Oddělení alergologie a kl. imun."/>
    <x v="14"/>
    <s v="1521"/>
    <s v="ambulance"/>
    <s v="1521 - ambulance"/>
    <s v="50115065     ostatní ZPr - vpichovací materiál (sk.Z_530)"/>
    <x v="14"/>
    <x v="1"/>
    <n v="4.9380000000000006"/>
    <n v="4.0417141156529999"/>
  </r>
  <r>
    <s v="15"/>
    <s v="15"/>
    <s v="Oddělení alergologie a kl. imun."/>
    <x v="14"/>
    <s v="1521"/>
    <s v="ambulance"/>
    <s v="1521 - ambulance"/>
    <s v="50115065     ostatní ZPr - vpichovací materiál (sk.Z_530)"/>
    <x v="14"/>
    <x v="2"/>
    <n v="6.3410299999999999"/>
    <n v="3.9999998740090001"/>
  </r>
  <r>
    <s v="15"/>
    <s v="15"/>
    <s v="Oddělení alergologie a kl. imun."/>
    <x v="14"/>
    <s v="1521"/>
    <s v="ambulance"/>
    <s v="1521 - ambulance"/>
    <s v="50115067     ostatní ZPr - rukavice (sk.Z_532)"/>
    <x v="15"/>
    <x v="0"/>
    <n v="3.2250000000000001"/>
    <n v="2.7420188655820001"/>
  </r>
  <r>
    <s v="15"/>
    <s v="15"/>
    <s v="Oddělení alergologie a kl. imun."/>
    <x v="14"/>
    <s v="1521"/>
    <s v="ambulance"/>
    <s v="1521 - ambulance"/>
    <s v="50115067     ostatní ZPr - rukavice (sk.Z_532)"/>
    <x v="15"/>
    <x v="1"/>
    <n v="4.8360000000000003"/>
    <n v="3.2706353024829999"/>
  </r>
  <r>
    <s v="15"/>
    <s v="15"/>
    <s v="Oddělení alergologie a kl. imun."/>
    <x v="14"/>
    <s v="1521"/>
    <s v="ambulance"/>
    <s v="1521 - ambulance"/>
    <s v="50115067     ostatní ZPr - rukavice (sk.Z_532)"/>
    <x v="15"/>
    <x v="2"/>
    <n v="3.02216"/>
    <n v="2.9999999055069999"/>
  </r>
  <r>
    <s v="15"/>
    <s v="15"/>
    <s v="Oddělení alergologie a kl. imun."/>
    <x v="14"/>
    <s v="1594"/>
    <s v="centrum - alergologie"/>
    <s v="1594 - centrum - alergologie"/>
    <s v="50113     Léky a léčiva"/>
    <x v="2"/>
    <x v="0"/>
    <n v="2182.955240000002"/>
    <n v="2194.9999999998799"/>
  </r>
  <r>
    <s v="15"/>
    <s v="15"/>
    <s v="Oddělení alergologie a kl. imun."/>
    <x v="14"/>
    <s v="1594"/>
    <s v="centrum - alergologie"/>
    <s v="1594 - centrum - alergologie"/>
    <s v="50113     Léky a léčiva"/>
    <x v="2"/>
    <x v="1"/>
    <n v="2282.5625800000007"/>
    <n v="2287.97674415048"/>
  </r>
  <r>
    <s v="15"/>
    <s v="15"/>
    <s v="Oddělení alergologie a kl. imun."/>
    <x v="14"/>
    <s v="1594"/>
    <s v="centrum - alergologie"/>
    <s v="1594 - centrum - alergologie"/>
    <s v="50113     Léky a léčiva"/>
    <x v="2"/>
    <x v="2"/>
    <n v="1763.1011100000001"/>
    <n v="2390.9999246892899"/>
  </r>
  <r>
    <s v="15"/>
    <s v="15"/>
    <s v="Oddělení alergologie a kl. imun."/>
    <x v="14"/>
    <s v="1594"/>
    <s v="centrum - alergologie"/>
    <s v="1594 - centrum - alergologie"/>
    <s v="50113016     léky - spotřeba v centrech (LEK)"/>
    <x v="39"/>
    <x v="0"/>
    <n v="2182.955240000002"/>
    <n v="2194.9999999998799"/>
  </r>
  <r>
    <s v="15"/>
    <s v="15"/>
    <s v="Oddělení alergologie a kl. imun."/>
    <x v="14"/>
    <s v="1594"/>
    <s v="centrum - alergologie"/>
    <s v="1594 - centrum - alergologie"/>
    <s v="50113016     léky - spotřeba v centrech (LEK)"/>
    <x v="39"/>
    <x v="1"/>
    <n v="2282.5625800000007"/>
    <n v="2287.97674415048"/>
  </r>
  <r>
    <s v="15"/>
    <s v="15"/>
    <s v="Oddělení alergologie a kl. imun."/>
    <x v="14"/>
    <s v="1594"/>
    <s v="centrum - alergologie"/>
    <s v="1594 - centrum - alergologie"/>
    <s v="50113016     léky - spotřeba v centrech (LEK)"/>
    <x v="39"/>
    <x v="2"/>
    <n v="1763.1011100000001"/>
    <n v="2390.9999246892899"/>
  </r>
  <r>
    <s v="16"/>
    <s v="16"/>
    <s v="Klinika plicních nemocí a tuberkulózy"/>
    <x v="15"/>
    <s v="1601"/>
    <s v="vedení klinického pracoviště"/>
    <s v="1601 - vedení klinického pracoviště"/>
    <s v="50115     Zdravotnické prostředky"/>
    <x v="0"/>
    <x v="0"/>
    <n v="0"/>
    <n v="9.6215920834999996E-2"/>
  </r>
  <r>
    <s v="16"/>
    <s v="16"/>
    <s v="Klinika plicních nemocí a tuberkulózy"/>
    <x v="15"/>
    <s v="1601"/>
    <s v="vedení klinického pracoviště"/>
    <s v="1601 - vedení klinického pracoviště"/>
    <s v="50115060     ostatní ZPr - mimo níže uvedené (sk.Z_503)"/>
    <x v="1"/>
    <x v="0"/>
    <n v="0"/>
    <n v="9.6215920834999996E-2"/>
  </r>
  <r>
    <s v="16"/>
    <s v="16"/>
    <s v="Klinika plicních nemocí a tuberkulózy"/>
    <x v="15"/>
    <s v="1603"/>
    <m/>
    <s v="1603 - "/>
    <s v="50115     Zdravotnické prostředky"/>
    <x v="0"/>
    <x v="0"/>
    <n v="0"/>
    <n v="9.6215920834999996E-2"/>
  </r>
  <r>
    <s v="16"/>
    <s v="16"/>
    <s v="Klinika plicních nemocí a tuberkulózy"/>
    <x v="15"/>
    <s v="1603"/>
    <m/>
    <s v="1603 - "/>
    <s v="50115060     ostatní ZPr - mimo níže uvedené (sk.Z_503)"/>
    <x v="1"/>
    <x v="0"/>
    <n v="0"/>
    <n v="9.6215920834999996E-2"/>
  </r>
  <r>
    <s v="16"/>
    <s v="16"/>
    <s v="Klinika plicních nemocí a tuberkulózy"/>
    <x v="15"/>
    <s v="1604"/>
    <s v="IOP - modern.onkolog.centra"/>
    <s v="1604 - IOP - modern.onkolog.centra"/>
    <s v="50115     Zdravotnické prostředky"/>
    <x v="0"/>
    <x v="0"/>
    <n v="0"/>
    <n v="9.6215920834999996E-2"/>
  </r>
  <r>
    <s v="16"/>
    <s v="16"/>
    <s v="Klinika plicních nemocí a tuberkulózy"/>
    <x v="15"/>
    <s v="1604"/>
    <s v="IOP - modern.onkolog.centra"/>
    <s v="1604 - IOP - modern.onkolog.centra"/>
    <s v="50115060     ostatní ZPr - mimo níže uvedené (sk.Z_503)"/>
    <x v="1"/>
    <x v="0"/>
    <n v="0"/>
    <n v="9.6215920834999996E-2"/>
  </r>
  <r>
    <s v="16"/>
    <s v="16"/>
    <s v="Klinika plicních nemocí a tuberkulózy"/>
    <x v="15"/>
    <s v="1605"/>
    <s v="IOP - Mod.obn.přístr.vyb.traumatologického c."/>
    <s v="1605 - IOP - Mod.obn.přístr.vyb.traumatologického c."/>
    <s v="50115     Zdravotnické prostředky"/>
    <x v="0"/>
    <x v="0"/>
    <n v="0"/>
    <n v="9.6215920834999996E-2"/>
  </r>
  <r>
    <s v="16"/>
    <s v="16"/>
    <s v="Klinika plicních nemocí a tuberkulózy"/>
    <x v="15"/>
    <s v="1605"/>
    <s v="IOP - Mod.obn.přístr.vyb.traumatologického c."/>
    <s v="1605 - IOP - Mod.obn.přístr.vyb.traumatologického c."/>
    <s v="50115060     ostatní ZPr - mimo níže uvedené (sk.Z_503)"/>
    <x v="1"/>
    <x v="0"/>
    <n v="0"/>
    <n v="9.6215920834999996E-2"/>
  </r>
  <r>
    <s v="16"/>
    <s v="16"/>
    <s v="Klinika plicních nemocí a tuberkulózy"/>
    <x v="15"/>
    <s v="1606"/>
    <s v="IOP - Mod.tech.vyb.v oblasti prevence nozokomiál.infek."/>
    <s v="1606 - IOP - Mod.tech.vyb.v oblasti prevence nozokomiál.infek."/>
    <s v="50115     Zdravotnické prostředky"/>
    <x v="0"/>
    <x v="0"/>
    <n v="0"/>
    <n v="9.6215920834999996E-2"/>
  </r>
  <r>
    <s v="16"/>
    <s v="16"/>
    <s v="Klinika plicních nemocí a tuberkulózy"/>
    <x v="15"/>
    <s v="1606"/>
    <s v="IOP - Mod.tech.vyb.v oblasti prevence nozokomiál.infek."/>
    <s v="1606 - IOP - Mod.tech.vyb.v oblasti prevence nozokomiál.infek."/>
    <s v="50115060     ostatní ZPr - mimo níže uvedené (sk.Z_503)"/>
    <x v="1"/>
    <x v="0"/>
    <n v="0"/>
    <n v="9.6215920834999996E-2"/>
  </r>
  <r>
    <s v="16"/>
    <s v="16"/>
    <s v="Klinika plicních nemocí a tuberkulózy"/>
    <x v="15"/>
    <s v="1611"/>
    <s v="lůžkové oddělení 26"/>
    <s v="1611 - lůžkové oddělení 26"/>
    <s v="50113     Léky a léčiva"/>
    <x v="2"/>
    <x v="0"/>
    <n v="2811.8298300000019"/>
    <n v="2868.0196475765101"/>
  </r>
  <r>
    <s v="16"/>
    <s v="16"/>
    <s v="Klinika plicních nemocí a tuberkulózy"/>
    <x v="15"/>
    <s v="1611"/>
    <s v="lůžkové oddělení 26"/>
    <s v="1611 - lůžkové oddělení 26"/>
    <s v="50113     Léky a léčiva"/>
    <x v="2"/>
    <x v="1"/>
    <n v="2640.2160400000025"/>
    <n v="2439.9426912819799"/>
  </r>
  <r>
    <s v="16"/>
    <s v="16"/>
    <s v="Klinika plicních nemocí a tuberkulózy"/>
    <x v="15"/>
    <s v="1611"/>
    <s v="lůžkové oddělení 26"/>
    <s v="1611 - lůžkové oddělení 26"/>
    <s v="50113     Léky a léčiva"/>
    <x v="2"/>
    <x v="2"/>
    <n v="1694.436280000001"/>
    <n v="2771.4311814323401"/>
  </r>
  <r>
    <s v="16"/>
    <s v="16"/>
    <s v="Klinika plicních nemocí a tuberkulózy"/>
    <x v="15"/>
    <s v="1611"/>
    <s v="lůžkové oddělení 26"/>
    <s v="1611 - lůžkové oddělení 26"/>
    <s v="50113001     léky - paušál+TISS (LEK)"/>
    <x v="3"/>
    <x v="0"/>
    <n v="1929.0519600000007"/>
    <n v="2073.02407475885"/>
  </r>
  <r>
    <s v="16"/>
    <s v="16"/>
    <s v="Klinika plicních nemocí a tuberkulózy"/>
    <x v="15"/>
    <s v="1611"/>
    <s v="lůžkové oddělení 26"/>
    <s v="1611 - lůžkové oddělení 26"/>
    <s v="50113001     léky - paušál+TISS (LEK)"/>
    <x v="3"/>
    <x v="1"/>
    <n v="1540.357480000001"/>
    <n v="1667.151735572"/>
  </r>
  <r>
    <s v="16"/>
    <s v="16"/>
    <s v="Klinika plicních nemocí a tuberkulózy"/>
    <x v="15"/>
    <s v="1611"/>
    <s v="lůžkové oddělení 26"/>
    <s v="1611 - lůžkové oddělení 26"/>
    <s v="50113001     léky - paušál+TISS (LEK)"/>
    <x v="3"/>
    <x v="2"/>
    <n v="1053.2064899999998"/>
    <n v="1742.99994509972"/>
  </r>
  <r>
    <s v="16"/>
    <s v="16"/>
    <s v="Klinika plicních nemocí a tuberkulózy"/>
    <x v="15"/>
    <s v="1611"/>
    <s v="lůžkové oddělení 26"/>
    <s v="1611 - lůžkové oddělení 26"/>
    <s v="50113002     léky - parenterální výživa (LEK)"/>
    <x v="17"/>
    <x v="2"/>
    <n v="9.0963399999999996"/>
    <n v="12"/>
  </r>
  <r>
    <s v="16"/>
    <s v="16"/>
    <s v="Klinika plicních nemocí a tuberkulózy"/>
    <x v="15"/>
    <s v="1611"/>
    <s v="lůžkové oddělení 26"/>
    <s v="1611 - lůžkové oddělení 26"/>
    <s v="50113006     léky - enterální výživa (LEK)"/>
    <x v="4"/>
    <x v="0"/>
    <n v="30.104739999999001"/>
    <n v="26.744665968926"/>
  </r>
  <r>
    <s v="16"/>
    <s v="16"/>
    <s v="Klinika plicních nemocí a tuberkulózy"/>
    <x v="15"/>
    <s v="1611"/>
    <s v="lůžkové oddělení 26"/>
    <s v="1611 - lůžkové oddělení 26"/>
    <s v="50113006     léky - enterální výživa (LEK)"/>
    <x v="4"/>
    <x v="1"/>
    <n v="37.184220000000003"/>
    <n v="30.059763070900999"/>
  </r>
  <r>
    <s v="16"/>
    <s v="16"/>
    <s v="Klinika plicních nemocí a tuberkulózy"/>
    <x v="15"/>
    <s v="1611"/>
    <s v="lůžkové oddělení 26"/>
    <s v="1611 - lůžkové oddělení 26"/>
    <s v="50113006     léky - enterální výživa (LEK)"/>
    <x v="4"/>
    <x v="2"/>
    <n v="20.421590000000002"/>
    <n v="30"/>
  </r>
  <r>
    <s v="16"/>
    <s v="16"/>
    <s v="Klinika plicních nemocí a tuberkulózy"/>
    <x v="15"/>
    <s v="1611"/>
    <s v="lůžkové oddělení 26"/>
    <s v="1611 - lůžkové oddělení 26"/>
    <s v="50113008     léky - krev.deriváty ZUL (TO)"/>
    <x v="5"/>
    <x v="0"/>
    <n v="0"/>
    <n v="20.999355030471001"/>
  </r>
  <r>
    <s v="16"/>
    <s v="16"/>
    <s v="Klinika plicních nemocí a tuberkulózy"/>
    <x v="15"/>
    <s v="1611"/>
    <s v="lůžkové oddělení 26"/>
    <s v="1611 - lůžkové oddělení 26"/>
    <s v="50113008     léky - krev.deriváty ZUL (TO)"/>
    <x v="5"/>
    <x v="1"/>
    <n v="31.2455"/>
    <n v="0"/>
  </r>
  <r>
    <s v="16"/>
    <s v="16"/>
    <s v="Klinika plicních nemocí a tuberkulózy"/>
    <x v="15"/>
    <s v="1611"/>
    <s v="lůžkové oddělení 26"/>
    <s v="1611 - lůžkové oddělení 26"/>
    <s v="50113008     léky - krev.deriváty ZUL (TO)"/>
    <x v="5"/>
    <x v="2"/>
    <n v="3.8610000000000002"/>
    <n v="26.250929310421999"/>
  </r>
  <r>
    <s v="16"/>
    <s v="16"/>
    <s v="Klinika plicních nemocí a tuberkulózy"/>
    <x v="15"/>
    <s v="1611"/>
    <s v="lůžkové oddělení 26"/>
    <s v="1611 - lůžkové oddělení 26"/>
    <s v="50113013     léky (paušál) - antibiotika (LEK)"/>
    <x v="7"/>
    <x v="0"/>
    <n v="697.32792000000086"/>
    <n v="539.073610406905"/>
  </r>
  <r>
    <s v="16"/>
    <s v="16"/>
    <s v="Klinika plicních nemocí a tuberkulózy"/>
    <x v="15"/>
    <s v="1611"/>
    <s v="lůžkové oddělení 26"/>
    <s v="1611 - lůžkové oddělení 26"/>
    <s v="50113013     léky (paušál) - antibiotika (LEK)"/>
    <x v="7"/>
    <x v="1"/>
    <n v="814.228350000001"/>
    <n v="579.50639083478404"/>
  </r>
  <r>
    <s v="16"/>
    <s v="16"/>
    <s v="Klinika plicních nemocí a tuberkulózy"/>
    <x v="15"/>
    <s v="1611"/>
    <s v="lůžkové oddělení 26"/>
    <s v="1611 - lůžkové oddělení 26"/>
    <s v="50113013     léky (paušál) - antibiotika (LEK)"/>
    <x v="7"/>
    <x v="2"/>
    <n v="384.98413999999997"/>
    <n v="784.049507380303"/>
  </r>
  <r>
    <s v="16"/>
    <s v="16"/>
    <s v="Klinika plicních nemocí a tuberkulózy"/>
    <x v="15"/>
    <s v="1611"/>
    <s v="lůžkové oddělení 26"/>
    <s v="1611 - lůžkové oddělení 26"/>
    <s v="50113014     léky (paušál) - antimykotika (LEK)"/>
    <x v="8"/>
    <x v="0"/>
    <n v="78.808779999999999"/>
    <n v="129.38822920466399"/>
  </r>
  <r>
    <s v="16"/>
    <s v="16"/>
    <s v="Klinika plicních nemocí a tuberkulózy"/>
    <x v="15"/>
    <s v="1611"/>
    <s v="lůžkové oddělení 26"/>
    <s v="1611 - lůžkové oddělení 26"/>
    <s v="50113014     léky (paušál) - antimykotika (LEK)"/>
    <x v="8"/>
    <x v="1"/>
    <n v="139.16837000000001"/>
    <n v="90.000777776790997"/>
  </r>
  <r>
    <s v="16"/>
    <s v="16"/>
    <s v="Klinika plicních nemocí a tuberkulózy"/>
    <x v="15"/>
    <s v="1611"/>
    <s v="lůžkové oddělení 26"/>
    <s v="1611 - lůžkové oddělení 26"/>
    <s v="50113014     léky (paušál) - antimykotika (LEK)"/>
    <x v="8"/>
    <x v="2"/>
    <n v="167.08187000000001"/>
    <n v="107.057640053044"/>
  </r>
  <r>
    <s v="16"/>
    <s v="16"/>
    <s v="Klinika plicních nemocí a tuberkulózy"/>
    <x v="15"/>
    <s v="1611"/>
    <s v="lůžkové oddělení 26"/>
    <s v="1611 - lůžkové oddělení 26"/>
    <s v="50113190     medicinální plyny"/>
    <x v="9"/>
    <x v="0"/>
    <n v="76.536429999999015"/>
    <n v="78.789712206689003"/>
  </r>
  <r>
    <s v="16"/>
    <s v="16"/>
    <s v="Klinika plicních nemocí a tuberkulózy"/>
    <x v="15"/>
    <s v="1611"/>
    <s v="lůžkové oddělení 26"/>
    <s v="1611 - lůžkové oddělení 26"/>
    <s v="50113190     medicinální plyny"/>
    <x v="9"/>
    <x v="1"/>
    <n v="78.032120000000006"/>
    <n v="73.224024027504001"/>
  </r>
  <r>
    <s v="16"/>
    <s v="16"/>
    <s v="Klinika plicních nemocí a tuberkulózy"/>
    <x v="15"/>
    <s v="1611"/>
    <s v="lůžkové oddělení 26"/>
    <s v="1611 - lůžkové oddělení 26"/>
    <s v="50113190     medicinální plyny"/>
    <x v="9"/>
    <x v="2"/>
    <n v="55.784849999999999"/>
    <n v="69.073159588847005"/>
  </r>
  <r>
    <s v="16"/>
    <s v="16"/>
    <s v="Klinika plicních nemocí a tuberkulózy"/>
    <x v="15"/>
    <s v="1611"/>
    <s v="lůžkové oddělení 26"/>
    <s v="1611 - lůžkové oddělení 26"/>
    <s v="50115     Zdravotnické prostředky"/>
    <x v="0"/>
    <x v="0"/>
    <n v="260.96102999999999"/>
    <n v="216.49772793620301"/>
  </r>
  <r>
    <s v="16"/>
    <s v="16"/>
    <s v="Klinika plicních nemocí a tuberkulózy"/>
    <x v="15"/>
    <s v="1611"/>
    <s v="lůžkové oddělení 26"/>
    <s v="1611 - lůžkové oddělení 26"/>
    <s v="50115     Zdravotnické prostředky"/>
    <x v="0"/>
    <x v="1"/>
    <n v="302.46436"/>
    <n v="258.51069870023201"/>
  </r>
  <r>
    <s v="16"/>
    <s v="16"/>
    <s v="Klinika plicních nemocí a tuberkulózy"/>
    <x v="15"/>
    <s v="1611"/>
    <s v="lůžkové oddělení 26"/>
    <s v="1611 - lůžkové oddělení 26"/>
    <s v="50115     Zdravotnické prostředky"/>
    <x v="0"/>
    <x v="2"/>
    <n v="272.60545000000002"/>
    <n v="387.18031519203799"/>
  </r>
  <r>
    <s v="16"/>
    <s v="16"/>
    <s v="Klinika plicních nemocí a tuberkulózy"/>
    <x v="15"/>
    <s v="1611"/>
    <s v="lůžkové oddělení 26"/>
    <s v="1611 - lůžkové oddělení 26"/>
    <s v="50115020     diagnostika laboratorní-LEK (sk.Z_501)"/>
    <x v="10"/>
    <x v="0"/>
    <n v="36.599080000000001"/>
    <n v="16.637002818206"/>
  </r>
  <r>
    <s v="16"/>
    <s v="16"/>
    <s v="Klinika plicních nemocí a tuberkulózy"/>
    <x v="15"/>
    <s v="1611"/>
    <s v="lůžkové oddělení 26"/>
    <s v="1611 - lůžkové oddělení 26"/>
    <s v="50115020     diagnostika laboratorní-LEK (sk.Z_501)"/>
    <x v="10"/>
    <x v="1"/>
    <n v="47.144289999999998"/>
    <n v="34.599046212681003"/>
  </r>
  <r>
    <s v="16"/>
    <s v="16"/>
    <s v="Klinika plicních nemocí a tuberkulózy"/>
    <x v="15"/>
    <s v="1611"/>
    <s v="lůžkové oddělení 26"/>
    <s v="1611 - lůžkové oddělení 26"/>
    <s v="50115020     diagnostika laboratorní-LEK (sk.Z_501)"/>
    <x v="10"/>
    <x v="2"/>
    <n v="55.364249999999998"/>
    <n v="72.903641384742997"/>
  </r>
  <r>
    <s v="16"/>
    <s v="16"/>
    <s v="Klinika plicních nemocí a tuberkulózy"/>
    <x v="15"/>
    <s v="1611"/>
    <s v="lůžkové oddělení 26"/>
    <s v="1611 - lůžkové oddělení 26"/>
    <s v="50115040     laboratorní materiál (sk.Z_505)"/>
    <x v="11"/>
    <x v="0"/>
    <n v="3.897389999999"/>
    <n v="1.899932860454"/>
  </r>
  <r>
    <s v="16"/>
    <s v="16"/>
    <s v="Klinika plicních nemocí a tuberkulózy"/>
    <x v="15"/>
    <s v="1611"/>
    <s v="lůžkové oddělení 26"/>
    <s v="1611 - lůžkové oddělení 26"/>
    <s v="50115040     laboratorní materiál (sk.Z_505)"/>
    <x v="11"/>
    <x v="1"/>
    <n v="3.0410999999999997"/>
    <n v="3.897636386067"/>
  </r>
  <r>
    <s v="16"/>
    <s v="16"/>
    <s v="Klinika plicních nemocí a tuberkulózy"/>
    <x v="15"/>
    <s v="1611"/>
    <s v="lůžkové oddělení 26"/>
    <s v="1611 - lůžkové oddělení 26"/>
    <s v="50115040     laboratorní materiál (sk.Z_505)"/>
    <x v="11"/>
    <x v="2"/>
    <n v="3.4484400000000002"/>
    <n v="5.2766835400460002"/>
  </r>
  <r>
    <s v="16"/>
    <s v="16"/>
    <s v="Klinika plicních nemocí a tuberkulózy"/>
    <x v="15"/>
    <s v="1611"/>
    <s v="lůžkové oddělení 26"/>
    <s v="1611 - lůžkové oddělení 26"/>
    <s v="50115050     obvazový materiál (sk.Z_502)"/>
    <x v="12"/>
    <x v="0"/>
    <n v="14.104980000000001"/>
    <n v="13.643115413495"/>
  </r>
  <r>
    <s v="16"/>
    <s v="16"/>
    <s v="Klinika plicních nemocí a tuberkulózy"/>
    <x v="15"/>
    <s v="1611"/>
    <s v="lůžkové oddělení 26"/>
    <s v="1611 - lůžkové oddělení 26"/>
    <s v="50115050     obvazový materiál (sk.Z_502)"/>
    <x v="12"/>
    <x v="1"/>
    <n v="18.623079999999998"/>
    <n v="15.137055988848999"/>
  </r>
  <r>
    <s v="16"/>
    <s v="16"/>
    <s v="Klinika plicních nemocí a tuberkulózy"/>
    <x v="15"/>
    <s v="1611"/>
    <s v="lůžkové oddělení 26"/>
    <s v="1611 - lůžkové oddělení 26"/>
    <s v="50115050     obvazový materiál (sk.Z_502)"/>
    <x v="12"/>
    <x v="2"/>
    <n v="17.881959999999001"/>
    <n v="20.999999338550001"/>
  </r>
  <r>
    <s v="16"/>
    <s v="16"/>
    <s v="Klinika plicních nemocí a tuberkulózy"/>
    <x v="15"/>
    <s v="1611"/>
    <s v="lůžkové oddělení 26"/>
    <s v="1611 - lůžkové oddělení 26"/>
    <s v="50115060     ostatní ZPr - mimo níže uvedené (sk.Z_503)"/>
    <x v="1"/>
    <x v="0"/>
    <n v="157.86903000000001"/>
    <n v="145.34988040855001"/>
  </r>
  <r>
    <s v="16"/>
    <s v="16"/>
    <s v="Klinika plicních nemocí a tuberkulózy"/>
    <x v="15"/>
    <s v="1611"/>
    <s v="lůžkové oddělení 26"/>
    <s v="1611 - lůžkové oddělení 26"/>
    <s v="50115060     ostatní ZPr - mimo níže uvedené (sk.Z_503)"/>
    <x v="1"/>
    <x v="1"/>
    <n v="177.39684"/>
    <n v="155.86801915296201"/>
  </r>
  <r>
    <s v="16"/>
    <s v="16"/>
    <s v="Klinika plicních nemocí a tuberkulózy"/>
    <x v="15"/>
    <s v="1611"/>
    <s v="lůžkové oddělení 26"/>
    <s v="1611 - lůžkové oddělení 26"/>
    <s v="50115060     ostatní ZPr - mimo níže uvedené (sk.Z_503)"/>
    <x v="1"/>
    <x v="2"/>
    <n v="134.34442999999999"/>
    <n v="173.99999451942199"/>
  </r>
  <r>
    <s v="16"/>
    <s v="16"/>
    <s v="Klinika plicních nemocí a tuberkulózy"/>
    <x v="15"/>
    <s v="1611"/>
    <s v="lůžkové oddělení 26"/>
    <s v="1611 - lůžkové oddělení 26"/>
    <s v="50115063     ostatní ZPr - vaky, sety (sk.Z_528)"/>
    <x v="13"/>
    <x v="0"/>
    <n v="34.781849999999999"/>
    <n v="25.650273465375001"/>
  </r>
  <r>
    <s v="16"/>
    <s v="16"/>
    <s v="Klinika plicních nemocí a tuberkulózy"/>
    <x v="15"/>
    <s v="1611"/>
    <s v="lůžkové oddělení 26"/>
    <s v="1611 - lůžkové oddělení 26"/>
    <s v="50115063     ostatní ZPr - vaky, sety (sk.Z_528)"/>
    <x v="13"/>
    <x v="1"/>
    <n v="34.609300000000005"/>
    <n v="33.073149640994998"/>
  </r>
  <r>
    <s v="16"/>
    <s v="16"/>
    <s v="Klinika plicních nemocí a tuberkulózy"/>
    <x v="15"/>
    <s v="1611"/>
    <s v="lůžkové oddělení 26"/>
    <s v="1611 - lůžkové oddělení 26"/>
    <s v="50115063     ostatní ZPr - vaky, sety (sk.Z_528)"/>
    <x v="13"/>
    <x v="2"/>
    <n v="29.588650000000001"/>
    <n v="43.999998614105998"/>
  </r>
  <r>
    <s v="16"/>
    <s v="16"/>
    <s v="Klinika plicních nemocí a tuberkulózy"/>
    <x v="15"/>
    <s v="1611"/>
    <s v="lůžkové oddělení 26"/>
    <s v="1611 - lůžkové oddělení 26"/>
    <s v="50115065     ostatní ZPr - vpichovací materiál (sk.Z_530)"/>
    <x v="14"/>
    <x v="0"/>
    <n v="2.8380000000000001"/>
    <n v="2.8504105736969998"/>
  </r>
  <r>
    <s v="16"/>
    <s v="16"/>
    <s v="Klinika plicních nemocí a tuberkulózy"/>
    <x v="15"/>
    <s v="1611"/>
    <s v="lůžkové oddělení 26"/>
    <s v="1611 - lůžkové oddělení 26"/>
    <s v="50115065     ostatní ZPr - vpichovací materiál (sk.Z_530)"/>
    <x v="14"/>
    <x v="1"/>
    <n v="6.8670000000000009"/>
    <n v="3.9112651421889999"/>
  </r>
  <r>
    <s v="16"/>
    <s v="16"/>
    <s v="Klinika plicních nemocí a tuberkulózy"/>
    <x v="15"/>
    <s v="1611"/>
    <s v="lůžkové oddělení 26"/>
    <s v="1611 - lůžkové oddělení 26"/>
    <s v="50115065     ostatní ZPr - vpichovací materiál (sk.Z_530)"/>
    <x v="14"/>
    <x v="2"/>
    <n v="8.531839999999999"/>
    <n v="13.999999559033"/>
  </r>
  <r>
    <s v="16"/>
    <s v="16"/>
    <s v="Klinika plicních nemocí a tuberkulózy"/>
    <x v="15"/>
    <s v="1611"/>
    <s v="lůžkové oddělení 26"/>
    <s v="1611 - lůžkové oddělení 26"/>
    <s v="50115067     ostatní ZPr - rukavice (sk.Z_532)"/>
    <x v="15"/>
    <x v="0"/>
    <n v="10.870699999998999"/>
    <n v="10.451447972887999"/>
  </r>
  <r>
    <s v="16"/>
    <s v="16"/>
    <s v="Klinika plicních nemocí a tuberkulózy"/>
    <x v="15"/>
    <s v="1611"/>
    <s v="lůžkové oddělení 26"/>
    <s v="1611 - lůžkové oddělení 26"/>
    <s v="50115067     ostatní ZPr - rukavice (sk.Z_532)"/>
    <x v="15"/>
    <x v="1"/>
    <n v="14.78275"/>
    <n v="12.024526176486001"/>
  </r>
  <r>
    <s v="16"/>
    <s v="16"/>
    <s v="Klinika plicních nemocí a tuberkulózy"/>
    <x v="15"/>
    <s v="1611"/>
    <s v="lůžkové oddělení 26"/>
    <s v="1611 - lůžkové oddělení 26"/>
    <s v="50115067     ostatní ZPr - rukavice (sk.Z_532)"/>
    <x v="15"/>
    <x v="2"/>
    <n v="21.712130000000002"/>
    <n v="55.999998236134999"/>
  </r>
  <r>
    <s v="16"/>
    <s v="16"/>
    <s v="Klinika plicních nemocí a tuberkulózy"/>
    <x v="15"/>
    <s v="1611"/>
    <s v="lůžkové oddělení 26"/>
    <s v="1611 - lůžkové oddělení 26"/>
    <s v="50115070     ostatní ZPr - katetry (sk.Z_513)"/>
    <x v="16"/>
    <x v="0"/>
    <n v="0"/>
    <n v="1.5664423534999999E-2"/>
  </r>
  <r>
    <s v="16"/>
    <s v="16"/>
    <s v="Klinika plicních nemocí a tuberkulózy"/>
    <x v="15"/>
    <s v="1611"/>
    <s v="lůžkové oddělení 26"/>
    <s v="1611 - lůžkové oddělení 26"/>
    <s v="50115079     ostatní ZPr - intenzivní péče (sk.Z_542)"/>
    <x v="18"/>
    <x v="2"/>
    <n v="1.7337499999999999"/>
    <n v="0"/>
  </r>
  <r>
    <s v="16"/>
    <s v="16"/>
    <s v="Klinika plicních nemocí a tuberkulózy"/>
    <x v="15"/>
    <s v="1612"/>
    <s v="lůžkové oddělení 25"/>
    <s v="1612 - lůžkové oddělení 25"/>
    <s v="50113     Léky a léčiva"/>
    <x v="2"/>
    <x v="0"/>
    <n v="2165.2060199999996"/>
    <n v="2176.8644451076202"/>
  </r>
  <r>
    <s v="16"/>
    <s v="16"/>
    <s v="Klinika plicních nemocí a tuberkulózy"/>
    <x v="15"/>
    <s v="1612"/>
    <s v="lůžkové oddělení 25"/>
    <s v="1612 - lůžkové oddělení 25"/>
    <s v="50113     Léky a léčiva"/>
    <x v="2"/>
    <x v="1"/>
    <n v="1753.2863000000011"/>
    <n v="2002.3529598033599"/>
  </r>
  <r>
    <s v="16"/>
    <s v="16"/>
    <s v="Klinika plicních nemocí a tuberkulózy"/>
    <x v="15"/>
    <s v="1612"/>
    <s v="lůžkové oddělení 25"/>
    <s v="1612 - lůžkové oddělení 25"/>
    <s v="50113     Léky a léčiva"/>
    <x v="2"/>
    <x v="2"/>
    <n v="1312.8243200000002"/>
    <n v="1674.64026312648"/>
  </r>
  <r>
    <s v="16"/>
    <s v="16"/>
    <s v="Klinika plicních nemocí a tuberkulózy"/>
    <x v="15"/>
    <s v="1612"/>
    <s v="lůžkové oddělení 25"/>
    <s v="1612 - lůžkové oddělení 25"/>
    <s v="50113001     léky - paušál+TISS (LEK)"/>
    <x v="3"/>
    <x v="0"/>
    <n v="1666.8545899999999"/>
    <n v="1663.8596812004901"/>
  </r>
  <r>
    <s v="16"/>
    <s v="16"/>
    <s v="Klinika plicních nemocí a tuberkulózy"/>
    <x v="15"/>
    <s v="1612"/>
    <s v="lůžkové oddělení 25"/>
    <s v="1612 - lůžkové oddělení 25"/>
    <s v="50113001     léky - paušál+TISS (LEK)"/>
    <x v="3"/>
    <x v="1"/>
    <n v="1410.745110000001"/>
    <n v="1574.19912508112"/>
  </r>
  <r>
    <s v="16"/>
    <s v="16"/>
    <s v="Klinika plicních nemocí a tuberkulózy"/>
    <x v="15"/>
    <s v="1612"/>
    <s v="lůžkové oddělení 25"/>
    <s v="1612 - lůžkové oddělení 25"/>
    <s v="50113001     léky - paušál+TISS (LEK)"/>
    <x v="3"/>
    <x v="2"/>
    <n v="975.23323999999991"/>
    <n v="1454.9999541710299"/>
  </r>
  <r>
    <s v="16"/>
    <s v="16"/>
    <s v="Klinika plicních nemocí a tuberkulózy"/>
    <x v="15"/>
    <s v="1612"/>
    <s v="lůžkové oddělení 25"/>
    <s v="1612 - lůžkové oddělení 25"/>
    <s v="50113002     léky - parenterální výživa (LEK)"/>
    <x v="17"/>
    <x v="2"/>
    <n v="41.520090000000003"/>
    <n v="55"/>
  </r>
  <r>
    <s v="16"/>
    <s v="16"/>
    <s v="Klinika plicních nemocí a tuberkulózy"/>
    <x v="15"/>
    <s v="1612"/>
    <s v="lůžkové oddělení 25"/>
    <s v="1612 - lůžkové oddělení 25"/>
    <s v="50113006     léky - enterální výživa (LEK)"/>
    <x v="4"/>
    <x v="0"/>
    <n v="83.415509999998989"/>
    <n v="79.407827697697996"/>
  </r>
  <r>
    <s v="16"/>
    <s v="16"/>
    <s v="Klinika plicních nemocí a tuberkulózy"/>
    <x v="15"/>
    <s v="1612"/>
    <s v="lůžkové oddělení 25"/>
    <s v="1612 - lůžkové oddělení 25"/>
    <s v="50113006     léky - enterální výživa (LEK)"/>
    <x v="4"/>
    <x v="1"/>
    <n v="94.181799999999996"/>
    <n v="83.290885987999999"/>
  </r>
  <r>
    <s v="16"/>
    <s v="16"/>
    <s v="Klinika plicních nemocí a tuberkulózy"/>
    <x v="15"/>
    <s v="1612"/>
    <s v="lůžkové oddělení 25"/>
    <s v="1612 - lůžkové oddělení 25"/>
    <s v="50113006     léky - enterální výživa (LEK)"/>
    <x v="4"/>
    <x v="2"/>
    <n v="39.752029999999998"/>
    <n v="37"/>
  </r>
  <r>
    <s v="16"/>
    <s v="16"/>
    <s v="Klinika plicních nemocí a tuberkulózy"/>
    <x v="15"/>
    <s v="1612"/>
    <s v="lůžkové oddělení 25"/>
    <s v="1612 - lůžkové oddělení 25"/>
    <s v="50113008     léky - krev.deriváty ZUL (TO)"/>
    <x v="5"/>
    <x v="0"/>
    <n v="21.431999999999999"/>
    <n v="0"/>
  </r>
  <r>
    <s v="16"/>
    <s v="16"/>
    <s v="Klinika plicních nemocí a tuberkulózy"/>
    <x v="15"/>
    <s v="1612"/>
    <s v="lůžkové oddělení 25"/>
    <s v="1612 - lůžkové oddělení 25"/>
    <s v="50113008     léky - krev.deriváty ZUL (TO)"/>
    <x v="5"/>
    <x v="1"/>
    <n v="4.22262"/>
    <n v="20.000175613368"/>
  </r>
  <r>
    <s v="16"/>
    <s v="16"/>
    <s v="Klinika plicních nemocí a tuberkulózy"/>
    <x v="15"/>
    <s v="1612"/>
    <s v="lůžkové oddělení 25"/>
    <s v="1612 - lůžkové oddělení 25"/>
    <s v="50113008     léky - krev.deriváty ZUL (TO)"/>
    <x v="5"/>
    <x v="2"/>
    <n v="2.5739999999999998"/>
    <n v="8.2778202074260001"/>
  </r>
  <r>
    <s v="16"/>
    <s v="16"/>
    <s v="Klinika plicních nemocí a tuberkulózy"/>
    <x v="15"/>
    <s v="1612"/>
    <s v="lůžkové oddělení 25"/>
    <s v="1612 - lůžkové oddělení 25"/>
    <s v="50113013     léky (paušál) - antibiotika (LEK)"/>
    <x v="7"/>
    <x v="0"/>
    <n v="337.26191999999901"/>
    <n v="380.085307916305"/>
  </r>
  <r>
    <s v="16"/>
    <s v="16"/>
    <s v="Klinika plicních nemocí a tuberkulózy"/>
    <x v="15"/>
    <s v="1612"/>
    <s v="lůžkové oddělení 25"/>
    <s v="1612 - lůžkové oddělení 25"/>
    <s v="50113013     léky (paušál) - antibiotika (LEK)"/>
    <x v="7"/>
    <x v="1"/>
    <n v="95.220249999999993"/>
    <n v="257.46278880002097"/>
  </r>
  <r>
    <s v="16"/>
    <s v="16"/>
    <s v="Klinika plicních nemocí a tuberkulózy"/>
    <x v="15"/>
    <s v="1612"/>
    <s v="lůžkové oddělení 25"/>
    <s v="1612 - lůžkové oddělení 25"/>
    <s v="50113013     léky (paušál) - antibiotika (LEK)"/>
    <x v="7"/>
    <x v="2"/>
    <n v="218.10557"/>
    <n v="54.281490018492001"/>
  </r>
  <r>
    <s v="16"/>
    <s v="16"/>
    <s v="Klinika plicních nemocí a tuberkulózy"/>
    <x v="15"/>
    <s v="1612"/>
    <s v="lůžkové oddělení 25"/>
    <s v="1612 - lůžkové oddělení 25"/>
    <s v="50113014     léky (paušál) - antimykotika (LEK)"/>
    <x v="8"/>
    <x v="0"/>
    <n v="43.281500000000008"/>
    <n v="44.677039991487"/>
  </r>
  <r>
    <s v="16"/>
    <s v="16"/>
    <s v="Klinika plicních nemocí a tuberkulózy"/>
    <x v="15"/>
    <s v="1612"/>
    <s v="lůžkové oddělení 25"/>
    <s v="1612 - lůžkové oddělení 25"/>
    <s v="50113014     léky (paušál) - antimykotika (LEK)"/>
    <x v="8"/>
    <x v="1"/>
    <n v="140.63882000000001"/>
    <n v="55.000399398893002"/>
  </r>
  <r>
    <s v="16"/>
    <s v="16"/>
    <s v="Klinika plicních nemocí a tuberkulózy"/>
    <x v="15"/>
    <s v="1612"/>
    <s v="lůžkové oddělení 25"/>
    <s v="1612 - lůžkové oddělení 25"/>
    <s v="50113014     léky (paušál) - antimykotika (LEK)"/>
    <x v="8"/>
    <x v="2"/>
    <n v="27.773389999999999"/>
    <n v="57.550400604796998"/>
  </r>
  <r>
    <s v="16"/>
    <s v="16"/>
    <s v="Klinika plicních nemocí a tuberkulózy"/>
    <x v="15"/>
    <s v="1612"/>
    <s v="lůžkové oddělení 25"/>
    <s v="1612 - lůžkové oddělení 25"/>
    <s v="50113190     medicinální plyny"/>
    <x v="9"/>
    <x v="0"/>
    <n v="12.960499999999"/>
    <n v="8.8345883016349998"/>
  </r>
  <r>
    <s v="16"/>
    <s v="16"/>
    <s v="Klinika plicních nemocí a tuberkulózy"/>
    <x v="15"/>
    <s v="1612"/>
    <s v="lůžkové oddělení 25"/>
    <s v="1612 - lůžkové oddělení 25"/>
    <s v="50113190     medicinální plyny"/>
    <x v="9"/>
    <x v="1"/>
    <n v="8.2776999999999994"/>
    <n v="12.399584921957"/>
  </r>
  <r>
    <s v="16"/>
    <s v="16"/>
    <s v="Klinika plicních nemocí a tuberkulózy"/>
    <x v="15"/>
    <s v="1612"/>
    <s v="lůžkové oddělení 25"/>
    <s v="1612 - lůžkové oddělení 25"/>
    <s v="50113190     medicinální plyny"/>
    <x v="9"/>
    <x v="2"/>
    <n v="7.8659999999999997"/>
    <n v="7.5305981247330003"/>
  </r>
  <r>
    <s v="16"/>
    <s v="16"/>
    <s v="Klinika plicních nemocí a tuberkulózy"/>
    <x v="15"/>
    <s v="1612"/>
    <s v="lůžkové oddělení 25"/>
    <s v="1612 - lůžkové oddělení 25"/>
    <s v="50115     Zdravotnické prostředky"/>
    <x v="0"/>
    <x v="0"/>
    <n v="194.46411999999998"/>
    <n v="185.92572255947599"/>
  </r>
  <r>
    <s v="16"/>
    <s v="16"/>
    <s v="Klinika plicních nemocí a tuberkulózy"/>
    <x v="15"/>
    <s v="1612"/>
    <s v="lůžkové oddělení 25"/>
    <s v="1612 - lůžkové oddělení 25"/>
    <s v="50115     Zdravotnické prostředky"/>
    <x v="0"/>
    <x v="1"/>
    <n v="231.27221000000003"/>
    <n v="194.02413349691599"/>
  </r>
  <r>
    <s v="16"/>
    <s v="16"/>
    <s v="Klinika plicních nemocí a tuberkulózy"/>
    <x v="15"/>
    <s v="1612"/>
    <s v="lůžkové oddělení 25"/>
    <s v="1612 - lůžkové oddělení 25"/>
    <s v="50115     Zdravotnické prostředky"/>
    <x v="0"/>
    <x v="2"/>
    <n v="199.66524000000001"/>
    <n v="287.43276534007799"/>
  </r>
  <r>
    <s v="16"/>
    <s v="16"/>
    <s v="Klinika plicních nemocí a tuberkulózy"/>
    <x v="15"/>
    <s v="1612"/>
    <s v="lůžkové oddělení 25"/>
    <s v="1612 - lůžkové oddělení 25"/>
    <s v="50115020     diagnostika laboratorní-LEK (sk.Z_501)"/>
    <x v="10"/>
    <x v="0"/>
    <n v="16.491500000000002"/>
    <n v="31.229726930441998"/>
  </r>
  <r>
    <s v="16"/>
    <s v="16"/>
    <s v="Klinika plicních nemocí a tuberkulózy"/>
    <x v="15"/>
    <s v="1612"/>
    <s v="lůžkové oddělení 25"/>
    <s v="1612 - lůžkové oddělení 25"/>
    <s v="50115020     diagnostika laboratorní-LEK (sk.Z_501)"/>
    <x v="10"/>
    <x v="1"/>
    <n v="11.81663"/>
    <n v="16.491482532997001"/>
  </r>
  <r>
    <s v="16"/>
    <s v="16"/>
    <s v="Klinika plicních nemocí a tuberkulózy"/>
    <x v="15"/>
    <s v="1612"/>
    <s v="lůžkové oddělení 25"/>
    <s v="1612 - lůžkové oddělení 25"/>
    <s v="50115020     diagnostika laboratorní-LEK (sk.Z_501)"/>
    <x v="10"/>
    <x v="2"/>
    <n v="10.793089999999999"/>
    <n v="24.357808206468999"/>
  </r>
  <r>
    <s v="16"/>
    <s v="16"/>
    <s v="Klinika plicních nemocí a tuberkulózy"/>
    <x v="15"/>
    <s v="1612"/>
    <s v="lůžkové oddělení 25"/>
    <s v="1612 - lůžkové oddělení 25"/>
    <s v="50115040     laboratorní materiál (sk.Z_505)"/>
    <x v="11"/>
    <x v="0"/>
    <n v="0.92625000000000002"/>
    <n v="0.94990943338099998"/>
  </r>
  <r>
    <s v="16"/>
    <s v="16"/>
    <s v="Klinika plicních nemocí a tuberkulózy"/>
    <x v="15"/>
    <s v="1612"/>
    <s v="lůžkové oddělení 25"/>
    <s v="1612 - lůžkové oddělení 25"/>
    <s v="50115040     laboratorní materiál (sk.Z_505)"/>
    <x v="11"/>
    <x v="1"/>
    <n v="1.58656"/>
    <n v="1.926308555878"/>
  </r>
  <r>
    <s v="16"/>
    <s v="16"/>
    <s v="Klinika plicních nemocí a tuberkulózy"/>
    <x v="15"/>
    <s v="1612"/>
    <s v="lůžkové oddělení 25"/>
    <s v="1612 - lůžkové oddělení 25"/>
    <s v="50115040     laboratorní materiál (sk.Z_505)"/>
    <x v="11"/>
    <x v="2"/>
    <n v="1.9298299999999999"/>
    <n v="2.4702116909890002"/>
  </r>
  <r>
    <s v="16"/>
    <s v="16"/>
    <s v="Klinika plicních nemocí a tuberkulózy"/>
    <x v="15"/>
    <s v="1612"/>
    <s v="lůžkové oddělení 25"/>
    <s v="1612 - lůžkové oddělení 25"/>
    <s v="50115050     obvazový materiál (sk.Z_502)"/>
    <x v="12"/>
    <x v="0"/>
    <n v="11.905289999998999"/>
    <n v="15.742012399288001"/>
  </r>
  <r>
    <s v="16"/>
    <s v="16"/>
    <s v="Klinika plicních nemocí a tuberkulózy"/>
    <x v="15"/>
    <s v="1612"/>
    <s v="lůžkové oddělení 25"/>
    <s v="1612 - lůžkové oddělení 25"/>
    <s v="50115050     obvazový materiál (sk.Z_502)"/>
    <x v="12"/>
    <x v="1"/>
    <n v="18.136870000000002"/>
    <n v="13.932363780586"/>
  </r>
  <r>
    <s v="16"/>
    <s v="16"/>
    <s v="Klinika plicních nemocí a tuberkulózy"/>
    <x v="15"/>
    <s v="1612"/>
    <s v="lůžkové oddělení 25"/>
    <s v="1612 - lůžkové oddělení 25"/>
    <s v="50115050     obvazový materiál (sk.Z_502)"/>
    <x v="12"/>
    <x v="2"/>
    <n v="22.627850000000002"/>
    <n v="16.999999464540998"/>
  </r>
  <r>
    <s v="16"/>
    <s v="16"/>
    <s v="Klinika plicních nemocí a tuberkulózy"/>
    <x v="15"/>
    <s v="1612"/>
    <s v="lůžkové oddělení 25"/>
    <s v="1612 - lůžkové oddělení 25"/>
    <s v="50115060     ostatní ZPr - mimo níže uvedené (sk.Z_503)"/>
    <x v="1"/>
    <x v="0"/>
    <n v="119.11282999999902"/>
    <n v="105.687413042164"/>
  </r>
  <r>
    <s v="16"/>
    <s v="16"/>
    <s v="Klinika plicních nemocí a tuberkulózy"/>
    <x v="15"/>
    <s v="1612"/>
    <s v="lůžkové oddělení 25"/>
    <s v="1612 - lůžkové oddělení 25"/>
    <s v="50115060     ostatní ZPr - mimo níže uvedené (sk.Z_503)"/>
    <x v="1"/>
    <x v="1"/>
    <n v="144.34719000000001"/>
    <n v="117.112002781629"/>
  </r>
  <r>
    <s v="16"/>
    <s v="16"/>
    <s v="Klinika plicních nemocí a tuberkulózy"/>
    <x v="15"/>
    <s v="1612"/>
    <s v="lůžkové oddělení 25"/>
    <s v="1612 - lůžkové oddělení 25"/>
    <s v="50115060     ostatní ZPr - mimo níže uvedené (sk.Z_503)"/>
    <x v="1"/>
    <x v="2"/>
    <n v="115.25566999999999"/>
    <n v="135.60474937981601"/>
  </r>
  <r>
    <s v="16"/>
    <s v="16"/>
    <s v="Klinika plicních nemocí a tuberkulózy"/>
    <x v="15"/>
    <s v="1612"/>
    <s v="lůžkové oddělení 25"/>
    <s v="1612 - lůžkové oddělení 25"/>
    <s v="50115063     ostatní ZPr - vaky, sety (sk.Z_528)"/>
    <x v="13"/>
    <x v="0"/>
    <n v="33.674149999999997"/>
    <n v="25.650273465375001"/>
  </r>
  <r>
    <s v="16"/>
    <s v="16"/>
    <s v="Klinika plicních nemocí a tuberkulózy"/>
    <x v="15"/>
    <s v="1612"/>
    <s v="lůžkové oddělení 25"/>
    <s v="1612 - lůžkové oddělení 25"/>
    <s v="50115063     ostatní ZPr - vaky, sety (sk.Z_528)"/>
    <x v="13"/>
    <x v="1"/>
    <n v="29.600099999999998"/>
    <n v="31.988019722143001"/>
  </r>
  <r>
    <s v="16"/>
    <s v="16"/>
    <s v="Klinika plicních nemocí a tuberkulózy"/>
    <x v="15"/>
    <s v="1612"/>
    <s v="lůžkové oddělení 25"/>
    <s v="1612 - lůžkové oddělení 25"/>
    <s v="50115063     ostatní ZPr - vaky, sety (sk.Z_528)"/>
    <x v="13"/>
    <x v="2"/>
    <n v="23.095700000000001"/>
    <n v="39.999998740095997"/>
  </r>
  <r>
    <s v="16"/>
    <s v="16"/>
    <s v="Klinika plicních nemocí a tuberkulózy"/>
    <x v="15"/>
    <s v="1612"/>
    <s v="lůžkové oddělení 25"/>
    <s v="1612 - lůžkové oddělení 25"/>
    <s v="50115065     ostatní ZPr - vpichovací materiál (sk.Z_530)"/>
    <x v="14"/>
    <x v="0"/>
    <n v="3.8609999999999998"/>
    <n v="0"/>
  </r>
  <r>
    <s v="16"/>
    <s v="16"/>
    <s v="Klinika plicních nemocí a tuberkulózy"/>
    <x v="15"/>
    <s v="1612"/>
    <s v="lůžkové oddělení 25"/>
    <s v="1612 - lůžkové oddělení 25"/>
    <s v="50115065     ostatní ZPr - vpichovací materiál (sk.Z_530)"/>
    <x v="14"/>
    <x v="1"/>
    <n v="4.6441500000000007"/>
    <n v="3.9606746701870001"/>
  </r>
  <r>
    <s v="16"/>
    <s v="16"/>
    <s v="Klinika plicních nemocí a tuberkulózy"/>
    <x v="15"/>
    <s v="1612"/>
    <s v="lůžkové oddělení 25"/>
    <s v="1612 - lůžkové oddělení 25"/>
    <s v="50115065     ostatní ZPr - vpichovací materiál (sk.Z_530)"/>
    <x v="14"/>
    <x v="2"/>
    <n v="6.0543699999999996"/>
    <n v="14.999999527536"/>
  </r>
  <r>
    <s v="16"/>
    <s v="16"/>
    <s v="Klinika plicních nemocí a tuberkulózy"/>
    <x v="15"/>
    <s v="1612"/>
    <s v="lůžkové oddělení 25"/>
    <s v="1612 - lůžkové oddělení 25"/>
    <s v="50115067     ostatní ZPr - rukavice (sk.Z_532)"/>
    <x v="15"/>
    <x v="0"/>
    <n v="8.493099999999"/>
    <n v="6.650859247084"/>
  </r>
  <r>
    <s v="16"/>
    <s v="16"/>
    <s v="Klinika plicních nemocí a tuberkulózy"/>
    <x v="15"/>
    <s v="1612"/>
    <s v="lůžkové oddělení 25"/>
    <s v="1612 - lůžkové oddělení 25"/>
    <s v="50115067     ostatní ZPr - rukavice (sk.Z_532)"/>
    <x v="15"/>
    <x v="1"/>
    <n v="11.858679999999998"/>
    <n v="8.6132814534940003"/>
  </r>
  <r>
    <s v="16"/>
    <s v="16"/>
    <s v="Klinika plicních nemocí a tuberkulózy"/>
    <x v="15"/>
    <s v="1612"/>
    <s v="lůžkové oddělení 25"/>
    <s v="1612 - lůžkové oddělení 25"/>
    <s v="50115067     ostatní ZPr - rukavice (sk.Z_532)"/>
    <x v="15"/>
    <x v="2"/>
    <n v="17.656599999999997"/>
    <n v="52.999998330628003"/>
  </r>
  <r>
    <s v="16"/>
    <s v="16"/>
    <s v="Klinika plicních nemocí a tuberkulózy"/>
    <x v="15"/>
    <s v="1612"/>
    <s v="lůžkové oddělení 25"/>
    <s v="1612 - lůžkové oddělení 25"/>
    <s v="50115070     ostatní ZPr - katetry (sk.Z_513)"/>
    <x v="16"/>
    <x v="0"/>
    <n v="0"/>
    <n v="1.5528041738000001E-2"/>
  </r>
  <r>
    <s v="16"/>
    <s v="16"/>
    <s v="Klinika plicních nemocí a tuberkulózy"/>
    <x v="15"/>
    <s v="1612"/>
    <s v="lůžkové oddělení 25"/>
    <s v="1612 - lůžkové oddělení 25"/>
    <s v="50115070     ostatní ZPr - katetry (sk.Z_513)"/>
    <x v="16"/>
    <x v="1"/>
    <n v="9.2820300000000007"/>
    <n v="0"/>
  </r>
  <r>
    <s v="16"/>
    <s v="16"/>
    <s v="Klinika plicních nemocí a tuberkulózy"/>
    <x v="15"/>
    <s v="1612"/>
    <s v="lůžkové oddělení 25"/>
    <s v="1612 - lůžkové oddělení 25"/>
    <s v="50115079     ostatní ZPr - intenzivní péče (sk.Z_542)"/>
    <x v="18"/>
    <x v="2"/>
    <n v="2.2521299999999997"/>
    <n v="0"/>
  </r>
  <r>
    <s v="16"/>
    <s v="16"/>
    <s v="Klinika plicních nemocí a tuberkulózy"/>
    <x v="15"/>
    <s v="1613"/>
    <s v="lůžkové oddělení 24"/>
    <s v="1613 - lůžkové oddělení 24"/>
    <s v="50113     Léky a léčiva"/>
    <x v="2"/>
    <x v="0"/>
    <n v="20.471649999999002"/>
    <n v="41.491443354695001"/>
  </r>
  <r>
    <s v="16"/>
    <s v="16"/>
    <s v="Klinika plicních nemocí a tuberkulózy"/>
    <x v="15"/>
    <s v="1613"/>
    <s v="lůžkové oddělení 24"/>
    <s v="1613 - lůžkové oddělení 24"/>
    <s v="50113     Léky a léčiva"/>
    <x v="2"/>
    <x v="1"/>
    <n v="22.003909999999998"/>
    <n v="20.469287411137"/>
  </r>
  <r>
    <s v="16"/>
    <s v="16"/>
    <s v="Klinika plicních nemocí a tuberkulózy"/>
    <x v="15"/>
    <s v="1613"/>
    <s v="lůžkové oddělení 24"/>
    <s v="1613 - lůžkové oddělení 24"/>
    <s v="50113     Léky a léčiva"/>
    <x v="2"/>
    <x v="2"/>
    <n v="14.496539999998999"/>
    <n v="18.552537127821001"/>
  </r>
  <r>
    <s v="16"/>
    <s v="16"/>
    <s v="Klinika plicních nemocí a tuberkulózy"/>
    <x v="15"/>
    <s v="1613"/>
    <s v="lůžkové oddělení 24"/>
    <s v="1613 - lůžkové oddělení 24"/>
    <s v="50113001     léky - paušál+TISS (LEK)"/>
    <x v="3"/>
    <x v="0"/>
    <n v="18.685340000000004"/>
    <n v="33.545143776910997"/>
  </r>
  <r>
    <s v="16"/>
    <s v="16"/>
    <s v="Klinika plicních nemocí a tuberkulózy"/>
    <x v="15"/>
    <s v="1613"/>
    <s v="lůžkové oddělení 24"/>
    <s v="1613 - lůžkové oddělení 24"/>
    <s v="50113001     léky - paušál+TISS (LEK)"/>
    <x v="3"/>
    <x v="1"/>
    <n v="20.410689999999999"/>
    <n v="18.679862320535999"/>
  </r>
  <r>
    <s v="16"/>
    <s v="16"/>
    <s v="Klinika plicních nemocí a tuberkulózy"/>
    <x v="15"/>
    <s v="1613"/>
    <s v="lůžkové oddělení 24"/>
    <s v="1613 - lůžkové oddělení 24"/>
    <s v="50113001     léky - paušál+TISS (LEK)"/>
    <x v="3"/>
    <x v="2"/>
    <n v="14.135699999999"/>
    <n v="18.002448789294"/>
  </r>
  <r>
    <s v="16"/>
    <s v="16"/>
    <s v="Klinika plicních nemocí a tuberkulózy"/>
    <x v="15"/>
    <s v="1613"/>
    <s v="lůžkové oddělení 24"/>
    <s v="1613 - lůžkové oddělení 24"/>
    <s v="50113006     léky - enterální výživa (LEK)"/>
    <x v="4"/>
    <x v="0"/>
    <n v="1.1043000000000001"/>
    <n v="0"/>
  </r>
  <r>
    <s v="16"/>
    <s v="16"/>
    <s v="Klinika plicních nemocí a tuberkulózy"/>
    <x v="15"/>
    <s v="1613"/>
    <s v="lůžkové oddělení 24"/>
    <s v="1613 - lůžkové oddělení 24"/>
    <s v="50113006     léky - enterální výživa (LEK)"/>
    <x v="4"/>
    <x v="1"/>
    <n v="0"/>
    <n v="1.102650159383"/>
  </r>
  <r>
    <s v="16"/>
    <s v="16"/>
    <s v="Klinika plicních nemocí a tuberkulózy"/>
    <x v="15"/>
    <s v="1613"/>
    <s v="lůžkové oddělení 24"/>
    <s v="1613 - lůžkové oddělení 24"/>
    <s v="50113006     léky - enterální výživa (LEK)"/>
    <x v="4"/>
    <x v="2"/>
    <n v="0.36083999999999999"/>
    <n v="0"/>
  </r>
  <r>
    <s v="16"/>
    <s v="16"/>
    <s v="Klinika plicních nemocí a tuberkulózy"/>
    <x v="15"/>
    <s v="1613"/>
    <s v="lůžkové oddělení 24"/>
    <s v="1613 - lůžkové oddělení 24"/>
    <s v="50113013     léky (paušál) - antibiotika (LEK)"/>
    <x v="7"/>
    <x v="0"/>
    <n v="0.35014999999999996"/>
    <n v="2.4236001332080002"/>
  </r>
  <r>
    <s v="16"/>
    <s v="16"/>
    <s v="Klinika plicních nemocí a tuberkulózy"/>
    <x v="15"/>
    <s v="1613"/>
    <s v="lůžkové oddělení 24"/>
    <s v="1613 - lůžkové oddělení 24"/>
    <s v="50113013     léky (paušál) - antibiotika (LEK)"/>
    <x v="7"/>
    <x v="1"/>
    <n v="0.92745999999999995"/>
    <n v="0.354407282755"/>
  </r>
  <r>
    <s v="16"/>
    <s v="16"/>
    <s v="Klinika plicních nemocí a tuberkulózy"/>
    <x v="15"/>
    <s v="1613"/>
    <s v="lůžkové oddělení 24"/>
    <s v="1613 - lůžkové oddělení 24"/>
    <s v="50113013     léky (paušál) - antibiotika (LEK)"/>
    <x v="7"/>
    <x v="2"/>
    <n v="0"/>
    <n v="0.40724460961499998"/>
  </r>
  <r>
    <s v="16"/>
    <s v="16"/>
    <s v="Klinika plicních nemocí a tuberkulózy"/>
    <x v="15"/>
    <s v="1613"/>
    <s v="lůžkové oddělení 24"/>
    <s v="1613 - lůžkové oddělení 24"/>
    <s v="50113014     léky (paušál) - antimykotika (LEK)"/>
    <x v="8"/>
    <x v="0"/>
    <n v="0.33186000000000004"/>
    <n v="4.5547803849869997"/>
  </r>
  <r>
    <s v="16"/>
    <s v="16"/>
    <s v="Klinika plicních nemocí a tuberkulózy"/>
    <x v="15"/>
    <s v="1613"/>
    <s v="lůžkové oddělení 24"/>
    <s v="1613 - lůžkové oddělení 24"/>
    <s v="50113014     léky (paušál) - antimykotika (LEK)"/>
    <x v="8"/>
    <x v="1"/>
    <n v="0.66575999999999991"/>
    <n v="0.33236764846"/>
  </r>
  <r>
    <s v="16"/>
    <s v="16"/>
    <s v="Klinika plicních nemocí a tuberkulózy"/>
    <x v="15"/>
    <s v="1613"/>
    <s v="lůžkové oddělení 24"/>
    <s v="1613 - lůžkové oddělení 24"/>
    <s v="50113014     léky (paušál) - antimykotika (LEK)"/>
    <x v="8"/>
    <x v="2"/>
    <n v="0"/>
    <n v="0.142843728911"/>
  </r>
  <r>
    <s v="16"/>
    <s v="16"/>
    <s v="Klinika plicních nemocí a tuberkulózy"/>
    <x v="15"/>
    <s v="1613"/>
    <s v="lůžkové oddělení 24"/>
    <s v="1613 - lůžkové oddělení 24"/>
    <s v="50113190     medicinální plyny"/>
    <x v="9"/>
    <x v="0"/>
    <n v="0"/>
    <n v="0.96791905958799995"/>
  </r>
  <r>
    <s v="16"/>
    <s v="16"/>
    <s v="Klinika plicních nemocí a tuberkulózy"/>
    <x v="15"/>
    <s v="1613"/>
    <s v="lůžkové oddělení 24"/>
    <s v="1613 - lůžkové oddělení 24"/>
    <s v="50115     Zdravotnické prostředky"/>
    <x v="0"/>
    <x v="0"/>
    <n v="47.619979999998996"/>
    <n v="47.992957333772999"/>
  </r>
  <r>
    <s v="16"/>
    <s v="16"/>
    <s v="Klinika plicních nemocí a tuberkulózy"/>
    <x v="15"/>
    <s v="1613"/>
    <s v="lůžkové oddělení 24"/>
    <s v="1613 - lůžkové oddělení 24"/>
    <s v="50115     Zdravotnické prostředky"/>
    <x v="0"/>
    <x v="1"/>
    <n v="64.572069999999997"/>
    <n v="47.622518373242002"/>
  </r>
  <r>
    <s v="16"/>
    <s v="16"/>
    <s v="Klinika plicních nemocí a tuberkulózy"/>
    <x v="15"/>
    <s v="1613"/>
    <s v="lůžkové oddělení 24"/>
    <s v="1613 - lůžkové oddělení 24"/>
    <s v="50115     Zdravotnické prostředky"/>
    <x v="0"/>
    <x v="2"/>
    <n v="94.749470000000002"/>
    <n v="103.448706454416"/>
  </r>
  <r>
    <s v="16"/>
    <s v="16"/>
    <s v="Klinika plicních nemocí a tuberkulózy"/>
    <x v="15"/>
    <s v="1613"/>
    <s v="lůžkové oddělení 24"/>
    <s v="1613 - lůžkové oddělení 24"/>
    <s v="50115050     obvazový materiál (sk.Z_502)"/>
    <x v="12"/>
    <x v="0"/>
    <n v="1.2697800000000001"/>
    <n v="2.098896985793"/>
  </r>
  <r>
    <s v="16"/>
    <s v="16"/>
    <s v="Klinika plicních nemocí a tuberkulózy"/>
    <x v="15"/>
    <s v="1613"/>
    <s v="lůžkové oddělení 24"/>
    <s v="1613 - lůžkové oddělení 24"/>
    <s v="50115050     obvazový materiál (sk.Z_502)"/>
    <x v="12"/>
    <x v="1"/>
    <n v="6.5135899999999998"/>
    <n v="1.272667545067"/>
  </r>
  <r>
    <s v="16"/>
    <s v="16"/>
    <s v="Klinika plicních nemocí a tuberkulózy"/>
    <x v="15"/>
    <s v="1613"/>
    <s v="lůžkové oddělení 24"/>
    <s v="1613 - lůžkové oddělení 24"/>
    <s v="50115050     obvazový materiál (sk.Z_502)"/>
    <x v="12"/>
    <x v="2"/>
    <n v="0.18703"/>
    <n v="0.44870969866600002"/>
  </r>
  <r>
    <s v="16"/>
    <s v="16"/>
    <s v="Klinika plicních nemocí a tuberkulózy"/>
    <x v="15"/>
    <s v="1613"/>
    <s v="lůžkové oddělení 24"/>
    <s v="1613 - lůžkové oddělení 24"/>
    <s v="50115060     ostatní ZPr - mimo níže uvedené (sk.Z_503)"/>
    <x v="1"/>
    <x v="0"/>
    <n v="46.350199999998999"/>
    <n v="45.215440797490999"/>
  </r>
  <r>
    <s v="16"/>
    <s v="16"/>
    <s v="Klinika plicních nemocí a tuberkulózy"/>
    <x v="15"/>
    <s v="1613"/>
    <s v="lůžkové oddělení 24"/>
    <s v="1613 - lůžkové oddělení 24"/>
    <s v="50115060     ostatní ZPr - mimo níže uvedené (sk.Z_503)"/>
    <x v="1"/>
    <x v="1"/>
    <n v="57.413979999999995"/>
    <n v="46.349850828175001"/>
  </r>
  <r>
    <s v="16"/>
    <s v="16"/>
    <s v="Klinika plicních nemocí a tuberkulózy"/>
    <x v="15"/>
    <s v="1613"/>
    <s v="lůžkové oddělení 24"/>
    <s v="1613 - lůžkové oddělení 24"/>
    <s v="50115060     ostatní ZPr - mimo níže uvedené (sk.Z_503)"/>
    <x v="1"/>
    <x v="2"/>
    <n v="93.591639999999998"/>
    <n v="99.999996850241999"/>
  </r>
  <r>
    <s v="16"/>
    <s v="16"/>
    <s v="Klinika plicních nemocí a tuberkulózy"/>
    <x v="15"/>
    <s v="1613"/>
    <s v="lůžkové oddělení 24"/>
    <s v="1613 - lůžkové oddělení 24"/>
    <s v="50115065     ostatní ZPr - vpichovací materiál (sk.Z_530)"/>
    <x v="14"/>
    <x v="1"/>
    <n v="0.64450000000000007"/>
    <n v="0"/>
  </r>
  <r>
    <s v="16"/>
    <s v="16"/>
    <s v="Klinika plicních nemocí a tuberkulózy"/>
    <x v="15"/>
    <s v="1613"/>
    <s v="lůžkové oddělení 24"/>
    <s v="1613 - lůžkové oddělení 24"/>
    <s v="50115065     ostatní ZPr - vpichovací materiál (sk.Z_530)"/>
    <x v="14"/>
    <x v="2"/>
    <n v="0.753"/>
    <n v="2.9999999055069999"/>
  </r>
  <r>
    <s v="16"/>
    <s v="16"/>
    <s v="Klinika plicních nemocí a tuberkulózy"/>
    <x v="15"/>
    <s v="1613"/>
    <s v="lůžkové oddělení 24"/>
    <s v="1613 - lůžkové oddělení 24"/>
    <s v="50115067     ostatní ZPr - rukavice (sk.Z_532)"/>
    <x v="15"/>
    <x v="0"/>
    <n v="0"/>
    <n v="0.67861955048800005"/>
  </r>
  <r>
    <s v="16"/>
    <s v="16"/>
    <s v="Klinika plicních nemocí a tuberkulózy"/>
    <x v="15"/>
    <s v="1613"/>
    <s v="lůžkové oddělení 24"/>
    <s v="1613 - lůžkové oddělení 24"/>
    <s v="50115067     ostatní ZPr - rukavice (sk.Z_532)"/>
    <x v="15"/>
    <x v="2"/>
    <n v="0.21779999999999999"/>
    <n v="0"/>
  </r>
  <r>
    <s v="16"/>
    <s v="16"/>
    <s v="Klinika plicních nemocí a tuberkulózy"/>
    <x v="15"/>
    <s v="1621"/>
    <s v="ambulance"/>
    <s v="1621 - ambulance"/>
    <s v="50113     Léky a léčiva"/>
    <x v="2"/>
    <x v="0"/>
    <n v="2464.995960000002"/>
    <n v="2656.8509366805501"/>
  </r>
  <r>
    <s v="16"/>
    <s v="16"/>
    <s v="Klinika plicních nemocí a tuberkulózy"/>
    <x v="15"/>
    <s v="1621"/>
    <s v="ambulance"/>
    <s v="1621 - ambulance"/>
    <s v="50113     Léky a léčiva"/>
    <x v="2"/>
    <x v="1"/>
    <n v="1717.3590400000012"/>
    <n v="2725.0178920799599"/>
  </r>
  <r>
    <s v="16"/>
    <s v="16"/>
    <s v="Klinika plicních nemocí a tuberkulózy"/>
    <x v="15"/>
    <s v="1621"/>
    <s v="ambulance"/>
    <s v="1621 - ambulance"/>
    <s v="50113     Léky a léčiva"/>
    <x v="2"/>
    <x v="2"/>
    <n v="765.36818999999991"/>
    <n v="1892.5002060858101"/>
  </r>
  <r>
    <s v="16"/>
    <s v="16"/>
    <s v="Klinika plicních nemocí a tuberkulózy"/>
    <x v="15"/>
    <s v="1621"/>
    <s v="ambulance"/>
    <s v="1621 - ambulance"/>
    <s v="50113001     léky - paušál+TISS (LEK)"/>
    <x v="3"/>
    <x v="0"/>
    <n v="2422.3396800000023"/>
    <n v="2635.4063127373402"/>
  </r>
  <r>
    <s v="16"/>
    <s v="16"/>
    <s v="Klinika plicních nemocí a tuberkulózy"/>
    <x v="15"/>
    <s v="1621"/>
    <s v="ambulance"/>
    <s v="1621 - ambulance"/>
    <s v="50113001     léky - paušál+TISS (LEK)"/>
    <x v="3"/>
    <x v="1"/>
    <n v="1682.1332900000009"/>
    <n v="2684.1187496103398"/>
  </r>
  <r>
    <s v="16"/>
    <s v="16"/>
    <s v="Klinika plicních nemocí a tuberkulózy"/>
    <x v="15"/>
    <s v="1621"/>
    <s v="ambulance"/>
    <s v="1621 - ambulance"/>
    <s v="50113001     léky - paušál+TISS (LEK)"/>
    <x v="3"/>
    <x v="2"/>
    <n v="671.04875000000004"/>
    <n v="1836.99994213895"/>
  </r>
  <r>
    <s v="16"/>
    <s v="16"/>
    <s v="Klinika plicních nemocí a tuberkulózy"/>
    <x v="15"/>
    <s v="1621"/>
    <s v="ambulance"/>
    <s v="1621 - ambulance"/>
    <s v="50113013     léky (paušál) - antibiotika (LEK)"/>
    <x v="7"/>
    <x v="0"/>
    <n v="1.6049800000000001"/>
    <n v="0.111217548606"/>
  </r>
  <r>
    <s v="16"/>
    <s v="16"/>
    <s v="Klinika plicních nemocí a tuberkulózy"/>
    <x v="15"/>
    <s v="1621"/>
    <s v="ambulance"/>
    <s v="1621 - ambulance"/>
    <s v="50113013     léky (paušál) - antibiotika (LEK)"/>
    <x v="7"/>
    <x v="1"/>
    <n v="5.5550000000000002E-2"/>
    <n v="1.624494075903"/>
  </r>
  <r>
    <s v="16"/>
    <s v="16"/>
    <s v="Klinika plicních nemocí a tuberkulózy"/>
    <x v="15"/>
    <s v="1621"/>
    <s v="ambulance"/>
    <s v="1621 - ambulance"/>
    <s v="50113013     léky (paušál) - antibiotika (LEK)"/>
    <x v="7"/>
    <x v="2"/>
    <n v="0"/>
    <n v="0.15966150091100001"/>
  </r>
  <r>
    <s v="16"/>
    <s v="16"/>
    <s v="Klinika plicních nemocí a tuberkulózy"/>
    <x v="15"/>
    <s v="1621"/>
    <s v="ambulance"/>
    <s v="1621 - ambulance"/>
    <s v="50113017     léky - dle §16 (LEK)"/>
    <x v="40"/>
    <x v="2"/>
    <n v="62.288939999999997"/>
    <n v="0"/>
  </r>
  <r>
    <s v="16"/>
    <s v="16"/>
    <s v="Klinika plicních nemocí a tuberkulózy"/>
    <x v="15"/>
    <s v="1621"/>
    <s v="ambulance"/>
    <s v="1621 - ambulance"/>
    <s v="50113190     medicinální plyny"/>
    <x v="9"/>
    <x v="0"/>
    <n v="41.051299999999003"/>
    <n v="21.333406394598999"/>
  </r>
  <r>
    <s v="16"/>
    <s v="16"/>
    <s v="Klinika plicních nemocí a tuberkulózy"/>
    <x v="15"/>
    <s v="1621"/>
    <s v="ambulance"/>
    <s v="1621 - ambulance"/>
    <s v="50113190     medicinální plyny"/>
    <x v="9"/>
    <x v="1"/>
    <n v="35.170200000000001"/>
    <n v="39.274648393715999"/>
  </r>
  <r>
    <s v="16"/>
    <s v="16"/>
    <s v="Klinika plicních nemocí a tuberkulózy"/>
    <x v="15"/>
    <s v="1621"/>
    <s v="ambulance"/>
    <s v="1621 - ambulance"/>
    <s v="50113190     medicinální plyny"/>
    <x v="9"/>
    <x v="2"/>
    <n v="32.030500000000004"/>
    <n v="55.340602445950999"/>
  </r>
  <r>
    <s v="16"/>
    <s v="16"/>
    <s v="Klinika plicních nemocí a tuberkulózy"/>
    <x v="15"/>
    <s v="1621"/>
    <s v="ambulance"/>
    <s v="1621 - ambulance"/>
    <s v="50115     Zdravotnické prostředky"/>
    <x v="0"/>
    <x v="0"/>
    <n v="129.92166"/>
    <n v="129.56718623469101"/>
  </r>
  <r>
    <s v="16"/>
    <s v="16"/>
    <s v="Klinika plicních nemocí a tuberkulózy"/>
    <x v="15"/>
    <s v="1621"/>
    <s v="ambulance"/>
    <s v="1621 - ambulance"/>
    <s v="50115     Zdravotnické prostředky"/>
    <x v="0"/>
    <x v="1"/>
    <n v="164.44933000000003"/>
    <n v="129.74915730971401"/>
  </r>
  <r>
    <s v="16"/>
    <s v="16"/>
    <s v="Klinika plicních nemocí a tuberkulózy"/>
    <x v="15"/>
    <s v="1621"/>
    <s v="ambulance"/>
    <s v="1621 - ambulance"/>
    <s v="50115     Zdravotnické prostředky"/>
    <x v="0"/>
    <x v="2"/>
    <n v="225.46145999999999"/>
    <n v="284.482923961675"/>
  </r>
  <r>
    <s v="16"/>
    <s v="16"/>
    <s v="Klinika plicních nemocí a tuberkulózy"/>
    <x v="15"/>
    <s v="1621"/>
    <s v="ambulance"/>
    <s v="1621 - ambulance"/>
    <s v="50115020     diagnostika laboratorní-LEK (sk.Z_501)"/>
    <x v="10"/>
    <x v="0"/>
    <n v="0"/>
    <n v="0.91849790972099998"/>
  </r>
  <r>
    <s v="16"/>
    <s v="16"/>
    <s v="Klinika plicních nemocí a tuberkulózy"/>
    <x v="15"/>
    <s v="1621"/>
    <s v="ambulance"/>
    <s v="1621 - ambulance"/>
    <s v="50115020     diagnostika laboratorní-LEK (sk.Z_501)"/>
    <x v="10"/>
    <x v="2"/>
    <n v="3.959E-2"/>
    <n v="0"/>
  </r>
  <r>
    <s v="16"/>
    <s v="16"/>
    <s v="Klinika plicních nemocí a tuberkulózy"/>
    <x v="15"/>
    <s v="1621"/>
    <s v="ambulance"/>
    <s v="1621 - ambulance"/>
    <s v="50115040     laboratorní materiál (sk.Z_505)"/>
    <x v="11"/>
    <x v="0"/>
    <n v="0.46725000000000005"/>
    <n v="1.899932860454"/>
  </r>
  <r>
    <s v="16"/>
    <s v="16"/>
    <s v="Klinika plicních nemocí a tuberkulózy"/>
    <x v="15"/>
    <s v="1621"/>
    <s v="ambulance"/>
    <s v="1621 - ambulance"/>
    <s v="50115040     laboratorní materiál (sk.Z_505)"/>
    <x v="11"/>
    <x v="1"/>
    <n v="1.26915"/>
    <n v="0.46727953871400002"/>
  </r>
  <r>
    <s v="16"/>
    <s v="16"/>
    <s v="Klinika plicních nemocí a tuberkulózy"/>
    <x v="15"/>
    <s v="1621"/>
    <s v="ambulance"/>
    <s v="1621 - ambulance"/>
    <s v="50115040     laboratorní materiál (sk.Z_505)"/>
    <x v="11"/>
    <x v="2"/>
    <n v="0.23474999999999999"/>
    <n v="1.963121192329"/>
  </r>
  <r>
    <s v="16"/>
    <s v="16"/>
    <s v="Klinika plicních nemocí a tuberkulózy"/>
    <x v="15"/>
    <s v="1621"/>
    <s v="ambulance"/>
    <s v="1621 - ambulance"/>
    <s v="50115050     obvazový materiál (sk.Z_502)"/>
    <x v="12"/>
    <x v="0"/>
    <n v="3.3704700000000001"/>
    <n v="4.1979079739209997"/>
  </r>
  <r>
    <s v="16"/>
    <s v="16"/>
    <s v="Klinika plicních nemocí a tuberkulózy"/>
    <x v="15"/>
    <s v="1621"/>
    <s v="ambulance"/>
    <s v="1621 - ambulance"/>
    <s v="50115050     obvazový materiál (sk.Z_502)"/>
    <x v="12"/>
    <x v="1"/>
    <n v="5.1785899999999998"/>
    <n v="3.3781346222350002"/>
  </r>
  <r>
    <s v="16"/>
    <s v="16"/>
    <s v="Klinika plicních nemocí a tuberkulózy"/>
    <x v="15"/>
    <s v="1621"/>
    <s v="ambulance"/>
    <s v="1621 - ambulance"/>
    <s v="50115050     obvazový materiál (sk.Z_502)"/>
    <x v="12"/>
    <x v="2"/>
    <n v="3.9899"/>
    <n v="3.581581950081"/>
  </r>
  <r>
    <s v="16"/>
    <s v="16"/>
    <s v="Klinika plicních nemocí a tuberkulózy"/>
    <x v="15"/>
    <s v="1621"/>
    <s v="ambulance"/>
    <s v="1621 - ambulance"/>
    <s v="50115060     ostatní ZPr - mimo níže uvedené (sk.Z_503)"/>
    <x v="1"/>
    <x v="0"/>
    <n v="97.906659999998993"/>
    <n v="101.649954364118"/>
  </r>
  <r>
    <s v="16"/>
    <s v="16"/>
    <s v="Klinika plicních nemocí a tuberkulózy"/>
    <x v="15"/>
    <s v="1621"/>
    <s v="ambulance"/>
    <s v="1621 - ambulance"/>
    <s v="50115060     ostatní ZPr - mimo níže uvedené (sk.Z_503)"/>
    <x v="1"/>
    <x v="1"/>
    <n v="113.89416"/>
    <n v="95.905979789631004"/>
  </r>
  <r>
    <s v="16"/>
    <s v="16"/>
    <s v="Klinika plicních nemocí a tuberkulózy"/>
    <x v="15"/>
    <s v="1621"/>
    <s v="ambulance"/>
    <s v="1621 - ambulance"/>
    <s v="50115060     ostatní ZPr - mimo níže uvedené (sk.Z_503)"/>
    <x v="1"/>
    <x v="2"/>
    <n v="188.98422000000002"/>
    <n v="225.999989101838"/>
  </r>
  <r>
    <s v="16"/>
    <s v="16"/>
    <s v="Klinika plicních nemocí a tuberkulózy"/>
    <x v="15"/>
    <s v="1621"/>
    <s v="ambulance"/>
    <s v="1621 - ambulance"/>
    <s v="50115063     ostatní ZPr - vaky, sety (sk.Z_528)"/>
    <x v="13"/>
    <x v="0"/>
    <n v="17.873999999999"/>
    <n v="15.200124053150001"/>
  </r>
  <r>
    <s v="16"/>
    <s v="16"/>
    <s v="Klinika plicních nemocí a tuberkulózy"/>
    <x v="15"/>
    <s v="1621"/>
    <s v="ambulance"/>
    <s v="1621 - ambulance"/>
    <s v="50115063     ostatní ZPr - vaky, sety (sk.Z_528)"/>
    <x v="13"/>
    <x v="1"/>
    <n v="18.778000000000002"/>
    <n v="17.509806057209001"/>
  </r>
  <r>
    <s v="16"/>
    <s v="16"/>
    <s v="Klinika plicních nemocí a tuberkulózy"/>
    <x v="15"/>
    <s v="1621"/>
    <s v="ambulance"/>
    <s v="1621 - ambulance"/>
    <s v="50115063     ostatní ZPr - vaky, sety (sk.Z_528)"/>
    <x v="13"/>
    <x v="2"/>
    <n v="13.066000000000001"/>
    <n v="26.999999149564999"/>
  </r>
  <r>
    <s v="16"/>
    <s v="16"/>
    <s v="Klinika plicních nemocí a tuberkulózy"/>
    <x v="15"/>
    <s v="1621"/>
    <s v="ambulance"/>
    <s v="1621 - ambulance"/>
    <s v="50115065     ostatní ZPr - vpichovací materiál (sk.Z_530)"/>
    <x v="14"/>
    <x v="0"/>
    <n v="3.3329999999999997"/>
    <n v="0"/>
  </r>
  <r>
    <s v="16"/>
    <s v="16"/>
    <s v="Klinika plicních nemocí a tuberkulózy"/>
    <x v="15"/>
    <s v="1621"/>
    <s v="ambulance"/>
    <s v="1621 - ambulance"/>
    <s v="50115065     ostatní ZPr - vpichovací materiál (sk.Z_530)"/>
    <x v="14"/>
    <x v="1"/>
    <n v="14.801000000000002"/>
    <n v="4.4190439460590003"/>
  </r>
  <r>
    <s v="16"/>
    <s v="16"/>
    <s v="Klinika plicních nemocí a tuberkulózy"/>
    <x v="15"/>
    <s v="1621"/>
    <s v="ambulance"/>
    <s v="1621 - ambulance"/>
    <s v="50115065     ostatní ZPr - vpichovací materiál (sk.Z_530)"/>
    <x v="14"/>
    <x v="2"/>
    <n v="9.0649999999999995"/>
    <n v="14.417802398091"/>
  </r>
  <r>
    <s v="16"/>
    <s v="16"/>
    <s v="Klinika plicních nemocí a tuberkulózy"/>
    <x v="15"/>
    <s v="1621"/>
    <s v="ambulance"/>
    <s v="1621 - ambulance"/>
    <s v="50115067     ostatní ZPr - rukavice (sk.Z_532)"/>
    <x v="15"/>
    <x v="0"/>
    <n v="6.9702800000000007"/>
    <n v="5.7007690733240004"/>
  </r>
  <r>
    <s v="16"/>
    <s v="16"/>
    <s v="Klinika plicních nemocí a tuberkulózy"/>
    <x v="15"/>
    <s v="1621"/>
    <s v="ambulance"/>
    <s v="1621 - ambulance"/>
    <s v="50115067     ostatní ZPr - rukavice (sk.Z_532)"/>
    <x v="15"/>
    <x v="1"/>
    <n v="10.52843"/>
    <n v="8.0689133558629997"/>
  </r>
  <r>
    <s v="16"/>
    <s v="16"/>
    <s v="Klinika plicních nemocí a tuberkulózy"/>
    <x v="15"/>
    <s v="1621"/>
    <s v="ambulance"/>
    <s v="1621 - ambulance"/>
    <s v="50115067     ostatní ZPr - rukavice (sk.Z_532)"/>
    <x v="15"/>
    <x v="2"/>
    <n v="10.082000000000001"/>
    <n v="11.520430169768"/>
  </r>
  <r>
    <s v="16"/>
    <s v="16"/>
    <s v="Klinika plicních nemocí a tuberkulózy"/>
    <x v="15"/>
    <s v="1631"/>
    <s v="JIP 24A"/>
    <s v="1631 - JIP 24A"/>
    <s v="50113     Léky a léčiva"/>
    <x v="2"/>
    <x v="0"/>
    <n v="1623.0785799999999"/>
    <n v="1652.52227967306"/>
  </r>
  <r>
    <s v="16"/>
    <s v="16"/>
    <s v="Klinika plicních nemocí a tuberkulózy"/>
    <x v="15"/>
    <s v="1631"/>
    <s v="JIP 24A"/>
    <s v="1631 - JIP 24A"/>
    <s v="50113     Léky a léčiva"/>
    <x v="2"/>
    <x v="1"/>
    <n v="1996.4204000000009"/>
    <n v="1537.0101840024699"/>
  </r>
  <r>
    <s v="16"/>
    <s v="16"/>
    <s v="Klinika plicních nemocí a tuberkulózy"/>
    <x v="15"/>
    <s v="1631"/>
    <s v="JIP 24A"/>
    <s v="1631 - JIP 24A"/>
    <s v="50113     Léky a léčiva"/>
    <x v="2"/>
    <x v="2"/>
    <n v="1300.4115200000001"/>
    <n v="1728.3460440024601"/>
  </r>
  <r>
    <s v="16"/>
    <s v="16"/>
    <s v="Klinika plicních nemocí a tuberkulózy"/>
    <x v="15"/>
    <s v="1631"/>
    <s v="JIP 24A"/>
    <s v="1631 - JIP 24A"/>
    <s v="50113001     léky - paušál+TISS (LEK)"/>
    <x v="3"/>
    <x v="0"/>
    <n v="861.0217899999991"/>
    <n v="790.69381124581002"/>
  </r>
  <r>
    <s v="16"/>
    <s v="16"/>
    <s v="Klinika plicních nemocí a tuberkulózy"/>
    <x v="15"/>
    <s v="1631"/>
    <s v="JIP 24A"/>
    <s v="1631 - JIP 24A"/>
    <s v="50113001     léky - paušál+TISS (LEK)"/>
    <x v="3"/>
    <x v="1"/>
    <n v="832.69685000000095"/>
    <n v="852.05421374122795"/>
  </r>
  <r>
    <s v="16"/>
    <s v="16"/>
    <s v="Klinika plicních nemocí a tuberkulózy"/>
    <x v="15"/>
    <s v="1631"/>
    <s v="JIP 24A"/>
    <s v="1631 - JIP 24A"/>
    <s v="50113001     léky - paušál+TISS (LEK)"/>
    <x v="3"/>
    <x v="2"/>
    <n v="715.29627000000005"/>
    <n v="1003.99996837643"/>
  </r>
  <r>
    <s v="16"/>
    <s v="16"/>
    <s v="Klinika plicních nemocí a tuberkulózy"/>
    <x v="15"/>
    <s v="1631"/>
    <s v="JIP 24A"/>
    <s v="1631 - JIP 24A"/>
    <s v="50113002     léky - parenterální výživa (LEK)"/>
    <x v="17"/>
    <x v="2"/>
    <n v="108.30909"/>
    <n v="144"/>
  </r>
  <r>
    <s v="16"/>
    <s v="16"/>
    <s v="Klinika plicních nemocí a tuberkulózy"/>
    <x v="15"/>
    <s v="1631"/>
    <s v="JIP 24A"/>
    <s v="1631 - JIP 24A"/>
    <s v="50113006     léky - enterální výživa (LEK)"/>
    <x v="4"/>
    <x v="0"/>
    <n v="118.03372999999999"/>
    <n v="135.85361317314999"/>
  </r>
  <r>
    <s v="16"/>
    <s v="16"/>
    <s v="Klinika plicních nemocí a tuberkulózy"/>
    <x v="15"/>
    <s v="1631"/>
    <s v="JIP 24A"/>
    <s v="1631 - JIP 24A"/>
    <s v="50113006     léky - enterální výživa (LEK)"/>
    <x v="4"/>
    <x v="1"/>
    <n v="193.86897999999999"/>
    <n v="128.85738585268399"/>
  </r>
  <r>
    <s v="16"/>
    <s v="16"/>
    <s v="Klinika plicních nemocí a tuberkulózy"/>
    <x v="15"/>
    <s v="1631"/>
    <s v="JIP 24A"/>
    <s v="1631 - JIP 24A"/>
    <s v="50113006     léky - enterální výživa (LEK)"/>
    <x v="4"/>
    <x v="2"/>
    <n v="22.825940000000003"/>
    <n v="16"/>
  </r>
  <r>
    <s v="16"/>
    <s v="16"/>
    <s v="Klinika plicních nemocí a tuberkulózy"/>
    <x v="15"/>
    <s v="1631"/>
    <s v="JIP 24A"/>
    <s v="1631 - JIP 24A"/>
    <s v="50113007     léky - krev.deriváty ZUL (LEK)"/>
    <x v="45"/>
    <x v="0"/>
    <n v="0"/>
    <n v="0"/>
  </r>
  <r>
    <s v="16"/>
    <s v="16"/>
    <s v="Klinika plicních nemocí a tuberkulózy"/>
    <x v="15"/>
    <s v="1631"/>
    <s v="JIP 24A"/>
    <s v="1631 - JIP 24A"/>
    <s v="50113008     léky - krev.deriváty ZUL (TO)"/>
    <x v="5"/>
    <x v="0"/>
    <n v="43.775999999999996"/>
    <n v="0"/>
  </r>
  <r>
    <s v="16"/>
    <s v="16"/>
    <s v="Klinika plicních nemocí a tuberkulózy"/>
    <x v="15"/>
    <s v="1631"/>
    <s v="JIP 24A"/>
    <s v="1631 - JIP 24A"/>
    <s v="50113008     léky - krev.deriváty ZUL (TO)"/>
    <x v="5"/>
    <x v="1"/>
    <n v="41.349899999999998"/>
    <n v="44.000386349408998"/>
  </r>
  <r>
    <s v="16"/>
    <s v="16"/>
    <s v="Klinika plicních nemocí a tuberkulózy"/>
    <x v="15"/>
    <s v="1631"/>
    <s v="JIP 24A"/>
    <s v="1631 - JIP 24A"/>
    <s v="50113008     léky - krev.deriváty ZUL (TO)"/>
    <x v="5"/>
    <x v="2"/>
    <n v="0"/>
    <n v="27.644873778415"/>
  </r>
  <r>
    <s v="16"/>
    <s v="16"/>
    <s v="Klinika plicních nemocí a tuberkulózy"/>
    <x v="15"/>
    <s v="1631"/>
    <s v="JIP 24A"/>
    <s v="1631 - JIP 24A"/>
    <s v="50113012     léky - trombolýza (LEK)"/>
    <x v="19"/>
    <x v="1"/>
    <n v="4.9686700000000004"/>
    <n v="0"/>
  </r>
  <r>
    <s v="16"/>
    <s v="16"/>
    <s v="Klinika plicních nemocí a tuberkulózy"/>
    <x v="15"/>
    <s v="1631"/>
    <s v="JIP 24A"/>
    <s v="1631 - JIP 24A"/>
    <s v="50113013     léky (paušál) - antibiotika (LEK)"/>
    <x v="7"/>
    <x v="0"/>
    <n v="455.28796999999901"/>
    <n v="469.292738453472"/>
  </r>
  <r>
    <s v="16"/>
    <s v="16"/>
    <s v="Klinika plicních nemocí a tuberkulózy"/>
    <x v="15"/>
    <s v="1631"/>
    <s v="JIP 24A"/>
    <s v="1631 - JIP 24A"/>
    <s v="50113013     léky (paušál) - antibiotika (LEK)"/>
    <x v="7"/>
    <x v="1"/>
    <n v="430.68888000000004"/>
    <n v="323.42072107938998"/>
  </r>
  <r>
    <s v="16"/>
    <s v="16"/>
    <s v="Klinika plicních nemocí a tuberkulózy"/>
    <x v="15"/>
    <s v="1631"/>
    <s v="JIP 24A"/>
    <s v="1631 - JIP 24A"/>
    <s v="50113013     léky (paušál) - antibiotika (LEK)"/>
    <x v="7"/>
    <x v="2"/>
    <n v="285.33715999999998"/>
    <n v="444.71674712108199"/>
  </r>
  <r>
    <s v="16"/>
    <s v="16"/>
    <s v="Klinika plicních nemocí a tuberkulózy"/>
    <x v="15"/>
    <s v="1631"/>
    <s v="JIP 24A"/>
    <s v="1631 - JIP 24A"/>
    <s v="50113014     léky (paušál) - antimykotika (LEK)"/>
    <x v="8"/>
    <x v="0"/>
    <n v="102.98787000000002"/>
    <n v="213.44872505204799"/>
  </r>
  <r>
    <s v="16"/>
    <s v="16"/>
    <s v="Klinika plicních nemocí a tuberkulózy"/>
    <x v="15"/>
    <s v="1631"/>
    <s v="JIP 24A"/>
    <s v="1631 - JIP 24A"/>
    <s v="50113014     léky (paušál) - antimykotika (LEK)"/>
    <x v="8"/>
    <x v="1"/>
    <n v="446.58835999999997"/>
    <n v="148.52272163326899"/>
  </r>
  <r>
    <s v="16"/>
    <s v="16"/>
    <s v="Klinika plicních nemocí a tuberkulózy"/>
    <x v="15"/>
    <s v="1631"/>
    <s v="JIP 24A"/>
    <s v="1631 - JIP 24A"/>
    <s v="50113014     léky (paušál) - antimykotika (LEK)"/>
    <x v="8"/>
    <x v="2"/>
    <n v="135.16163"/>
    <n v="51.423396432318"/>
  </r>
  <r>
    <s v="16"/>
    <s v="16"/>
    <s v="Klinika plicních nemocí a tuberkulózy"/>
    <x v="15"/>
    <s v="1631"/>
    <s v="JIP 24A"/>
    <s v="1631 - JIP 24A"/>
    <s v="50113190     medicinální plyny"/>
    <x v="9"/>
    <x v="0"/>
    <n v="41.971220000000002"/>
    <n v="43.233391748576999"/>
  </r>
  <r>
    <s v="16"/>
    <s v="16"/>
    <s v="Klinika plicních nemocí a tuberkulózy"/>
    <x v="15"/>
    <s v="1631"/>
    <s v="JIP 24A"/>
    <s v="1631 - JIP 24A"/>
    <s v="50113190     medicinální plyny"/>
    <x v="9"/>
    <x v="1"/>
    <n v="46.258760000000002"/>
    <n v="40.154755346488997"/>
  </r>
  <r>
    <s v="16"/>
    <s v="16"/>
    <s v="Klinika plicních nemocí a tuberkulózy"/>
    <x v="15"/>
    <s v="1631"/>
    <s v="JIP 24A"/>
    <s v="1631 - JIP 24A"/>
    <s v="50113190     medicinální plyny"/>
    <x v="9"/>
    <x v="2"/>
    <n v="33.481430000000003"/>
    <n v="40.56105829421"/>
  </r>
  <r>
    <s v="16"/>
    <s v="16"/>
    <s v="Klinika plicních nemocí a tuberkulózy"/>
    <x v="15"/>
    <s v="1631"/>
    <s v="JIP 24A"/>
    <s v="1631 - JIP 24A"/>
    <s v="50115     Zdravotnické prostředky"/>
    <x v="0"/>
    <x v="0"/>
    <n v="342.15762000000007"/>
    <n v="344.12227042805199"/>
  </r>
  <r>
    <s v="16"/>
    <s v="16"/>
    <s v="Klinika plicních nemocí a tuberkulózy"/>
    <x v="15"/>
    <s v="1631"/>
    <s v="JIP 24A"/>
    <s v="1631 - JIP 24A"/>
    <s v="50115     Zdravotnické prostředky"/>
    <x v="0"/>
    <x v="1"/>
    <n v="543.61598000000004"/>
    <n v="388.07771419968702"/>
  </r>
  <r>
    <s v="16"/>
    <s v="16"/>
    <s v="Klinika plicních nemocí a tuberkulózy"/>
    <x v="15"/>
    <s v="1631"/>
    <s v="JIP 24A"/>
    <s v="1631 - JIP 24A"/>
    <s v="50115     Zdravotnické prostředky"/>
    <x v="0"/>
    <x v="2"/>
    <n v="398.15228999999999"/>
    <n v="540.82701531645205"/>
  </r>
  <r>
    <s v="16"/>
    <s v="16"/>
    <s v="Klinika plicních nemocí a tuberkulózy"/>
    <x v="15"/>
    <s v="1631"/>
    <s v="JIP 24A"/>
    <s v="1631 - JIP 24A"/>
    <s v="50115020     diagnostika laboratorní-LEK (sk.Z_501)"/>
    <x v="10"/>
    <x v="0"/>
    <n v="5.46835"/>
    <n v="13.709885652460001"/>
  </r>
  <r>
    <s v="16"/>
    <s v="16"/>
    <s v="Klinika plicních nemocí a tuberkulózy"/>
    <x v="15"/>
    <s v="1631"/>
    <s v="JIP 24A"/>
    <s v="1631 - JIP 24A"/>
    <s v="50115020     diagnostika laboratorní-LEK (sk.Z_501)"/>
    <x v="10"/>
    <x v="1"/>
    <n v="5.0457200000000002"/>
    <n v="7.4683458670749996"/>
  </r>
  <r>
    <s v="16"/>
    <s v="16"/>
    <s v="Klinika plicních nemocí a tuberkulózy"/>
    <x v="15"/>
    <s v="1631"/>
    <s v="JIP 24A"/>
    <s v="1631 - JIP 24A"/>
    <s v="50115020     diagnostika laboratorní-LEK (sk.Z_501)"/>
    <x v="10"/>
    <x v="2"/>
    <n v="3.6417800000000002"/>
    <n v="5.2449007480340004"/>
  </r>
  <r>
    <s v="16"/>
    <s v="16"/>
    <s v="Klinika plicních nemocí a tuberkulózy"/>
    <x v="15"/>
    <s v="1631"/>
    <s v="JIP 24A"/>
    <s v="1631 - JIP 24A"/>
    <s v="50115040     laboratorní materiál (sk.Z_505)"/>
    <x v="11"/>
    <x v="0"/>
    <n v="0.43771999999900002"/>
    <n v="0.94990943338099998"/>
  </r>
  <r>
    <s v="16"/>
    <s v="16"/>
    <s v="Klinika plicních nemocí a tuberkulózy"/>
    <x v="15"/>
    <s v="1631"/>
    <s v="JIP 24A"/>
    <s v="1631 - JIP 24A"/>
    <s v="50115040     laboratorní materiál (sk.Z_505)"/>
    <x v="11"/>
    <x v="1"/>
    <n v="1.5846499999999999"/>
    <n v="1.43774767188"/>
  </r>
  <r>
    <s v="16"/>
    <s v="16"/>
    <s v="Klinika plicních nemocí a tuberkulózy"/>
    <x v="15"/>
    <s v="1631"/>
    <s v="JIP 24A"/>
    <s v="1631 - JIP 24A"/>
    <s v="50115040     laboratorní materiál (sk.Z_505)"/>
    <x v="11"/>
    <x v="2"/>
    <n v="1.8921800000000002"/>
    <n v="3.9999998740090001"/>
  </r>
  <r>
    <s v="16"/>
    <s v="16"/>
    <s v="Klinika plicních nemocí a tuberkulózy"/>
    <x v="15"/>
    <s v="1631"/>
    <s v="JIP 24A"/>
    <s v="1631 - JIP 24A"/>
    <s v="50115050     obvazový materiál (sk.Z_502)"/>
    <x v="12"/>
    <x v="0"/>
    <n v="26.806769999998998"/>
    <n v="26.070995855776001"/>
  </r>
  <r>
    <s v="16"/>
    <s v="16"/>
    <s v="Klinika plicních nemocí a tuberkulózy"/>
    <x v="15"/>
    <s v="1631"/>
    <s v="JIP 24A"/>
    <s v="1631 - JIP 24A"/>
    <s v="50115050     obvazový materiál (sk.Z_502)"/>
    <x v="12"/>
    <x v="1"/>
    <n v="122.07399000000001"/>
    <n v="31.867731051425999"/>
  </r>
  <r>
    <s v="16"/>
    <s v="16"/>
    <s v="Klinika plicních nemocí a tuberkulózy"/>
    <x v="15"/>
    <s v="1631"/>
    <s v="JIP 24A"/>
    <s v="1631 - JIP 24A"/>
    <s v="50115050     obvazový materiál (sk.Z_502)"/>
    <x v="12"/>
    <x v="2"/>
    <n v="49.262500000000003"/>
    <n v="61.999998047150001"/>
  </r>
  <r>
    <s v="16"/>
    <s v="16"/>
    <s v="Klinika plicních nemocí a tuberkulózy"/>
    <x v="15"/>
    <s v="1631"/>
    <s v="JIP 24A"/>
    <s v="1631 - JIP 24A"/>
    <s v="50115060     ostatní ZPr - mimo níže uvedené (sk.Z_503)"/>
    <x v="1"/>
    <x v="0"/>
    <n v="230.23901999999998"/>
    <n v="239.291371155235"/>
  </r>
  <r>
    <s v="16"/>
    <s v="16"/>
    <s v="Klinika plicních nemocí a tuberkulózy"/>
    <x v="15"/>
    <s v="1631"/>
    <s v="JIP 24A"/>
    <s v="1631 - JIP 24A"/>
    <s v="50115060     ostatní ZPr - mimo níže uvedené (sk.Z_503)"/>
    <x v="1"/>
    <x v="1"/>
    <n v="299.09749999999997"/>
    <n v="266.23754043695197"/>
  </r>
  <r>
    <s v="16"/>
    <s v="16"/>
    <s v="Klinika plicních nemocí a tuberkulózy"/>
    <x v="15"/>
    <s v="1631"/>
    <s v="JIP 24A"/>
    <s v="1631 - JIP 24A"/>
    <s v="50115060     ostatní ZPr - mimo níže uvedené (sk.Z_503)"/>
    <x v="1"/>
    <x v="2"/>
    <n v="198.44260999999995"/>
    <n v="299.99999055072698"/>
  </r>
  <r>
    <s v="16"/>
    <s v="16"/>
    <s v="Klinika plicních nemocí a tuberkulózy"/>
    <x v="15"/>
    <s v="1631"/>
    <s v="JIP 24A"/>
    <s v="1631 - JIP 24A"/>
    <s v="50115063     ostatní ZPr - vaky, sety (sk.Z_528)"/>
    <x v="13"/>
    <x v="0"/>
    <n v="22.315550000000002"/>
    <n v="16.625177246075999"/>
  </r>
  <r>
    <s v="16"/>
    <s v="16"/>
    <s v="Klinika plicních nemocí a tuberkulózy"/>
    <x v="15"/>
    <s v="1631"/>
    <s v="JIP 24A"/>
    <s v="1631 - JIP 24A"/>
    <s v="50115063     ostatní ZPr - vaky, sety (sk.Z_528)"/>
    <x v="13"/>
    <x v="1"/>
    <n v="27.800780000000003"/>
    <n v="21.860856694637"/>
  </r>
  <r>
    <s v="16"/>
    <s v="16"/>
    <s v="Klinika plicních nemocí a tuberkulózy"/>
    <x v="15"/>
    <s v="1631"/>
    <s v="JIP 24A"/>
    <s v="1631 - JIP 24A"/>
    <s v="50115063     ostatní ZPr - vaky, sety (sk.Z_528)"/>
    <x v="13"/>
    <x v="2"/>
    <n v="16.273340000000001"/>
    <n v="38.999998771594001"/>
  </r>
  <r>
    <s v="16"/>
    <s v="16"/>
    <s v="Klinika plicních nemocí a tuberkulózy"/>
    <x v="15"/>
    <s v="1631"/>
    <s v="JIP 24A"/>
    <s v="1631 - JIP 24A"/>
    <s v="50115064     ostatní ZPr - šicí materiál (sk.Z_529)"/>
    <x v="21"/>
    <x v="0"/>
    <n v="4.0170200000000005"/>
    <n v="4.1167991736699996"/>
  </r>
  <r>
    <s v="16"/>
    <s v="16"/>
    <s v="Klinika plicních nemocí a tuberkulózy"/>
    <x v="15"/>
    <s v="1631"/>
    <s v="JIP 24A"/>
    <s v="1631 - JIP 24A"/>
    <s v="50115064     ostatní ZPr - šicí materiál (sk.Z_529)"/>
    <x v="21"/>
    <x v="1"/>
    <n v="4.3912800000000001"/>
    <n v="3.9383658450649999"/>
  </r>
  <r>
    <s v="16"/>
    <s v="16"/>
    <s v="Klinika plicních nemocí a tuberkulózy"/>
    <x v="15"/>
    <s v="1631"/>
    <s v="JIP 24A"/>
    <s v="1631 - JIP 24A"/>
    <s v="50115064     ostatní ZPr - šicí materiál (sk.Z_529)"/>
    <x v="21"/>
    <x v="2"/>
    <n v="2.9729900000000002"/>
    <n v="3.9999998740090001"/>
  </r>
  <r>
    <s v="16"/>
    <s v="16"/>
    <s v="Klinika plicních nemocí a tuberkulózy"/>
    <x v="15"/>
    <s v="1631"/>
    <s v="JIP 24A"/>
    <s v="1631 - JIP 24A"/>
    <s v="50115065     ostatní ZPr - vpichovací materiál (sk.Z_530)"/>
    <x v="14"/>
    <x v="0"/>
    <n v="2.8180000000000005"/>
    <n v="2.8504105736969998"/>
  </r>
  <r>
    <s v="16"/>
    <s v="16"/>
    <s v="Klinika plicních nemocí a tuberkulózy"/>
    <x v="15"/>
    <s v="1631"/>
    <s v="JIP 24A"/>
    <s v="1631 - JIP 24A"/>
    <s v="50115065     ostatní ZPr - vpichovací materiál (sk.Z_530)"/>
    <x v="14"/>
    <x v="1"/>
    <n v="4.7387600000000001"/>
    <n v="1.8907493653209999"/>
  </r>
  <r>
    <s v="16"/>
    <s v="16"/>
    <s v="Klinika plicních nemocí a tuberkulózy"/>
    <x v="15"/>
    <s v="1631"/>
    <s v="JIP 24A"/>
    <s v="1631 - JIP 24A"/>
    <s v="50115065     ostatní ZPr - vpichovací materiál (sk.Z_530)"/>
    <x v="14"/>
    <x v="2"/>
    <n v="9.0003600000000006"/>
    <n v="5.9395186574840002"/>
  </r>
  <r>
    <s v="16"/>
    <s v="16"/>
    <s v="Klinika plicních nemocí a tuberkulózy"/>
    <x v="15"/>
    <s v="1631"/>
    <s v="JIP 24A"/>
    <s v="1631 - JIP 24A"/>
    <s v="50115067     ostatní ZPr - rukavice (sk.Z_532)"/>
    <x v="15"/>
    <x v="0"/>
    <n v="22.706979999999998"/>
    <n v="21.290214542348998"/>
  </r>
  <r>
    <s v="16"/>
    <s v="16"/>
    <s v="Klinika plicních nemocí a tuberkulózy"/>
    <x v="15"/>
    <s v="1631"/>
    <s v="JIP 24A"/>
    <s v="1631 - JIP 24A"/>
    <s v="50115067     ostatní ZPr - rukavice (sk.Z_532)"/>
    <x v="15"/>
    <x v="1"/>
    <n v="33.186139999999995"/>
    <n v="26.028295774794"/>
  </r>
  <r>
    <s v="16"/>
    <s v="16"/>
    <s v="Klinika plicních nemocí a tuberkulózy"/>
    <x v="15"/>
    <s v="1631"/>
    <s v="JIP 24A"/>
    <s v="1631 - JIP 24A"/>
    <s v="50115067     ostatní ZPr - rukavice (sk.Z_532)"/>
    <x v="15"/>
    <x v="2"/>
    <n v="51.588149999999999"/>
    <n v="75.999997606183996"/>
  </r>
  <r>
    <s v="16"/>
    <s v="16"/>
    <s v="Klinika plicních nemocí a tuberkulózy"/>
    <x v="15"/>
    <s v="1631"/>
    <s v="JIP 24A"/>
    <s v="1631 - JIP 24A"/>
    <s v="50115070     ostatní ZPr - katetry (sk.Z_513)"/>
    <x v="16"/>
    <x v="0"/>
    <n v="27.348210000000002"/>
    <n v="19.217506795403001"/>
  </r>
  <r>
    <s v="16"/>
    <s v="16"/>
    <s v="Klinika plicních nemocí a tuberkulózy"/>
    <x v="15"/>
    <s v="1631"/>
    <s v="JIP 24A"/>
    <s v="1631 - JIP 24A"/>
    <s v="50115070     ostatní ZPr - katetry (sk.Z_513)"/>
    <x v="16"/>
    <x v="1"/>
    <n v="45.697160000000004"/>
    <n v="27.348081492534"/>
  </r>
  <r>
    <s v="16"/>
    <s v="16"/>
    <s v="Klinika plicních nemocí a tuberkulózy"/>
    <x v="15"/>
    <s v="1631"/>
    <s v="JIP 24A"/>
    <s v="1631 - JIP 24A"/>
    <s v="50115070     ostatní ZPr - katetry (sk.Z_513)"/>
    <x v="16"/>
    <x v="2"/>
    <n v="24.251910000000002"/>
    <n v="44.642611187257003"/>
  </r>
  <r>
    <s v="16"/>
    <s v="16"/>
    <s v="Klinika plicních nemocí a tuberkulózy"/>
    <x v="15"/>
    <s v="1631"/>
    <s v="JIP 24A"/>
    <s v="1631 - JIP 24A"/>
    <s v="50115079     ostatní ZPr - intenzivní péče (sk.Z_542)"/>
    <x v="18"/>
    <x v="2"/>
    <n v="40.826470000000008"/>
    <n v="0"/>
  </r>
  <r>
    <s v="16"/>
    <s v="16"/>
    <s v="Klinika plicních nemocí a tuberkulózy"/>
    <x v="15"/>
    <s v="1641"/>
    <s v="bronchologie"/>
    <s v="1641 - bronchologie"/>
    <s v="50113     Léky a léčiva"/>
    <x v="2"/>
    <x v="0"/>
    <n v="187.30877999999998"/>
    <n v="202.36117936490001"/>
  </r>
  <r>
    <s v="16"/>
    <s v="16"/>
    <s v="Klinika plicních nemocí a tuberkulózy"/>
    <x v="15"/>
    <s v="1641"/>
    <s v="bronchologie"/>
    <s v="1641 - bronchologie"/>
    <s v="50113     Léky a léčiva"/>
    <x v="2"/>
    <x v="1"/>
    <n v="177.63932"/>
    <n v="187.23827855661699"/>
  </r>
  <r>
    <s v="16"/>
    <s v="16"/>
    <s v="Klinika plicních nemocí a tuberkulózy"/>
    <x v="15"/>
    <s v="1641"/>
    <s v="bronchologie"/>
    <s v="1641 - bronchologie"/>
    <s v="50113     Léky a léčiva"/>
    <x v="2"/>
    <x v="2"/>
    <n v="117.99154"/>
    <n v="195.98033063139701"/>
  </r>
  <r>
    <s v="16"/>
    <s v="16"/>
    <s v="Klinika plicních nemocí a tuberkulózy"/>
    <x v="15"/>
    <s v="1641"/>
    <s v="bronchologie"/>
    <s v="1641 - bronchologie"/>
    <s v="50113001     léky - paušál+TISS (LEK)"/>
    <x v="3"/>
    <x v="0"/>
    <n v="186.7594"/>
    <n v="201.57499924920401"/>
  </r>
  <r>
    <s v="16"/>
    <s v="16"/>
    <s v="Klinika plicních nemocí a tuberkulózy"/>
    <x v="15"/>
    <s v="1641"/>
    <s v="bronchologie"/>
    <s v="1641 - bronchologie"/>
    <s v="50113001     léky - paušál+TISS (LEK)"/>
    <x v="3"/>
    <x v="1"/>
    <n v="177.63932"/>
    <n v="186.70465076183001"/>
  </r>
  <r>
    <s v="16"/>
    <s v="16"/>
    <s v="Klinika plicních nemocí a tuberkulózy"/>
    <x v="15"/>
    <s v="1641"/>
    <s v="bronchologie"/>
    <s v="1641 - bronchologie"/>
    <s v="50113001     léky - paušál+TISS (LEK)"/>
    <x v="3"/>
    <x v="2"/>
    <n v="117.02094"/>
    <n v="195.98033063139701"/>
  </r>
  <r>
    <s v="16"/>
    <s v="16"/>
    <s v="Klinika plicních nemocí a tuberkulózy"/>
    <x v="15"/>
    <s v="1641"/>
    <s v="bronchologie"/>
    <s v="1641 - bronchologie"/>
    <s v="50113013     léky (paušál) - antibiotika (LEK)"/>
    <x v="7"/>
    <x v="0"/>
    <n v="0"/>
    <n v="0.24982908345900001"/>
  </r>
  <r>
    <s v="16"/>
    <s v="16"/>
    <s v="Klinika plicních nemocí a tuberkulózy"/>
    <x v="15"/>
    <s v="1641"/>
    <s v="bronchologie"/>
    <s v="1641 - bronchologie"/>
    <s v="50113014     léky (paušál) - antimykotika (LEK)"/>
    <x v="8"/>
    <x v="0"/>
    <n v="0.17907999999999999"/>
    <n v="0.16174774234799999"/>
  </r>
  <r>
    <s v="16"/>
    <s v="16"/>
    <s v="Klinika plicních nemocí a tuberkulózy"/>
    <x v="15"/>
    <s v="1641"/>
    <s v="bronchologie"/>
    <s v="1641 - bronchologie"/>
    <s v="50113014     léky (paušál) - antimykotika (LEK)"/>
    <x v="8"/>
    <x v="1"/>
    <n v="0"/>
    <n v="0.179353939873"/>
  </r>
  <r>
    <s v="16"/>
    <s v="16"/>
    <s v="Klinika plicních nemocí a tuberkulózy"/>
    <x v="15"/>
    <s v="1641"/>
    <s v="bronchologie"/>
    <s v="1641 - bronchologie"/>
    <s v="50113190     medicinální plyny"/>
    <x v="9"/>
    <x v="0"/>
    <n v="0.37030000000000002"/>
    <n v="0.37460328988800001"/>
  </r>
  <r>
    <s v="16"/>
    <s v="16"/>
    <s v="Klinika plicních nemocí a tuberkulózy"/>
    <x v="15"/>
    <s v="1641"/>
    <s v="bronchologie"/>
    <s v="1641 - bronchologie"/>
    <s v="50113190     medicinální plyny"/>
    <x v="9"/>
    <x v="1"/>
    <n v="0"/>
    <n v="0.35427385491300001"/>
  </r>
  <r>
    <s v="16"/>
    <s v="16"/>
    <s v="Klinika plicních nemocí a tuberkulózy"/>
    <x v="15"/>
    <s v="1641"/>
    <s v="bronchologie"/>
    <s v="1641 - bronchologie"/>
    <s v="50113190     medicinální plyny"/>
    <x v="9"/>
    <x v="2"/>
    <n v="0.97059999999999991"/>
    <n v="0"/>
  </r>
  <r>
    <s v="16"/>
    <s v="16"/>
    <s v="Klinika plicních nemocí a tuberkulózy"/>
    <x v="15"/>
    <s v="1641"/>
    <s v="bronchologie"/>
    <s v="1641 - bronchologie"/>
    <s v="50115     Zdravotnické prostředky"/>
    <x v="0"/>
    <x v="0"/>
    <n v="1446.7116499999997"/>
    <n v="1469.15731825336"/>
  </r>
  <r>
    <s v="16"/>
    <s v="16"/>
    <s v="Klinika plicních nemocí a tuberkulózy"/>
    <x v="15"/>
    <s v="1641"/>
    <s v="bronchologie"/>
    <s v="1641 - bronchologie"/>
    <s v="50115     Zdravotnické prostředky"/>
    <x v="0"/>
    <x v="1"/>
    <n v="1396.3382900000011"/>
    <n v="1708.5324135406199"/>
  </r>
  <r>
    <s v="16"/>
    <s v="16"/>
    <s v="Klinika plicních nemocí a tuberkulózy"/>
    <x v="15"/>
    <s v="1641"/>
    <s v="bronchologie"/>
    <s v="1641 - bronchologie"/>
    <s v="50115     Zdravotnické prostředky"/>
    <x v="0"/>
    <x v="2"/>
    <n v="1184.51575"/>
    <n v="1859.86693392335"/>
  </r>
  <r>
    <s v="16"/>
    <s v="16"/>
    <s v="Klinika plicních nemocí a tuberkulózy"/>
    <x v="15"/>
    <s v="1641"/>
    <s v="bronchologie"/>
    <s v="1641 - bronchologie"/>
    <s v="50115004     implant.umělé těl.náhr.-kovové (s.Z_506)"/>
    <x v="25"/>
    <x v="1"/>
    <n v="-18.369689999999999"/>
    <n v="0"/>
  </r>
  <r>
    <s v="16"/>
    <s v="16"/>
    <s v="Klinika plicních nemocí a tuberkulózy"/>
    <x v="15"/>
    <s v="1641"/>
    <s v="bronchologie"/>
    <s v="1641 - bronchologie"/>
    <s v="50115020     diagnostika laboratorní-LEK (sk.Z_501)"/>
    <x v="10"/>
    <x v="0"/>
    <n v="13.051869999998999"/>
    <n v="15.911728936042"/>
  </r>
  <r>
    <s v="16"/>
    <s v="16"/>
    <s v="Klinika plicních nemocí a tuberkulózy"/>
    <x v="15"/>
    <s v="1641"/>
    <s v="bronchologie"/>
    <s v="1641 - bronchologie"/>
    <s v="50115020     diagnostika laboratorní-LEK (sk.Z_501)"/>
    <x v="10"/>
    <x v="1"/>
    <n v="11.70359"/>
    <n v="18.051857834976001"/>
  </r>
  <r>
    <s v="16"/>
    <s v="16"/>
    <s v="Klinika plicních nemocí a tuberkulózy"/>
    <x v="15"/>
    <s v="1641"/>
    <s v="bronchologie"/>
    <s v="1641 - bronchologie"/>
    <s v="50115020     diagnostika laboratorní-LEK (sk.Z_501)"/>
    <x v="10"/>
    <x v="2"/>
    <n v="8.1412899999999997"/>
    <n v="19.493647392926999"/>
  </r>
  <r>
    <s v="16"/>
    <s v="16"/>
    <s v="Klinika plicních nemocí a tuberkulózy"/>
    <x v="15"/>
    <s v="1641"/>
    <s v="bronchologie"/>
    <s v="1641 - bronchologie"/>
    <s v="50115040     laboratorní materiál (sk.Z_505)"/>
    <x v="11"/>
    <x v="0"/>
    <n v="3.8354600000000012"/>
    <n v="2.8708883116370001"/>
  </r>
  <r>
    <s v="16"/>
    <s v="16"/>
    <s v="Klinika plicních nemocí a tuberkulózy"/>
    <x v="15"/>
    <s v="1641"/>
    <s v="bronchologie"/>
    <s v="1641 - bronchologie"/>
    <s v="50115040     laboratorní materiál (sk.Z_505)"/>
    <x v="11"/>
    <x v="1"/>
    <n v="6.51004"/>
    <n v="5.8356392527400001"/>
  </r>
  <r>
    <s v="16"/>
    <s v="16"/>
    <s v="Klinika plicních nemocí a tuberkulózy"/>
    <x v="15"/>
    <s v="1641"/>
    <s v="bronchologie"/>
    <s v="1641 - bronchologie"/>
    <s v="50115040     laboratorní materiál (sk.Z_505)"/>
    <x v="11"/>
    <x v="2"/>
    <n v="1.34633"/>
    <n v="8.3470361223380003"/>
  </r>
  <r>
    <s v="16"/>
    <s v="16"/>
    <s v="Klinika plicních nemocí a tuberkulózy"/>
    <x v="15"/>
    <s v="1641"/>
    <s v="bronchologie"/>
    <s v="1641 - bronchologie"/>
    <s v="50115050     obvazový materiál (sk.Z_502)"/>
    <x v="12"/>
    <x v="0"/>
    <n v="8.8066999999989992"/>
    <n v="8.3957019455089998"/>
  </r>
  <r>
    <s v="16"/>
    <s v="16"/>
    <s v="Klinika plicních nemocí a tuberkulózy"/>
    <x v="15"/>
    <s v="1641"/>
    <s v="bronchologie"/>
    <s v="1641 - bronchologie"/>
    <s v="50115050     obvazový materiál (sk.Z_502)"/>
    <x v="12"/>
    <x v="1"/>
    <n v="10.260149999999998"/>
    <n v="8.8267268890219999"/>
  </r>
  <r>
    <s v="16"/>
    <s v="16"/>
    <s v="Klinika plicních nemocí a tuberkulózy"/>
    <x v="15"/>
    <s v="1641"/>
    <s v="bronchologie"/>
    <s v="1641 - bronchologie"/>
    <s v="50115050     obvazový materiál (sk.Z_502)"/>
    <x v="12"/>
    <x v="2"/>
    <n v="16.666349999999998"/>
    <n v="8.901225421965"/>
  </r>
  <r>
    <s v="16"/>
    <s v="16"/>
    <s v="Klinika plicních nemocí a tuberkulózy"/>
    <x v="15"/>
    <s v="1641"/>
    <s v="bronchologie"/>
    <s v="1641 - bronchologie"/>
    <s v="50115060     ostatní ZPr - mimo níže uvedené (sk.Z_503)"/>
    <x v="1"/>
    <x v="0"/>
    <n v="652.80958999999905"/>
    <n v="662.25755619795495"/>
  </r>
  <r>
    <s v="16"/>
    <s v="16"/>
    <s v="Klinika plicních nemocí a tuberkulózy"/>
    <x v="15"/>
    <s v="1641"/>
    <s v="bronchologie"/>
    <s v="1641 - bronchologie"/>
    <s v="50115060     ostatní ZPr - mimo níže uvedené (sk.Z_503)"/>
    <x v="1"/>
    <x v="1"/>
    <n v="627.56502000000012"/>
    <n v="745.76713125660206"/>
  </r>
  <r>
    <s v="16"/>
    <s v="16"/>
    <s v="Klinika plicních nemocí a tuberkulózy"/>
    <x v="15"/>
    <s v="1641"/>
    <s v="bronchologie"/>
    <s v="1641 - bronchologie"/>
    <s v="50115060     ostatní ZPr - mimo níže uvedené (sk.Z_503)"/>
    <x v="1"/>
    <x v="2"/>
    <n v="715.81703000000016"/>
    <n v="1009.26890887817"/>
  </r>
  <r>
    <s v="16"/>
    <s v="16"/>
    <s v="Klinika plicních nemocí a tuberkulózy"/>
    <x v="15"/>
    <s v="1641"/>
    <s v="bronchologie"/>
    <s v="1641 - bronchologie"/>
    <s v="50115063     ostatní ZPr - vaky, sety (sk.Z_528)"/>
    <x v="13"/>
    <x v="0"/>
    <n v="0"/>
    <n v="21.771030607585999"/>
  </r>
  <r>
    <s v="16"/>
    <s v="16"/>
    <s v="Klinika plicních nemocí a tuberkulózy"/>
    <x v="15"/>
    <s v="1641"/>
    <s v="bronchologie"/>
    <s v="1641 - bronchologie"/>
    <s v="50115064     ostatní ZPr - šicí materiál (sk.Z_529)"/>
    <x v="21"/>
    <x v="0"/>
    <n v="3.177"/>
    <n v="3.8000521586459999"/>
  </r>
  <r>
    <s v="16"/>
    <s v="16"/>
    <s v="Klinika plicních nemocí a tuberkulózy"/>
    <x v="15"/>
    <s v="1641"/>
    <s v="bronchologie"/>
    <s v="1641 - bronchologie"/>
    <s v="50115064     ostatní ZPr - šicí materiál (sk.Z_529)"/>
    <x v="21"/>
    <x v="1"/>
    <n v="4.7655000000000003"/>
    <n v="3.114793625566"/>
  </r>
  <r>
    <s v="16"/>
    <s v="16"/>
    <s v="Klinika plicních nemocí a tuberkulózy"/>
    <x v="15"/>
    <s v="1641"/>
    <s v="bronchologie"/>
    <s v="1641 - bronchologie"/>
    <s v="50115064     ostatní ZPr - šicí materiál (sk.Z_529)"/>
    <x v="21"/>
    <x v="2"/>
    <n v="3.177"/>
    <n v="4.857384211376"/>
  </r>
  <r>
    <s v="16"/>
    <s v="16"/>
    <s v="Klinika plicních nemocí a tuberkulózy"/>
    <x v="15"/>
    <s v="1641"/>
    <s v="bronchologie"/>
    <s v="1641 - bronchologie"/>
    <s v="50115065     ostatní ZPr - vpichovací materiál (sk.Z_530)"/>
    <x v="14"/>
    <x v="0"/>
    <n v="236.91242999999901"/>
    <n v="179.982186655699"/>
  </r>
  <r>
    <s v="16"/>
    <s v="16"/>
    <s v="Klinika plicních nemocí a tuberkulózy"/>
    <x v="15"/>
    <s v="1641"/>
    <s v="bronchologie"/>
    <s v="1641 - bronchologie"/>
    <s v="50115065     ostatní ZPr - vpichovací materiál (sk.Z_530)"/>
    <x v="14"/>
    <x v="1"/>
    <n v="214.17722999999998"/>
    <n v="282.91375034244999"/>
  </r>
  <r>
    <s v="16"/>
    <s v="16"/>
    <s v="Klinika plicních nemocí a tuberkulózy"/>
    <x v="15"/>
    <s v="1641"/>
    <s v="bronchologie"/>
    <s v="1641 - bronchologie"/>
    <s v="50115065     ostatní ZPr - vpichovací materiál (sk.Z_530)"/>
    <x v="14"/>
    <x v="2"/>
    <n v="124.0492"/>
    <n v="214.999993228021"/>
  </r>
  <r>
    <s v="16"/>
    <s v="16"/>
    <s v="Klinika plicních nemocí a tuberkulózy"/>
    <x v="15"/>
    <s v="1641"/>
    <s v="bronchologie"/>
    <s v="1641 - bronchologie"/>
    <s v="50115067     ostatní ZPr - rukavice (sk.Z_532)"/>
    <x v="15"/>
    <x v="0"/>
    <n v="17.823350000000001"/>
    <n v="17.102307219972001"/>
  </r>
  <r>
    <s v="16"/>
    <s v="16"/>
    <s v="Klinika plicních nemocí a tuberkulózy"/>
    <x v="15"/>
    <s v="1641"/>
    <s v="bronchologie"/>
    <s v="1641 - bronchologie"/>
    <s v="50115067     ostatní ZPr - rukavice (sk.Z_532)"/>
    <x v="15"/>
    <x v="1"/>
    <n v="52.104209999999995"/>
    <n v="28.075558982484001"/>
  </r>
  <r>
    <s v="16"/>
    <s v="16"/>
    <s v="Klinika plicních nemocí a tuberkulózy"/>
    <x v="15"/>
    <s v="1641"/>
    <s v="bronchologie"/>
    <s v="1641 - bronchologie"/>
    <s v="50115067     ostatní ZPr - rukavice (sk.Z_532)"/>
    <x v="15"/>
    <x v="2"/>
    <n v="22.666449999999998"/>
    <n v="50.999998393623002"/>
  </r>
  <r>
    <s v="16"/>
    <s v="16"/>
    <s v="Klinika plicních nemocí a tuberkulózy"/>
    <x v="15"/>
    <s v="1641"/>
    <s v="bronchologie"/>
    <s v="1641 - bronchologie"/>
    <s v="50115070     ostatní ZPr - katetry (sk.Z_513)"/>
    <x v="16"/>
    <x v="0"/>
    <n v="510.29524999999995"/>
    <n v="519.75547652537705"/>
  </r>
  <r>
    <s v="16"/>
    <s v="16"/>
    <s v="Klinika plicních nemocí a tuberkulózy"/>
    <x v="15"/>
    <s v="1641"/>
    <s v="bronchologie"/>
    <s v="1641 - bronchologie"/>
    <s v="50115070     ostatní ZPr - katetry (sk.Z_513)"/>
    <x v="16"/>
    <x v="1"/>
    <n v="424.18194000000005"/>
    <n v="615.94695535677499"/>
  </r>
  <r>
    <s v="16"/>
    <s v="16"/>
    <s v="Klinika plicních nemocí a tuberkulózy"/>
    <x v="15"/>
    <s v="1641"/>
    <s v="bronchologie"/>
    <s v="1641 - bronchologie"/>
    <s v="50115070     ostatní ZPr - katetry (sk.Z_513)"/>
    <x v="16"/>
    <x v="2"/>
    <n v="216.3587"/>
    <n v="327.99998966879502"/>
  </r>
  <r>
    <s v="16"/>
    <s v="16"/>
    <s v="Klinika plicních nemocí a tuberkulózy"/>
    <x v="15"/>
    <s v="1641"/>
    <s v="bronchologie"/>
    <s v="1641 - bronchologie"/>
    <s v="50115075     ostatní ZPr - stenty (sk.Z_538)"/>
    <x v="35"/>
    <x v="2"/>
    <n v="73.475799999999992"/>
    <n v="164.99999480290001"/>
  </r>
  <r>
    <s v="16"/>
    <s v="16"/>
    <s v="Klinika plicních nemocí a tuberkulózy"/>
    <x v="15"/>
    <s v="1641"/>
    <s v="bronchologie"/>
    <s v="1641 - bronchologie"/>
    <s v="50115079     ostatní ZPr - intenzivní péče (sk.Z_542)"/>
    <x v="18"/>
    <x v="2"/>
    <n v="2.8176000000000001"/>
    <n v="0"/>
  </r>
  <r>
    <s v="16"/>
    <s v="16"/>
    <s v="Klinika plicních nemocí a tuberkulózy"/>
    <x v="15"/>
    <s v="1641"/>
    <s v="bronchologie"/>
    <s v="1641 - bronchologie"/>
    <s v="50115080     ostatní ZPr - staplery, extraktory (sk.Z_523)"/>
    <x v="30"/>
    <x v="0"/>
    <n v="0"/>
    <n v="37.310389694931999"/>
  </r>
  <r>
    <s v="16"/>
    <s v="16"/>
    <s v="Klinika plicních nemocí a tuberkulózy"/>
    <x v="15"/>
    <s v="1641"/>
    <s v="bronchologie"/>
    <s v="1641 - bronchologie"/>
    <s v="50115080     ostatní ZPr - staplery, extraktory (sk.Z_523)"/>
    <x v="30"/>
    <x v="1"/>
    <n v="63.440300000000001"/>
    <n v="0"/>
  </r>
  <r>
    <s v="16"/>
    <s v="16"/>
    <s v="Klinika plicních nemocí a tuberkulózy"/>
    <x v="15"/>
    <s v="1641"/>
    <s v="bronchologie"/>
    <s v="1641 - bronchologie"/>
    <s v="50115080     ostatní ZPr - staplery, extraktory (sk.Z_523)"/>
    <x v="30"/>
    <x v="2"/>
    <n v="0"/>
    <n v="49.998755803228001"/>
  </r>
  <r>
    <s v="16"/>
    <s v="16"/>
    <s v="Klinika plicních nemocí a tuberkulózy"/>
    <x v="15"/>
    <s v="1666"/>
    <s v="pracoviště DK COS"/>
    <s v="1666 - pracoviště DK COS"/>
    <s v="50115     Zdravotnické prostředky"/>
    <x v="0"/>
    <x v="0"/>
    <n v="0"/>
    <n v="0.87105139215799998"/>
  </r>
  <r>
    <s v="16"/>
    <s v="16"/>
    <s v="Klinika plicních nemocí a tuberkulózy"/>
    <x v="15"/>
    <s v="1666"/>
    <s v="pracoviště DK COS"/>
    <s v="1666 - pracoviště DK COS"/>
    <s v="50115060     ostatní ZPr - mimo níže uvedené (sk.Z_503)"/>
    <x v="1"/>
    <x v="0"/>
    <n v="0"/>
    <n v="0.19243184166999999"/>
  </r>
  <r>
    <s v="16"/>
    <s v="16"/>
    <s v="Klinika plicních nemocí a tuberkulózy"/>
    <x v="15"/>
    <s v="1666"/>
    <s v="pracoviště DK COS"/>
    <s v="1666 - pracoviště DK COS"/>
    <s v="50115067     ostatní ZPr - rukavice (sk.Z_532)"/>
    <x v="15"/>
    <x v="0"/>
    <n v="0"/>
    <n v="0.67861955048800005"/>
  </r>
  <r>
    <s v="16"/>
    <s v="16"/>
    <s v="Klinika plicních nemocí a tuberkulózy"/>
    <x v="15"/>
    <s v="1681"/>
    <m/>
    <s v="1681 - "/>
    <s v="50115     Zdravotnické prostředky"/>
    <x v="0"/>
    <x v="0"/>
    <n v="0"/>
    <n v="9.6215920834999996E-2"/>
  </r>
  <r>
    <s v="16"/>
    <s v="16"/>
    <s v="Klinika plicních nemocí a tuberkulózy"/>
    <x v="15"/>
    <s v="1681"/>
    <m/>
    <s v="1681 - "/>
    <s v="50115060     ostatní ZPr - mimo níže uvedené (sk.Z_503)"/>
    <x v="1"/>
    <x v="0"/>
    <n v="0"/>
    <n v="9.6215920834999996E-2"/>
  </r>
  <r>
    <s v="16"/>
    <s v="16"/>
    <s v="Klinika plicních nemocí a tuberkulózy"/>
    <x v="15"/>
    <s v="1684"/>
    <s v="rezidenti 2010 projekt č. 1 (lékaři)"/>
    <s v="1684 - rezidenti 2010 projekt č. 1 (lékaři)"/>
    <s v="50115     Zdravotnické prostředky"/>
    <x v="0"/>
    <x v="0"/>
    <n v="0"/>
    <n v="9.6215920834999996E-2"/>
  </r>
  <r>
    <s v="16"/>
    <s v="16"/>
    <s v="Klinika plicních nemocí a tuberkulózy"/>
    <x v="15"/>
    <s v="1684"/>
    <s v="rezidenti 2010 projekt č. 1 (lékaři)"/>
    <s v="1684 - rezidenti 2010 projekt č. 1 (lékaři)"/>
    <s v="50115060     ostatní ZPr - mimo níže uvedené (sk.Z_503)"/>
    <x v="1"/>
    <x v="0"/>
    <n v="0"/>
    <n v="9.6215920834999996E-2"/>
  </r>
  <r>
    <s v="16"/>
    <s v="16"/>
    <s v="Klinika plicních nemocí a tuberkulózy"/>
    <x v="15"/>
    <s v="1694"/>
    <s v="centrum - TRN"/>
    <s v="1694 - centrum - TRN"/>
    <s v="50113     Léky a léčiva"/>
    <x v="2"/>
    <x v="0"/>
    <n v="42336.414330000021"/>
    <n v="42069.833333331298"/>
  </r>
  <r>
    <s v="16"/>
    <s v="16"/>
    <s v="Klinika plicních nemocí a tuberkulózy"/>
    <x v="15"/>
    <s v="1694"/>
    <s v="centrum - TRN"/>
    <s v="1694 - centrum - TRN"/>
    <s v="50113     Léky a léčiva"/>
    <x v="2"/>
    <x v="1"/>
    <n v="53543.097310000026"/>
    <n v="52804.999999999403"/>
  </r>
  <r>
    <s v="16"/>
    <s v="16"/>
    <s v="Klinika plicních nemocí a tuberkulózy"/>
    <x v="15"/>
    <s v="1694"/>
    <s v="centrum - TRN"/>
    <s v="1694 - centrum - TRN"/>
    <s v="50113     Léky a léčiva"/>
    <x v="2"/>
    <x v="2"/>
    <n v="40956.143160000007"/>
    <n v="54000.110288033902"/>
  </r>
  <r>
    <s v="16"/>
    <s v="16"/>
    <s v="Klinika plicních nemocí a tuberkulózy"/>
    <x v="15"/>
    <s v="1694"/>
    <s v="centrum - TRN"/>
    <s v="1694 - centrum - TRN"/>
    <s v="50113016     léky - spotřeba v centrech (LEK)"/>
    <x v="39"/>
    <x v="0"/>
    <n v="42336.414330000021"/>
    <n v="42069.833333331298"/>
  </r>
  <r>
    <s v="16"/>
    <s v="16"/>
    <s v="Klinika plicních nemocí a tuberkulózy"/>
    <x v="15"/>
    <s v="1694"/>
    <s v="centrum - TRN"/>
    <s v="1694 - centrum - TRN"/>
    <s v="50113016     léky - spotřeba v centrech (LEK)"/>
    <x v="39"/>
    <x v="1"/>
    <n v="53543.097310000026"/>
    <n v="52804.999999999403"/>
  </r>
  <r>
    <s v="16"/>
    <s v="16"/>
    <s v="Klinika plicních nemocí a tuberkulózy"/>
    <x v="15"/>
    <s v="1694"/>
    <s v="centrum - TRN"/>
    <s v="1694 - centrum - TRN"/>
    <s v="50113016     léky - spotřeba v centrech (LEK)"/>
    <x v="39"/>
    <x v="2"/>
    <n v="40956.143160000007"/>
    <n v="54000.110288033902"/>
  </r>
  <r>
    <s v="16"/>
    <s v="16"/>
    <s v="Klinika plicních nemocí a tuberkulózy"/>
    <x v="15"/>
    <s v="1694"/>
    <s v="centrum - TRN"/>
    <s v="1694 - centrum - TRN"/>
    <s v="50115     Zdravotnické prostředky"/>
    <x v="0"/>
    <x v="0"/>
    <n v="0"/>
    <n v="9.6215920834999996E-2"/>
  </r>
  <r>
    <s v="16"/>
    <s v="16"/>
    <s v="Klinika plicních nemocí a tuberkulózy"/>
    <x v="15"/>
    <s v="1694"/>
    <s v="centrum - TRN"/>
    <s v="1694 - centrum - TRN"/>
    <s v="50115060     ostatní ZPr - mimo níže uvedené (sk.Z_503)"/>
    <x v="1"/>
    <x v="0"/>
    <n v="0"/>
    <n v="9.6215920834999996E-2"/>
  </r>
  <r>
    <s v="17"/>
    <s v="17"/>
    <s v="Neurologická klinika"/>
    <x v="16"/>
    <s v="1711"/>
    <s v="lůžkové oddělení 31A  "/>
    <s v="1711 - lůžkové oddělení 31A  "/>
    <s v="50113     Léky a léčiva"/>
    <x v="2"/>
    <x v="0"/>
    <n v="4443.7138600000008"/>
    <n v="3367.6847254605"/>
  </r>
  <r>
    <s v="17"/>
    <s v="17"/>
    <s v="Neurologická klinika"/>
    <x v="16"/>
    <s v="1711"/>
    <s v="lůžkové oddělení 31A  "/>
    <s v="1711 - lůžkové oddělení 31A  "/>
    <s v="50113     Léky a léčiva"/>
    <x v="2"/>
    <x v="1"/>
    <n v="6052.2863800000005"/>
    <n v="4431.9115041628402"/>
  </r>
  <r>
    <s v="17"/>
    <s v="17"/>
    <s v="Neurologická klinika"/>
    <x v="16"/>
    <s v="1711"/>
    <s v="lůžkové oddělení 31A  "/>
    <s v="1711 - lůžkové oddělení 31A  "/>
    <s v="50113     Léky a léčiva"/>
    <x v="2"/>
    <x v="2"/>
    <n v="6463.1526100000028"/>
    <n v="5576.7565922959402"/>
  </r>
  <r>
    <s v="17"/>
    <s v="17"/>
    <s v="Neurologická klinika"/>
    <x v="16"/>
    <s v="1711"/>
    <s v="lůžkové oddělení 31A  "/>
    <s v="1711 - lůžkové oddělení 31A  "/>
    <s v="50113001     léky - paušál+TISS (LEK)"/>
    <x v="3"/>
    <x v="0"/>
    <n v="1016.33825"/>
    <n v="1165.99939276849"/>
  </r>
  <r>
    <s v="17"/>
    <s v="17"/>
    <s v="Neurologická klinika"/>
    <x v="16"/>
    <s v="1711"/>
    <s v="lůžkové oddělení 31A  "/>
    <s v="1711 - lůžkové oddělení 31A  "/>
    <s v="50113001     léky - paušál+TISS (LEK)"/>
    <x v="3"/>
    <x v="1"/>
    <n v="1016.3182099999999"/>
    <n v="1016.34179932801"/>
  </r>
  <r>
    <s v="17"/>
    <s v="17"/>
    <s v="Neurologická klinika"/>
    <x v="16"/>
    <s v="1711"/>
    <s v="lůžkové oddělení 31A  "/>
    <s v="1711 - lůžkové oddělení 31A  "/>
    <s v="50113001     léky - paušál+TISS (LEK)"/>
    <x v="3"/>
    <x v="2"/>
    <n v="763.00619999999992"/>
    <n v="991.54743504335295"/>
  </r>
  <r>
    <s v="17"/>
    <s v="17"/>
    <s v="Neurologická klinika"/>
    <x v="16"/>
    <s v="1711"/>
    <s v="lůžkové oddělení 31A  "/>
    <s v="1711 - lůžkové oddělení 31A  "/>
    <s v="50113006     léky - enterální výživa (LEK)"/>
    <x v="4"/>
    <x v="0"/>
    <n v="0.54970000000000008"/>
    <n v="1.835829449567"/>
  </r>
  <r>
    <s v="17"/>
    <s v="17"/>
    <s v="Neurologická klinika"/>
    <x v="16"/>
    <s v="1711"/>
    <s v="lůžkové oddělení 31A  "/>
    <s v="1711 - lůžkové oddělení 31A  "/>
    <s v="50113006     léky - enterální výživa (LEK)"/>
    <x v="4"/>
    <x v="1"/>
    <n v="0"/>
    <n v="0.54887874002799997"/>
  </r>
  <r>
    <s v="17"/>
    <s v="17"/>
    <s v="Neurologická klinika"/>
    <x v="16"/>
    <s v="1711"/>
    <s v="lůžkové oddělení 31A  "/>
    <s v="1711 - lůžkové oddělení 31A  "/>
    <s v="50113006     léky - enterální výživa (LEK)"/>
    <x v="4"/>
    <x v="2"/>
    <n v="4.38971"/>
    <n v="0"/>
  </r>
  <r>
    <s v="17"/>
    <s v="17"/>
    <s v="Neurologická klinika"/>
    <x v="16"/>
    <s v="1711"/>
    <s v="lůžkové oddělení 31A  "/>
    <s v="1711 - lůžkové oddělení 31A  "/>
    <s v="50113008     léky - krev.deriváty ZUL (TO)"/>
    <x v="5"/>
    <x v="0"/>
    <n v="3322.7922900000003"/>
    <n v="2127.9843230725501"/>
  </r>
  <r>
    <s v="17"/>
    <s v="17"/>
    <s v="Neurologická klinika"/>
    <x v="16"/>
    <s v="1711"/>
    <s v="lůžkové oddělení 31A  "/>
    <s v="1711 - lůžkové oddělení 31A  "/>
    <s v="50113008     léky - krev.deriváty ZUL (TO)"/>
    <x v="5"/>
    <x v="1"/>
    <n v="4911.8862500000005"/>
    <n v="3323.0291781610899"/>
  </r>
  <r>
    <s v="17"/>
    <s v="17"/>
    <s v="Neurologická klinika"/>
    <x v="16"/>
    <s v="1711"/>
    <s v="lůžkové oddělení 31A  "/>
    <s v="1711 - lůžkové oddělení 31A  "/>
    <s v="50113008     léky - krev.deriváty ZUL (TO)"/>
    <x v="5"/>
    <x v="2"/>
    <n v="5646.7511400000012"/>
    <n v="4467.4080994449696"/>
  </r>
  <r>
    <s v="17"/>
    <s v="17"/>
    <s v="Neurologická klinika"/>
    <x v="16"/>
    <s v="1711"/>
    <s v="lůžkové oddělení 31A  "/>
    <s v="1711 - lůžkové oddělení 31A  "/>
    <s v="50113013     léky (paušál) - antibiotika (LEK)"/>
    <x v="7"/>
    <x v="0"/>
    <n v="99.881180000000001"/>
    <n v="67.001059460868007"/>
  </r>
  <r>
    <s v="17"/>
    <s v="17"/>
    <s v="Neurologická klinika"/>
    <x v="16"/>
    <s v="1711"/>
    <s v="lůžkové oddělení 31A  "/>
    <s v="1711 - lůžkové oddělení 31A  "/>
    <s v="50113013     léky (paušál) - antibiotika (LEK)"/>
    <x v="7"/>
    <x v="1"/>
    <n v="123.02442000000002"/>
    <n v="88.991444524472996"/>
  </r>
  <r>
    <s v="17"/>
    <s v="17"/>
    <s v="Neurologická klinika"/>
    <x v="16"/>
    <s v="1711"/>
    <s v="lůžkové oddělení 31A  "/>
    <s v="1711 - lůžkové oddělení 31A  "/>
    <s v="50113013     léky (paušál) - antibiotika (LEK)"/>
    <x v="7"/>
    <x v="2"/>
    <n v="47.065610000000007"/>
    <n v="116.31987005550501"/>
  </r>
  <r>
    <s v="17"/>
    <s v="17"/>
    <s v="Neurologická klinika"/>
    <x v="16"/>
    <s v="1711"/>
    <s v="lůžkové oddělení 31A  "/>
    <s v="1711 - lůžkové oddělení 31A  "/>
    <s v="50113014     léky (paušál) - antimykotika (LEK)"/>
    <x v="8"/>
    <x v="0"/>
    <n v="4.1524400000000004"/>
    <n v="0"/>
  </r>
  <r>
    <s v="17"/>
    <s v="17"/>
    <s v="Neurologická klinika"/>
    <x v="16"/>
    <s v="1711"/>
    <s v="lůžkové oddělení 31A  "/>
    <s v="1711 - lůžkové oddělení 31A  "/>
    <s v="50113014     léky (paušál) - antimykotika (LEK)"/>
    <x v="8"/>
    <x v="1"/>
    <n v="1.0574999999999999"/>
    <n v="3.0002034092379999"/>
  </r>
  <r>
    <s v="17"/>
    <s v="17"/>
    <s v="Neurologická klinika"/>
    <x v="16"/>
    <s v="1711"/>
    <s v="lůžkové oddělení 31A  "/>
    <s v="1711 - lůžkové oddělení 31A  "/>
    <s v="50113014     léky (paušál) - antimykotika (LEK)"/>
    <x v="8"/>
    <x v="2"/>
    <n v="0.91070000000000007"/>
    <n v="1.4811877521079999"/>
  </r>
  <r>
    <s v="17"/>
    <s v="17"/>
    <s v="Neurologická klinika"/>
    <x v="16"/>
    <s v="1711"/>
    <s v="lůžkové oddělení 31A  "/>
    <s v="1711 - lůžkové oddělení 31A  "/>
    <s v="50113190     medicinální plyny"/>
    <x v="9"/>
    <x v="0"/>
    <n v="0"/>
    <n v="4.8641207090230001"/>
  </r>
  <r>
    <s v="17"/>
    <s v="17"/>
    <s v="Neurologická klinika"/>
    <x v="16"/>
    <s v="1711"/>
    <s v="lůžkové oddělení 31A  "/>
    <s v="1711 - lůžkové oddělení 31A  "/>
    <s v="50113190     medicinální plyny"/>
    <x v="9"/>
    <x v="2"/>
    <n v="1.02925"/>
    <n v="0"/>
  </r>
  <r>
    <s v="17"/>
    <s v="17"/>
    <s v="Neurologická klinika"/>
    <x v="16"/>
    <s v="1711"/>
    <s v="lůžkové oddělení 31A  "/>
    <s v="1711 - lůžkové oddělení 31A  "/>
    <s v="50115     Zdravotnické prostředky"/>
    <x v="0"/>
    <x v="0"/>
    <n v="276.67203999999998"/>
    <n v="279.37369953597897"/>
  </r>
  <r>
    <s v="17"/>
    <s v="17"/>
    <s v="Neurologická klinika"/>
    <x v="16"/>
    <s v="1711"/>
    <s v="lůžkové oddělení 31A  "/>
    <s v="1711 - lůžkové oddělení 31A  "/>
    <s v="50115     Zdravotnické prostředky"/>
    <x v="0"/>
    <x v="1"/>
    <n v="264.84322000000003"/>
    <n v="276.691918348054"/>
  </r>
  <r>
    <s v="17"/>
    <s v="17"/>
    <s v="Neurologická klinika"/>
    <x v="16"/>
    <s v="1711"/>
    <s v="lůžkové oddělení 31A  "/>
    <s v="1711 - lůžkové oddělení 31A  "/>
    <s v="50115     Zdravotnické prostředky"/>
    <x v="0"/>
    <x v="2"/>
    <n v="209.11238"/>
    <n v="278.88242694234702"/>
  </r>
  <r>
    <s v="17"/>
    <s v="17"/>
    <s v="Neurologická klinika"/>
    <x v="16"/>
    <s v="1711"/>
    <s v="lůžkové oddělení 31A  "/>
    <s v="1711 - lůžkové oddělení 31A  "/>
    <s v="50115020     diagnostika laboratorní-LEK (sk.Z_501)"/>
    <x v="10"/>
    <x v="0"/>
    <n v="0"/>
    <n v="3.6741056388729998"/>
  </r>
  <r>
    <s v="17"/>
    <s v="17"/>
    <s v="Neurologická klinika"/>
    <x v="16"/>
    <s v="1711"/>
    <s v="lůžkové oddělení 31A  "/>
    <s v="1711 - lůžkové oddělení 31A  "/>
    <s v="50115050     obvazový materiál (sk.Z_502)"/>
    <x v="12"/>
    <x v="0"/>
    <n v="22.03219"/>
    <n v="22.038817359004"/>
  </r>
  <r>
    <s v="17"/>
    <s v="17"/>
    <s v="Neurologická klinika"/>
    <x v="16"/>
    <s v="1711"/>
    <s v="lůžkové oddělení 31A  "/>
    <s v="1711 - lůžkové oddělení 31A  "/>
    <s v="50115050     obvazový materiál (sk.Z_502)"/>
    <x v="12"/>
    <x v="1"/>
    <n v="21.977830000000001"/>
    <n v="22.082292333910001"/>
  </r>
  <r>
    <s v="17"/>
    <s v="17"/>
    <s v="Neurologická klinika"/>
    <x v="16"/>
    <s v="1711"/>
    <s v="lůžkové oddělení 31A  "/>
    <s v="1711 - lůžkové oddělení 31A  "/>
    <s v="50115050     obvazový materiál (sk.Z_502)"/>
    <x v="12"/>
    <x v="2"/>
    <n v="14.237819999999999"/>
    <n v="19.058885252364"/>
  </r>
  <r>
    <s v="17"/>
    <s v="17"/>
    <s v="Neurologická klinika"/>
    <x v="16"/>
    <s v="1711"/>
    <s v="lůžkové oddělení 31A  "/>
    <s v="1711 - lůžkové oddělení 31A  "/>
    <s v="50115060     ostatní ZPr - mimo níže uvedené (sk.Z_503)"/>
    <x v="1"/>
    <x v="0"/>
    <n v="107.3323"/>
    <n v="107.349949674257"/>
  </r>
  <r>
    <s v="17"/>
    <s v="17"/>
    <s v="Neurologická klinika"/>
    <x v="16"/>
    <s v="1711"/>
    <s v="lůžkové oddělení 31A  "/>
    <s v="1711 - lůžkové oddělení 31A  "/>
    <s v="50115060     ostatní ZPr - mimo níže uvedené (sk.Z_503)"/>
    <x v="1"/>
    <x v="1"/>
    <n v="109.27427"/>
    <n v="107.33149142927"/>
  </r>
  <r>
    <s v="17"/>
    <s v="17"/>
    <s v="Neurologická klinika"/>
    <x v="16"/>
    <s v="1711"/>
    <s v="lůžkové oddělení 31A  "/>
    <s v="1711 - lůžkové oddělení 31A  "/>
    <s v="50115060     ostatní ZPr - mimo níže uvedené (sk.Z_503)"/>
    <x v="1"/>
    <x v="2"/>
    <n v="80.217739999999992"/>
    <n v="107.186441794337"/>
  </r>
  <r>
    <s v="17"/>
    <s v="17"/>
    <s v="Neurologická klinika"/>
    <x v="16"/>
    <s v="1711"/>
    <s v="lůžkové oddělení 31A  "/>
    <s v="1711 - lůžkové oddělení 31A  "/>
    <s v="50115063     ostatní ZPr - vaky, sety (sk.Z_528)"/>
    <x v="13"/>
    <x v="0"/>
    <n v="74.924599999999003"/>
    <n v="75.050762139027"/>
  </r>
  <r>
    <s v="17"/>
    <s v="17"/>
    <s v="Neurologická klinika"/>
    <x v="16"/>
    <s v="1711"/>
    <s v="lůžkové oddělení 31A  "/>
    <s v="1711 - lůžkové oddělení 31A  "/>
    <s v="50115063     ostatní ZPr - vaky, sety (sk.Z_528)"/>
    <x v="13"/>
    <x v="1"/>
    <n v="68.216999999999999"/>
    <n v="73.397964356830002"/>
  </r>
  <r>
    <s v="17"/>
    <s v="17"/>
    <s v="Neurologická klinika"/>
    <x v="16"/>
    <s v="1711"/>
    <s v="lůžkové oddělení 31A  "/>
    <s v="1711 - lůžkové oddělení 31A  "/>
    <s v="50115063     ostatní ZPr - vaky, sety (sk.Z_528)"/>
    <x v="13"/>
    <x v="2"/>
    <n v="65.996600000000001"/>
    <n v="87.700537728526996"/>
  </r>
  <r>
    <s v="17"/>
    <s v="17"/>
    <s v="Neurologická klinika"/>
    <x v="16"/>
    <s v="1711"/>
    <s v="lůžkové oddělení 31A  "/>
    <s v="1711 - lůžkové oddělení 31A  "/>
    <s v="50115064     ostatní ZPr - šicí materiál (sk.Z_529)"/>
    <x v="21"/>
    <x v="0"/>
    <n v="1.2142599999999999"/>
    <n v="0"/>
  </r>
  <r>
    <s v="17"/>
    <s v="17"/>
    <s v="Neurologická klinika"/>
    <x v="16"/>
    <s v="1711"/>
    <s v="lůžkové oddělení 31A  "/>
    <s v="1711 - lůžkové oddělení 31A  "/>
    <s v="50115064     ostatní ZPr - šicí materiál (sk.Z_529)"/>
    <x v="21"/>
    <x v="1"/>
    <n v="0"/>
    <n v="1.190484516141"/>
  </r>
  <r>
    <s v="17"/>
    <s v="17"/>
    <s v="Neurologická klinika"/>
    <x v="16"/>
    <s v="1711"/>
    <s v="lůžkové oddělení 31A  "/>
    <s v="1711 - lůžkové oddělení 31A  "/>
    <s v="50115065     ostatní ZPr - vpichovací materiál (sk.Z_530)"/>
    <x v="14"/>
    <x v="0"/>
    <n v="48.260429999999999"/>
    <n v="49.407078605279999"/>
  </r>
  <r>
    <s v="17"/>
    <s v="17"/>
    <s v="Neurologická klinika"/>
    <x v="16"/>
    <s v="1711"/>
    <s v="lůžkové oddělení 31A  "/>
    <s v="1711 - lůžkové oddělení 31A  "/>
    <s v="50115065     ostatní ZPr - vpichovací materiál (sk.Z_530)"/>
    <x v="14"/>
    <x v="1"/>
    <n v="45.266399999999997"/>
    <n v="49.506309938712"/>
  </r>
  <r>
    <s v="17"/>
    <s v="17"/>
    <s v="Neurologická klinika"/>
    <x v="16"/>
    <s v="1711"/>
    <s v="lůžkové oddělení 31A  "/>
    <s v="1711 - lůžkové oddělení 31A  "/>
    <s v="50115065     ostatní ZPr - vpichovací materiál (sk.Z_530)"/>
    <x v="14"/>
    <x v="2"/>
    <n v="35.974559999999997"/>
    <n v="48.052047156557997"/>
  </r>
  <r>
    <s v="17"/>
    <s v="17"/>
    <s v="Neurologická klinika"/>
    <x v="16"/>
    <s v="1711"/>
    <s v="lůžkové oddělení 31A  "/>
    <s v="1711 - lůžkové oddělení 31A  "/>
    <s v="50115067     ostatní ZPr - rukavice (sk.Z_532)"/>
    <x v="15"/>
    <x v="0"/>
    <n v="19.443300000000004"/>
    <n v="21.852986119535998"/>
  </r>
  <r>
    <s v="17"/>
    <s v="17"/>
    <s v="Neurologická klinika"/>
    <x v="16"/>
    <s v="1711"/>
    <s v="lůžkové oddělení 31A  "/>
    <s v="1711 - lůžkové oddělení 31A  "/>
    <s v="50115067     ostatní ZPr - rukavice (sk.Z_532)"/>
    <x v="15"/>
    <x v="1"/>
    <n v="20.107719999999997"/>
    <n v="19.718432054811998"/>
  </r>
  <r>
    <s v="17"/>
    <s v="17"/>
    <s v="Neurologická klinika"/>
    <x v="16"/>
    <s v="1711"/>
    <s v="lůžkové oddělení 31A  "/>
    <s v="1711 - lůžkové oddělení 31A  "/>
    <s v="50115067     ostatní ZPr - rukavice (sk.Z_532)"/>
    <x v="15"/>
    <x v="2"/>
    <n v="12.685659999999999"/>
    <n v="16.884515010558999"/>
  </r>
  <r>
    <s v="17"/>
    <s v="17"/>
    <s v="Neurologická klinika"/>
    <x v="16"/>
    <s v="1711"/>
    <s v="lůžkové oddělení 31A  "/>
    <s v="1711 - lůžkové oddělení 31A  "/>
    <s v="50115070     ostatní ZPr - katetry (sk.Z_513)"/>
    <x v="16"/>
    <x v="0"/>
    <n v="3.46496"/>
    <n v="0"/>
  </r>
  <r>
    <s v="17"/>
    <s v="17"/>
    <s v="Neurologická klinika"/>
    <x v="16"/>
    <s v="1711"/>
    <s v="lůžkové oddělení 31A  "/>
    <s v="1711 - lůžkové oddělení 31A  "/>
    <s v="50115070     ostatní ZPr - katetry (sk.Z_513)"/>
    <x v="16"/>
    <x v="1"/>
    <n v="0"/>
    <n v="3.464943718377"/>
  </r>
  <r>
    <s v="17"/>
    <s v="17"/>
    <s v="Neurologická klinika"/>
    <x v="16"/>
    <s v="1712"/>
    <s v="lůžkové oddělení 31B"/>
    <s v="1712 - lůžkové oddělení 31B"/>
    <s v="50113     Léky a léčiva"/>
    <x v="2"/>
    <x v="0"/>
    <n v="4121.8192600000002"/>
    <n v="3206.9977745917299"/>
  </r>
  <r>
    <s v="17"/>
    <s v="17"/>
    <s v="Neurologická klinika"/>
    <x v="16"/>
    <s v="1712"/>
    <s v="lůžkové oddělení 31B"/>
    <s v="1712 - lůžkové oddělení 31B"/>
    <s v="50113     Léky a léčiva"/>
    <x v="2"/>
    <x v="1"/>
    <n v="2667.2742100000014"/>
    <n v="4121.2265286695701"/>
  </r>
  <r>
    <s v="17"/>
    <s v="17"/>
    <s v="Neurologická klinika"/>
    <x v="16"/>
    <s v="1712"/>
    <s v="lůžkové oddělení 31B"/>
    <s v="1712 - lůžkové oddělení 31B"/>
    <s v="50113     Léky a léčiva"/>
    <x v="2"/>
    <x v="2"/>
    <n v="877.78981999999985"/>
    <n v="2583.3413732378299"/>
  </r>
  <r>
    <s v="17"/>
    <s v="17"/>
    <s v="Neurologická klinika"/>
    <x v="16"/>
    <s v="1712"/>
    <s v="lůžkové oddělení 31B"/>
    <s v="1712 - lůžkové oddělení 31B"/>
    <s v="50113001     léky - paušál+TISS (LEK)"/>
    <x v="3"/>
    <x v="0"/>
    <n v="940.18581999999992"/>
    <n v="1188.99938079051"/>
  </r>
  <r>
    <s v="17"/>
    <s v="17"/>
    <s v="Neurologická klinika"/>
    <x v="16"/>
    <s v="1712"/>
    <s v="lůžkové oddělení 31B"/>
    <s v="1712 - lůžkové oddělení 31B"/>
    <s v="50113001     léky - paušál+TISS (LEK)"/>
    <x v="3"/>
    <x v="1"/>
    <n v="941.76564999999982"/>
    <n v="940.18910338313003"/>
  </r>
  <r>
    <s v="17"/>
    <s v="17"/>
    <s v="Neurologická klinika"/>
    <x v="16"/>
    <s v="1712"/>
    <s v="lůžkové oddělení 31B"/>
    <s v="1712 - lůžkové oddělení 31B"/>
    <s v="50113001     léky - paušál+TISS (LEK)"/>
    <x v="3"/>
    <x v="2"/>
    <n v="714.44948999999997"/>
    <n v="1003.12785427598"/>
  </r>
  <r>
    <s v="17"/>
    <s v="17"/>
    <s v="Neurologická klinika"/>
    <x v="16"/>
    <s v="1712"/>
    <s v="lůžkové oddělení 31B"/>
    <s v="1712 - lůžkové oddělení 31B"/>
    <s v="50113006     léky - enterální výživa (LEK)"/>
    <x v="4"/>
    <x v="0"/>
    <n v="0"/>
    <n v="4.0001100331490003"/>
  </r>
  <r>
    <s v="17"/>
    <s v="17"/>
    <s v="Neurologická klinika"/>
    <x v="16"/>
    <s v="1712"/>
    <s v="lůžkové oddělení 31B"/>
    <s v="1712 - lůžkové oddělení 31B"/>
    <s v="50113006     léky - enterální výživa (LEK)"/>
    <x v="4"/>
    <x v="2"/>
    <n v="2.2594400000000001"/>
    <n v="0"/>
  </r>
  <r>
    <s v="17"/>
    <s v="17"/>
    <s v="Neurologická klinika"/>
    <x v="16"/>
    <s v="1712"/>
    <s v="lůžkové oddělení 31B"/>
    <s v="1712 - lůžkové oddělení 31B"/>
    <s v="50113008     léky - krev.deriváty ZUL (TO)"/>
    <x v="5"/>
    <x v="0"/>
    <n v="3160.8666400000002"/>
    <n v="1853.9863416242999"/>
  </r>
  <r>
    <s v="17"/>
    <s v="17"/>
    <s v="Neurologická klinika"/>
    <x v="16"/>
    <s v="1712"/>
    <s v="lůžkové oddělení 31B"/>
    <s v="1712 - lůžkové oddělení 31B"/>
    <s v="50113008     léky - krev.deriváty ZUL (TO)"/>
    <x v="5"/>
    <x v="1"/>
    <n v="1702.171950000002"/>
    <n v="3160.0277469121402"/>
  </r>
  <r>
    <s v="17"/>
    <s v="17"/>
    <s v="Neurologická klinika"/>
    <x v="16"/>
    <s v="1712"/>
    <s v="lůžkové oddělení 31B"/>
    <s v="1712 - lůžkové oddělení 31B"/>
    <s v="50113008     léky - krev.deriváty ZUL (TO)"/>
    <x v="5"/>
    <x v="2"/>
    <n v="142.15899999999999"/>
    <n v="1562.01685523331"/>
  </r>
  <r>
    <s v="17"/>
    <s v="17"/>
    <s v="Neurologická klinika"/>
    <x v="16"/>
    <s v="1712"/>
    <s v="lůžkové oddělení 31B"/>
    <s v="1712 - lůžkové oddělení 31B"/>
    <s v="50113013     léky (paušál) - antibiotika (LEK)"/>
    <x v="7"/>
    <x v="0"/>
    <n v="19.857380000000003"/>
    <n v="155.002450991562"/>
  </r>
  <r>
    <s v="17"/>
    <s v="17"/>
    <s v="Neurologická klinika"/>
    <x v="16"/>
    <s v="1712"/>
    <s v="lůžkové oddělení 31B"/>
    <s v="1712 - lůžkové oddělení 31B"/>
    <s v="50113013     léky (paušál) - antibiotika (LEK)"/>
    <x v="7"/>
    <x v="1"/>
    <n v="21.6677"/>
    <n v="20.098815046273"/>
  </r>
  <r>
    <s v="17"/>
    <s v="17"/>
    <s v="Neurologická klinika"/>
    <x v="16"/>
    <s v="1712"/>
    <s v="lůžkové oddělení 31B"/>
    <s v="1712 - lůžkové oddělení 31B"/>
    <s v="50113013     léky (paušál) - antibiotika (LEK)"/>
    <x v="7"/>
    <x v="2"/>
    <n v="18.485220000000002"/>
    <n v="16.457797248437998"/>
  </r>
  <r>
    <s v="17"/>
    <s v="17"/>
    <s v="Neurologická klinika"/>
    <x v="16"/>
    <s v="1712"/>
    <s v="lůžkové oddělení 31B"/>
    <s v="1712 - lůžkové oddělení 31B"/>
    <s v="50113014     léky (paušál) - antimykotika (LEK)"/>
    <x v="8"/>
    <x v="0"/>
    <n v="0.90942000000000001"/>
    <n v="1.1331241963700001"/>
  </r>
  <r>
    <s v="17"/>
    <s v="17"/>
    <s v="Neurologická klinika"/>
    <x v="16"/>
    <s v="1712"/>
    <s v="lůžkové oddělení 31B"/>
    <s v="1712 - lůžkové oddělení 31B"/>
    <s v="50113014     léky (paušál) - antimykotika (LEK)"/>
    <x v="8"/>
    <x v="1"/>
    <n v="0.71211000000000002"/>
    <n v="0.91086332802799996"/>
  </r>
  <r>
    <s v="17"/>
    <s v="17"/>
    <s v="Neurologická klinika"/>
    <x v="16"/>
    <s v="1712"/>
    <s v="lůžkové oddělení 31B"/>
    <s v="1712 - lůžkové oddělení 31B"/>
    <s v="50113014     léky (paušál) - antimykotika (LEK)"/>
    <x v="8"/>
    <x v="2"/>
    <n v="0.43667"/>
    <n v="0.83286768509800002"/>
  </r>
  <r>
    <s v="17"/>
    <s v="17"/>
    <s v="Neurologická klinika"/>
    <x v="16"/>
    <s v="1712"/>
    <s v="lůžkové oddělení 31B"/>
    <s v="1712 - lůžkové oddělení 31B"/>
    <s v="50113190     medicinální plyny"/>
    <x v="9"/>
    <x v="0"/>
    <n v="0"/>
    <n v="3.8763669558339999"/>
  </r>
  <r>
    <s v="17"/>
    <s v="17"/>
    <s v="Neurologická klinika"/>
    <x v="16"/>
    <s v="1712"/>
    <s v="lůžkové oddělení 31B"/>
    <s v="1712 - lůžkové oddělení 31B"/>
    <s v="50113190     medicinální plyny"/>
    <x v="9"/>
    <x v="1"/>
    <n v="0.95679999999999998"/>
    <n v="0"/>
  </r>
  <r>
    <s v="17"/>
    <s v="17"/>
    <s v="Neurologická klinika"/>
    <x v="16"/>
    <s v="1712"/>
    <s v="lůžkové oddělení 31B"/>
    <s v="1712 - lůžkové oddělení 31B"/>
    <s v="50113190     medicinální plyny"/>
    <x v="9"/>
    <x v="2"/>
    <n v="0"/>
    <n v="0.905998795006"/>
  </r>
  <r>
    <s v="17"/>
    <s v="17"/>
    <s v="Neurologická klinika"/>
    <x v="16"/>
    <s v="1712"/>
    <s v="lůžkové oddělení 31B"/>
    <s v="1712 - lůžkové oddělení 31B"/>
    <s v="50115     Zdravotnické prostředky"/>
    <x v="0"/>
    <x v="0"/>
    <n v="150.13746999999998"/>
    <n v="157.73798759495699"/>
  </r>
  <r>
    <s v="17"/>
    <s v="17"/>
    <s v="Neurologická klinika"/>
    <x v="16"/>
    <s v="1712"/>
    <s v="lůžkové oddělení 31B"/>
    <s v="1712 - lůžkové oddělení 31B"/>
    <s v="50115     Zdravotnické prostředky"/>
    <x v="0"/>
    <x v="1"/>
    <n v="138.55441000000002"/>
    <n v="150.20712413918801"/>
  </r>
  <r>
    <s v="17"/>
    <s v="17"/>
    <s v="Neurologická klinika"/>
    <x v="16"/>
    <s v="1712"/>
    <s v="lůžkové oddělení 31B"/>
    <s v="1712 - lůžkové oddělení 31B"/>
    <s v="50115     Zdravotnické prostředky"/>
    <x v="0"/>
    <x v="2"/>
    <n v="113.12111000000002"/>
    <n v="150.780151353739"/>
  </r>
  <r>
    <s v="17"/>
    <s v="17"/>
    <s v="Neurologická klinika"/>
    <x v="16"/>
    <s v="1712"/>
    <s v="lůžkové oddělení 31B"/>
    <s v="1712 - lůžkové oddělení 31B"/>
    <s v="50115020     diagnostika laboratorní-LEK (sk.Z_501)"/>
    <x v="10"/>
    <x v="0"/>
    <n v="1.67326"/>
    <n v="4.592603548594"/>
  </r>
  <r>
    <s v="17"/>
    <s v="17"/>
    <s v="Neurologická klinika"/>
    <x v="16"/>
    <s v="1712"/>
    <s v="lůžkové oddělení 31B"/>
    <s v="1712 - lůžkové oddělení 31B"/>
    <s v="50115020     diagnostika laboratorní-LEK (sk.Z_501)"/>
    <x v="10"/>
    <x v="1"/>
    <n v="0"/>
    <n v="1.6732582277629999"/>
  </r>
  <r>
    <s v="17"/>
    <s v="17"/>
    <s v="Neurologická klinika"/>
    <x v="16"/>
    <s v="1712"/>
    <s v="lůžkové oddělení 31B"/>
    <s v="1712 - lůžkové oddělení 31B"/>
    <s v="50115050     obvazový materiál (sk.Z_502)"/>
    <x v="12"/>
    <x v="0"/>
    <n v="22.064849999998998"/>
    <n v="22.038817359004"/>
  </r>
  <r>
    <s v="17"/>
    <s v="17"/>
    <s v="Neurologická klinika"/>
    <x v="16"/>
    <s v="1712"/>
    <s v="lůžkové oddělení 31B"/>
    <s v="1712 - lůžkové oddělení 31B"/>
    <s v="50115050     obvazový materiál (sk.Z_502)"/>
    <x v="12"/>
    <x v="1"/>
    <n v="18.766720000000003"/>
    <n v="22.115026604431002"/>
  </r>
  <r>
    <s v="17"/>
    <s v="17"/>
    <s v="Neurologická klinika"/>
    <x v="16"/>
    <s v="1712"/>
    <s v="lůžkové oddělení 31B"/>
    <s v="1712 - lůžkové oddělení 31B"/>
    <s v="50115050     obvazový materiál (sk.Z_502)"/>
    <x v="12"/>
    <x v="2"/>
    <n v="12.435140000000001"/>
    <n v="17.644291219037999"/>
  </r>
  <r>
    <s v="17"/>
    <s v="17"/>
    <s v="Neurologická klinika"/>
    <x v="16"/>
    <s v="1712"/>
    <s v="lůžkové oddělení 31B"/>
    <s v="1712 - lůžkové oddělení 31B"/>
    <s v="50115060     ostatní ZPr - mimo níže uvedené (sk.Z_503)"/>
    <x v="1"/>
    <x v="0"/>
    <n v="36.902940000000001"/>
    <n v="35.149933079222997"/>
  </r>
  <r>
    <s v="17"/>
    <s v="17"/>
    <s v="Neurologická klinika"/>
    <x v="16"/>
    <s v="1712"/>
    <s v="lůžkové oddělení 31B"/>
    <s v="1712 - lůžkové oddělení 31B"/>
    <s v="50115060     ostatní ZPr - mimo níže uvedené (sk.Z_503)"/>
    <x v="1"/>
    <x v="1"/>
    <n v="45.145180000000003"/>
    <n v="36.902661997598003"/>
  </r>
  <r>
    <s v="17"/>
    <s v="17"/>
    <s v="Neurologická klinika"/>
    <x v="16"/>
    <s v="1712"/>
    <s v="lůžkové oddělení 31B"/>
    <s v="1712 - lůžkové oddělení 31B"/>
    <s v="50115060     ostatní ZPr - mimo níže uvedené (sk.Z_503)"/>
    <x v="1"/>
    <x v="2"/>
    <n v="38.510669999999998"/>
    <n v="46.420520599588997"/>
  </r>
  <r>
    <s v="17"/>
    <s v="17"/>
    <s v="Neurologická klinika"/>
    <x v="16"/>
    <s v="1712"/>
    <s v="lůžkové oddělení 31B"/>
    <s v="1712 - lůžkové oddělení 31B"/>
    <s v="50115063     ostatní ZPr - vaky, sety (sk.Z_528)"/>
    <x v="13"/>
    <x v="0"/>
    <n v="46.354999999998995"/>
    <n v="53.200605187850996"/>
  </r>
  <r>
    <s v="17"/>
    <s v="17"/>
    <s v="Neurologická klinika"/>
    <x v="16"/>
    <s v="1712"/>
    <s v="lůžkové oddělení 31B"/>
    <s v="1712 - lůžkové oddělení 31B"/>
    <s v="50115063     ostatní ZPr - vaky, sety (sk.Z_528)"/>
    <x v="13"/>
    <x v="1"/>
    <n v="28.572000000000003"/>
    <n v="38.410490001018999"/>
  </r>
  <r>
    <s v="17"/>
    <s v="17"/>
    <s v="Neurologická klinika"/>
    <x v="16"/>
    <s v="1712"/>
    <s v="lůžkové oddělení 31B"/>
    <s v="1712 - lůžkové oddělení 31B"/>
    <s v="50115063     ostatní ZPr - vaky, sety (sk.Z_528)"/>
    <x v="13"/>
    <x v="2"/>
    <n v="26.691200000000002"/>
    <n v="36.128675501497"/>
  </r>
  <r>
    <s v="17"/>
    <s v="17"/>
    <s v="Neurologická klinika"/>
    <x v="16"/>
    <s v="1712"/>
    <s v="lůžkové oddělení 31B"/>
    <s v="1712 - lůžkové oddělení 31B"/>
    <s v="50115065     ostatní ZPr - vpichovací materiál (sk.Z_530)"/>
    <x v="14"/>
    <x v="0"/>
    <n v="30.328779999998996"/>
    <n v="28.504105736972999"/>
  </r>
  <r>
    <s v="17"/>
    <s v="17"/>
    <s v="Neurologická klinika"/>
    <x v="16"/>
    <s v="1712"/>
    <s v="lůžkové oddělení 31B"/>
    <s v="1712 - lůžkové oddělení 31B"/>
    <s v="50115065     ostatní ZPr - vpichovací materiál (sk.Z_530)"/>
    <x v="14"/>
    <x v="1"/>
    <n v="31.111889999999999"/>
    <n v="38.111742284496998"/>
  </r>
  <r>
    <s v="17"/>
    <s v="17"/>
    <s v="Neurologická klinika"/>
    <x v="16"/>
    <s v="1712"/>
    <s v="lůžkové oddělení 31B"/>
    <s v="1712 - lůžkové oddělení 31B"/>
    <s v="50115065     ostatní ZPr - vpichovací materiál (sk.Z_530)"/>
    <x v="14"/>
    <x v="2"/>
    <n v="26.503400000000003"/>
    <n v="38.627029253304002"/>
  </r>
  <r>
    <s v="17"/>
    <s v="17"/>
    <s v="Neurologická klinika"/>
    <x v="16"/>
    <s v="1712"/>
    <s v="lůžkové oddělení 31B"/>
    <s v="1712 - lůžkové oddělení 31B"/>
    <s v="50115067     ostatní ZPr - rukavice (sk.Z_532)"/>
    <x v="15"/>
    <x v="0"/>
    <n v="12.81264"/>
    <n v="14.251922683309999"/>
  </r>
  <r>
    <s v="17"/>
    <s v="17"/>
    <s v="Neurologická klinika"/>
    <x v="16"/>
    <s v="1712"/>
    <s v="lůžkové oddělení 31B"/>
    <s v="1712 - lůžkové oddělení 31B"/>
    <s v="50115067     ostatní ZPr - rukavice (sk.Z_532)"/>
    <x v="15"/>
    <x v="1"/>
    <n v="14.958619999999998"/>
    <n v="12.993945023877"/>
  </r>
  <r>
    <s v="17"/>
    <s v="17"/>
    <s v="Neurologická klinika"/>
    <x v="16"/>
    <s v="1712"/>
    <s v="lůžkové oddělení 31B"/>
    <s v="1712 - lůžkové oddělení 31B"/>
    <s v="50115067     ostatní ZPr - rukavice (sk.Z_532)"/>
    <x v="15"/>
    <x v="2"/>
    <n v="8.9807000000000006"/>
    <n v="11.959634780309001"/>
  </r>
  <r>
    <s v="17"/>
    <s v="17"/>
    <s v="Neurologická klinika"/>
    <x v="16"/>
    <s v="1713"/>
    <s v="lůžkové oddělení 35"/>
    <s v="1713 - lůžkové oddělení 35"/>
    <s v="50113     Léky a léčiva"/>
    <x v="2"/>
    <x v="0"/>
    <n v="461.27915999999902"/>
    <n v="0"/>
  </r>
  <r>
    <s v="17"/>
    <s v="17"/>
    <s v="Neurologická klinika"/>
    <x v="16"/>
    <s v="1713"/>
    <s v="lůžkové oddělení 35"/>
    <s v="1713 - lůžkové oddělení 35"/>
    <s v="50113     Léky a léčiva"/>
    <x v="2"/>
    <x v="1"/>
    <n v="392.96135000000004"/>
    <n v="459.08431348667102"/>
  </r>
  <r>
    <s v="17"/>
    <s v="17"/>
    <s v="Neurologická klinika"/>
    <x v="16"/>
    <s v="1713"/>
    <s v="lůžkové oddělení 35"/>
    <s v="1713 - lůžkové oddělení 35"/>
    <s v="50113     Léky a léčiva"/>
    <x v="2"/>
    <x v="2"/>
    <n v="431.09540000000004"/>
    <n v="293.58178690162703"/>
  </r>
  <r>
    <s v="17"/>
    <s v="17"/>
    <s v="Neurologická klinika"/>
    <x v="16"/>
    <s v="1713"/>
    <s v="lůžkové oddělení 35"/>
    <s v="1713 - lůžkové oddělení 35"/>
    <s v="50113001     léky - paušál+TISS (LEK)"/>
    <x v="3"/>
    <x v="0"/>
    <n v="213.46743999999902"/>
    <n v="0"/>
  </r>
  <r>
    <s v="17"/>
    <s v="17"/>
    <s v="Neurologická klinika"/>
    <x v="16"/>
    <s v="1713"/>
    <s v="lůžkové oddělení 35"/>
    <s v="1713 - lůžkové oddělení 35"/>
    <s v="50113001     léky - paušál+TISS (LEK)"/>
    <x v="3"/>
    <x v="1"/>
    <n v="296.54478"/>
    <n v="213.46818548602701"/>
  </r>
  <r>
    <s v="17"/>
    <s v="17"/>
    <s v="Neurologická klinika"/>
    <x v="16"/>
    <s v="1713"/>
    <s v="lůžkové oddělení 35"/>
    <s v="1713 - lůžkové oddělení 35"/>
    <s v="50113001     léky - paušál+TISS (LEK)"/>
    <x v="3"/>
    <x v="2"/>
    <n v="400.88047999999998"/>
    <n v="222.81175025722601"/>
  </r>
  <r>
    <s v="17"/>
    <s v="17"/>
    <s v="Neurologická klinika"/>
    <x v="16"/>
    <s v="1713"/>
    <s v="lůžkové oddělení 35"/>
    <s v="1713 - lůžkové oddělení 35"/>
    <s v="50113002     léky - parenterální výživa (LEK)"/>
    <x v="17"/>
    <x v="2"/>
    <n v="3.0989"/>
    <n v="4"/>
  </r>
  <r>
    <s v="17"/>
    <s v="17"/>
    <s v="Neurologická klinika"/>
    <x v="16"/>
    <s v="1713"/>
    <s v="lůžkové oddělení 35"/>
    <s v="1713 - lůžkové oddělení 35"/>
    <s v="50113006     léky - enterální výživa (LEK)"/>
    <x v="4"/>
    <x v="0"/>
    <n v="28.027979999999999"/>
    <n v="0"/>
  </r>
  <r>
    <s v="17"/>
    <s v="17"/>
    <s v="Neurologická klinika"/>
    <x v="16"/>
    <s v="1713"/>
    <s v="lůžkové oddělení 35"/>
    <s v="1713 - lůžkové oddělení 35"/>
    <s v="50113006     léky - enterální výživa (LEK)"/>
    <x v="4"/>
    <x v="1"/>
    <n v="34.260779999999997"/>
    <n v="27.986105781214"/>
  </r>
  <r>
    <s v="17"/>
    <s v="17"/>
    <s v="Neurologická klinika"/>
    <x v="16"/>
    <s v="1713"/>
    <s v="lůžkové oddělení 35"/>
    <s v="1713 - lůžkové oddělení 35"/>
    <s v="50113006     léky - enterální výživa (LEK)"/>
    <x v="4"/>
    <x v="2"/>
    <n v="12.55795"/>
    <n v="16"/>
  </r>
  <r>
    <s v="17"/>
    <s v="17"/>
    <s v="Neurologická klinika"/>
    <x v="16"/>
    <s v="1713"/>
    <s v="lůžkové oddělení 35"/>
    <s v="1713 - lůžkové oddělení 35"/>
    <s v="50113008     léky - krev.deriváty ZUL (TO)"/>
    <x v="5"/>
    <x v="0"/>
    <n v="32.148000000000003"/>
    <n v="0"/>
  </r>
  <r>
    <s v="17"/>
    <s v="17"/>
    <s v="Neurologická klinika"/>
    <x v="16"/>
    <s v="1713"/>
    <s v="lůžkové oddělení 35"/>
    <s v="1713 - lůžkové oddělení 35"/>
    <s v="50113008     léky - krev.deriváty ZUL (TO)"/>
    <x v="5"/>
    <x v="1"/>
    <n v="0"/>
    <n v="30.000263420052001"/>
  </r>
  <r>
    <s v="17"/>
    <s v="17"/>
    <s v="Neurologická klinika"/>
    <x v="16"/>
    <s v="1713"/>
    <s v="lůžkové oddělení 35"/>
    <s v="1713 - lůžkové oddělení 35"/>
    <s v="50113012     léky - trombolýza (LEK)"/>
    <x v="19"/>
    <x v="0"/>
    <n v="183.39845"/>
    <n v="0"/>
  </r>
  <r>
    <s v="17"/>
    <s v="17"/>
    <s v="Neurologická klinika"/>
    <x v="16"/>
    <s v="1713"/>
    <s v="lůžkové oddělení 35"/>
    <s v="1713 - lůžkové oddělení 35"/>
    <s v="50113012     léky - trombolýza (LEK)"/>
    <x v="19"/>
    <x v="1"/>
    <n v="52.482089999999999"/>
    <n v="183.345655747205"/>
  </r>
  <r>
    <s v="17"/>
    <s v="17"/>
    <s v="Neurologická klinika"/>
    <x v="16"/>
    <s v="1713"/>
    <s v="lůžkové oddělení 35"/>
    <s v="1713 - lůžkové oddělení 35"/>
    <s v="50113012     léky - trombolýza (LEK)"/>
    <x v="19"/>
    <x v="2"/>
    <n v="4.9961599999999997"/>
    <n v="44.014587187863"/>
  </r>
  <r>
    <s v="17"/>
    <s v="17"/>
    <s v="Neurologická klinika"/>
    <x v="16"/>
    <s v="1713"/>
    <s v="lůžkové oddělení 35"/>
    <s v="1713 - lůžkové oddělení 35"/>
    <s v="50113013     léky (paušál) - antibiotika (LEK)"/>
    <x v="7"/>
    <x v="0"/>
    <n v="3.7921399999990002"/>
    <n v="0"/>
  </r>
  <r>
    <s v="17"/>
    <s v="17"/>
    <s v="Neurologická klinika"/>
    <x v="16"/>
    <s v="1713"/>
    <s v="lůžkové oddělení 35"/>
    <s v="1713 - lůžkové oddělení 35"/>
    <s v="50113013     léky (paušál) - antibiotika (LEK)"/>
    <x v="7"/>
    <x v="1"/>
    <n v="9.4360700000000008"/>
    <n v="3.8382465607029999"/>
  </r>
  <r>
    <s v="17"/>
    <s v="17"/>
    <s v="Neurologická klinika"/>
    <x v="16"/>
    <s v="1713"/>
    <s v="lůžkové oddělení 35"/>
    <s v="1713 - lůžkové oddělení 35"/>
    <s v="50113013     léky (paušál) - antibiotika (LEK)"/>
    <x v="7"/>
    <x v="2"/>
    <n v="9.561910000000001"/>
    <n v="6.3905160248449997"/>
  </r>
  <r>
    <s v="17"/>
    <s v="17"/>
    <s v="Neurologická klinika"/>
    <x v="16"/>
    <s v="1713"/>
    <s v="lůžkové oddělení 35"/>
    <s v="1713 - lůžkové oddělení 35"/>
    <s v="50113014     léky (paušál) - antimykotika (LEK)"/>
    <x v="8"/>
    <x v="0"/>
    <n v="0.44514999999999999"/>
    <n v="0"/>
  </r>
  <r>
    <s v="17"/>
    <s v="17"/>
    <s v="Neurologická klinika"/>
    <x v="16"/>
    <s v="1713"/>
    <s v="lůžkové oddělení 35"/>
    <s v="1713 - lůžkové oddělení 35"/>
    <s v="50113014     léky (paušál) - antimykotika (LEK)"/>
    <x v="8"/>
    <x v="1"/>
    <n v="0.23763000000000001"/>
    <n v="0.44585649146900003"/>
  </r>
  <r>
    <s v="17"/>
    <s v="17"/>
    <s v="Neurologická klinika"/>
    <x v="16"/>
    <s v="1713"/>
    <s v="lůžkové oddělení 35"/>
    <s v="1713 - lůžkové oddělení 35"/>
    <s v="50113014     léky (paušál) - antimykotika (LEK)"/>
    <x v="8"/>
    <x v="2"/>
    <n v="0"/>
    <n v="0.36493343169199999"/>
  </r>
  <r>
    <s v="17"/>
    <s v="17"/>
    <s v="Neurologická klinika"/>
    <x v="16"/>
    <s v="1713"/>
    <s v="lůžkové oddělení 35"/>
    <s v="1713 - lůžkové oddělení 35"/>
    <s v="50115     Zdravotnické prostředky"/>
    <x v="0"/>
    <x v="0"/>
    <n v="115.06576000000001"/>
    <n v="0"/>
  </r>
  <r>
    <s v="17"/>
    <s v="17"/>
    <s v="Neurologická klinika"/>
    <x v="16"/>
    <s v="1713"/>
    <s v="lůžkové oddělení 35"/>
    <s v="1713 - lůžkové oddělení 35"/>
    <s v="50115     Zdravotnické prostředky"/>
    <x v="0"/>
    <x v="1"/>
    <n v="120.20672"/>
    <n v="115.09818775254099"/>
  </r>
  <r>
    <s v="17"/>
    <s v="17"/>
    <s v="Neurologická klinika"/>
    <x v="16"/>
    <s v="1713"/>
    <s v="lůžkové oddělení 35"/>
    <s v="1713 - lůžkové oddělení 35"/>
    <s v="50115     Zdravotnické prostředky"/>
    <x v="0"/>
    <x v="2"/>
    <n v="76.558369999999996"/>
    <n v="106.757562852201"/>
  </r>
  <r>
    <s v="17"/>
    <s v="17"/>
    <s v="Neurologická klinika"/>
    <x v="16"/>
    <s v="1713"/>
    <s v="lůžkové oddělení 35"/>
    <s v="1713 - lůžkové oddělení 35"/>
    <s v="50115020     diagnostika laboratorní-LEK (sk.Z_501)"/>
    <x v="10"/>
    <x v="0"/>
    <n v="7.1243999999999996"/>
    <n v="0"/>
  </r>
  <r>
    <s v="17"/>
    <s v="17"/>
    <s v="Neurologická klinika"/>
    <x v="16"/>
    <s v="1713"/>
    <s v="lůžkové oddělení 35"/>
    <s v="1713 - lůžkové oddělení 35"/>
    <s v="50115020     diagnostika laboratorní-LEK (sk.Z_501)"/>
    <x v="10"/>
    <x v="1"/>
    <n v="11.826889999999999"/>
    <n v="7.1243924541780004"/>
  </r>
  <r>
    <s v="17"/>
    <s v="17"/>
    <s v="Neurologická klinika"/>
    <x v="16"/>
    <s v="1713"/>
    <s v="lůžkové oddělení 35"/>
    <s v="1713 - lůžkové oddělení 35"/>
    <s v="50115020     diagnostika laboratorní-LEK (sk.Z_501)"/>
    <x v="10"/>
    <x v="2"/>
    <n v="4.46204"/>
    <n v="10.647197556009001"/>
  </r>
  <r>
    <s v="17"/>
    <s v="17"/>
    <s v="Neurologická klinika"/>
    <x v="16"/>
    <s v="1713"/>
    <s v="lůžkové oddělení 35"/>
    <s v="1713 - lůžkové oddělení 35"/>
    <s v="50115050     obvazový materiál (sk.Z_502)"/>
    <x v="12"/>
    <x v="0"/>
    <n v="18.170029999999002"/>
    <n v="0"/>
  </r>
  <r>
    <s v="17"/>
    <s v="17"/>
    <s v="Neurologická klinika"/>
    <x v="16"/>
    <s v="1713"/>
    <s v="lůžkové oddělení 35"/>
    <s v="1713 - lůžkové oddělení 35"/>
    <s v="50115050     obvazový materiál (sk.Z_502)"/>
    <x v="12"/>
    <x v="1"/>
    <n v="18.028519999999997"/>
    <n v="18.211349583311002"/>
  </r>
  <r>
    <s v="17"/>
    <s v="17"/>
    <s v="Neurologická klinika"/>
    <x v="16"/>
    <s v="1713"/>
    <s v="lůžkové oddělení 35"/>
    <s v="1713 - lůžkové oddělení 35"/>
    <s v="50115050     obvazový materiál (sk.Z_502)"/>
    <x v="12"/>
    <x v="2"/>
    <n v="11.26121"/>
    <n v="15.376516764222"/>
  </r>
  <r>
    <s v="17"/>
    <s v="17"/>
    <s v="Neurologická klinika"/>
    <x v="16"/>
    <s v="1713"/>
    <s v="lůžkové oddělení 35"/>
    <s v="1713 - lůžkové oddělení 35"/>
    <s v="50115060     ostatní ZPr - mimo níže uvedené (sk.Z_503)"/>
    <x v="1"/>
    <x v="0"/>
    <n v="61.790130000000012"/>
    <n v="0"/>
  </r>
  <r>
    <s v="17"/>
    <s v="17"/>
    <s v="Neurologická klinika"/>
    <x v="16"/>
    <s v="1713"/>
    <s v="lůžkové oddělení 35"/>
    <s v="1713 - lůžkové oddělení 35"/>
    <s v="50115060     ostatní ZPr - mimo níže uvedené (sk.Z_503)"/>
    <x v="1"/>
    <x v="1"/>
    <n v="62.290160000000007"/>
    <n v="61.789664513928997"/>
  </r>
  <r>
    <s v="17"/>
    <s v="17"/>
    <s v="Neurologická klinika"/>
    <x v="16"/>
    <s v="1713"/>
    <s v="lůžkové oddělení 35"/>
    <s v="1713 - lůžkové oddělení 35"/>
    <s v="50115060     ostatní ZPr - mimo níže uvedené (sk.Z_503)"/>
    <x v="1"/>
    <x v="2"/>
    <n v="42.343730000000001"/>
    <n v="56.254594838964003"/>
  </r>
  <r>
    <s v="17"/>
    <s v="17"/>
    <s v="Neurologická klinika"/>
    <x v="16"/>
    <s v="1713"/>
    <s v="lůžkové oddělení 35"/>
    <s v="1713 - lůžkové oddělení 35"/>
    <s v="50115063     ostatní ZPr - vaky, sety (sk.Z_528)"/>
    <x v="13"/>
    <x v="0"/>
    <n v="11.943000000000001"/>
    <n v="0"/>
  </r>
  <r>
    <s v="17"/>
    <s v="17"/>
    <s v="Neurologická klinika"/>
    <x v="16"/>
    <s v="1713"/>
    <s v="lůžkové oddělení 35"/>
    <s v="1713 - lůžkové oddělení 35"/>
    <s v="50115063     ostatní ZPr - vaky, sety (sk.Z_528)"/>
    <x v="13"/>
    <x v="1"/>
    <n v="11.431999999999999"/>
    <n v="11.699653896232"/>
  </r>
  <r>
    <s v="17"/>
    <s v="17"/>
    <s v="Neurologická klinika"/>
    <x v="16"/>
    <s v="1713"/>
    <s v="lůžkové oddělení 35"/>
    <s v="1713 - lůžkové oddělení 35"/>
    <s v="50115063     ostatní ZPr - vaky, sety (sk.Z_528)"/>
    <x v="13"/>
    <x v="2"/>
    <n v="8.1639999999999997"/>
    <n v="10.625162348495"/>
  </r>
  <r>
    <s v="17"/>
    <s v="17"/>
    <s v="Neurologická klinika"/>
    <x v="16"/>
    <s v="1713"/>
    <s v="lůžkové oddělení 35"/>
    <s v="1713 - lůžkové oddělení 35"/>
    <s v="50115065     ostatní ZPr - vpichovací materiál (sk.Z_530)"/>
    <x v="14"/>
    <x v="0"/>
    <n v="0.68399999999999994"/>
    <n v="0"/>
  </r>
  <r>
    <s v="17"/>
    <s v="17"/>
    <s v="Neurologická klinika"/>
    <x v="16"/>
    <s v="1713"/>
    <s v="lůžkové oddělení 35"/>
    <s v="1713 - lůžkové oddělení 35"/>
    <s v="50115065     ostatní ZPr - vpichovací materiál (sk.Z_530)"/>
    <x v="14"/>
    <x v="1"/>
    <n v="0.73"/>
    <n v="0.701657983529"/>
  </r>
  <r>
    <s v="17"/>
    <s v="17"/>
    <s v="Neurologická klinika"/>
    <x v="16"/>
    <s v="1713"/>
    <s v="lůžkové oddělení 35"/>
    <s v="1713 - lůžkové oddělení 35"/>
    <s v="50115065     ostatní ZPr - vpichovací materiál (sk.Z_530)"/>
    <x v="14"/>
    <x v="2"/>
    <n v="0.70599999999999996"/>
    <n v="0.89348264000699995"/>
  </r>
  <r>
    <s v="17"/>
    <s v="17"/>
    <s v="Neurologická klinika"/>
    <x v="16"/>
    <s v="1713"/>
    <s v="lůžkové oddělení 35"/>
    <s v="1713 - lůžkové oddělení 35"/>
    <s v="50115067     ostatní ZPr - rukavice (sk.Z_532)"/>
    <x v="15"/>
    <x v="0"/>
    <n v="15.354199999999"/>
    <n v="0"/>
  </r>
  <r>
    <s v="17"/>
    <s v="17"/>
    <s v="Neurologická klinika"/>
    <x v="16"/>
    <s v="1713"/>
    <s v="lůžkové oddělení 35"/>
    <s v="1713 - lůžkové oddělení 35"/>
    <s v="50115067     ostatní ZPr - rukavice (sk.Z_532)"/>
    <x v="15"/>
    <x v="1"/>
    <n v="15.899149999999999"/>
    <n v="15.571469321359"/>
  </r>
  <r>
    <s v="17"/>
    <s v="17"/>
    <s v="Neurologická klinika"/>
    <x v="16"/>
    <s v="1713"/>
    <s v="lůžkové oddělení 35"/>
    <s v="1713 - lůžkové oddělení 35"/>
    <s v="50115067     ostatní ZPr - rukavice (sk.Z_532)"/>
    <x v="15"/>
    <x v="2"/>
    <n v="9.6213899999999999"/>
    <n v="12.960608704501"/>
  </r>
  <r>
    <s v="17"/>
    <s v="17"/>
    <s v="Neurologická klinika"/>
    <x v="16"/>
    <s v="1721"/>
    <s v="ambulance"/>
    <s v="1721 - ambulance"/>
    <s v="50113     Léky a léčiva"/>
    <x v="2"/>
    <x v="0"/>
    <n v="9326.9383300000027"/>
    <n v="7363.8096101168403"/>
  </r>
  <r>
    <s v="17"/>
    <s v="17"/>
    <s v="Neurologická klinika"/>
    <x v="16"/>
    <s v="1721"/>
    <s v="ambulance"/>
    <s v="1721 - ambulance"/>
    <s v="50113     Léky a léčiva"/>
    <x v="2"/>
    <x v="1"/>
    <n v="9452.9526100000021"/>
    <n v="9335.3557608916199"/>
  </r>
  <r>
    <s v="17"/>
    <s v="17"/>
    <s v="Neurologická klinika"/>
    <x v="16"/>
    <s v="1721"/>
    <s v="ambulance"/>
    <s v="1721 - ambulance"/>
    <s v="50113     Léky a léčiva"/>
    <x v="2"/>
    <x v="2"/>
    <n v="5794.1926700000004"/>
    <n v="8461.2037307257106"/>
  </r>
  <r>
    <s v="17"/>
    <s v="17"/>
    <s v="Neurologická klinika"/>
    <x v="16"/>
    <s v="1721"/>
    <s v="ambulance"/>
    <s v="1721 - ambulance"/>
    <s v="50113001     léky - paušál+TISS (LEK)"/>
    <x v="3"/>
    <x v="0"/>
    <n v="5535.3364300000003"/>
    <n v="4519.7473342930098"/>
  </r>
  <r>
    <s v="17"/>
    <s v="17"/>
    <s v="Neurologická klinika"/>
    <x v="16"/>
    <s v="1721"/>
    <s v="ambulance"/>
    <s v="1721 - ambulance"/>
    <s v="50113001     léky - paušál+TISS (LEK)"/>
    <x v="3"/>
    <x v="1"/>
    <n v="6372.0683900000004"/>
    <n v="5535.3557608916899"/>
  </r>
  <r>
    <s v="17"/>
    <s v="17"/>
    <s v="Neurologická klinika"/>
    <x v="16"/>
    <s v="1721"/>
    <s v="ambulance"/>
    <s v="1721 - ambulance"/>
    <s v="50113001     léky - paušál+TISS (LEK)"/>
    <x v="3"/>
    <x v="2"/>
    <n v="3820.3138500000023"/>
    <n v="5503.8037307257"/>
  </r>
  <r>
    <s v="17"/>
    <s v="17"/>
    <s v="Neurologická klinika"/>
    <x v="16"/>
    <s v="1721"/>
    <s v="ambulance"/>
    <s v="1721 - ambulance"/>
    <s v="50113010     léky - botox (LEK)"/>
    <x v="55"/>
    <x v="0"/>
    <n v="3791.6018999999997"/>
    <n v="2843.6799961063798"/>
  </r>
  <r>
    <s v="17"/>
    <s v="17"/>
    <s v="Neurologická klinika"/>
    <x v="16"/>
    <s v="1721"/>
    <s v="ambulance"/>
    <s v="1721 - ambulance"/>
    <s v="50113010     léky - botox (LEK)"/>
    <x v="55"/>
    <x v="1"/>
    <n v="3080.8842200000022"/>
    <n v="3799.99999999993"/>
  </r>
  <r>
    <s v="17"/>
    <s v="17"/>
    <s v="Neurologická klinika"/>
    <x v="16"/>
    <s v="1721"/>
    <s v="ambulance"/>
    <s v="1721 - ambulance"/>
    <s v="50113010     léky - botox (LEK)"/>
    <x v="55"/>
    <x v="2"/>
    <n v="1973.8788200000001"/>
    <n v="2957.4"/>
  </r>
  <r>
    <s v="17"/>
    <s v="17"/>
    <s v="Neurologická klinika"/>
    <x v="16"/>
    <s v="1721"/>
    <s v="ambulance"/>
    <s v="1721 - ambulance"/>
    <s v="50113190     medicinální plyny"/>
    <x v="9"/>
    <x v="0"/>
    <n v="0"/>
    <n v="0.38227971744099998"/>
  </r>
  <r>
    <s v="17"/>
    <s v="17"/>
    <s v="Neurologická klinika"/>
    <x v="16"/>
    <s v="1721"/>
    <s v="ambulance"/>
    <s v="1721 - ambulance"/>
    <s v="50115     Zdravotnické prostředky"/>
    <x v="0"/>
    <x v="0"/>
    <n v="45.027740000000001"/>
    <n v="40.121771800685998"/>
  </r>
  <r>
    <s v="17"/>
    <s v="17"/>
    <s v="Neurologická klinika"/>
    <x v="16"/>
    <s v="1721"/>
    <s v="ambulance"/>
    <s v="1721 - ambulance"/>
    <s v="50115     Zdravotnické prostředky"/>
    <x v="0"/>
    <x v="1"/>
    <n v="42.855339999999998"/>
    <n v="45.121698854959"/>
  </r>
  <r>
    <s v="17"/>
    <s v="17"/>
    <s v="Neurologická klinika"/>
    <x v="16"/>
    <s v="1721"/>
    <s v="ambulance"/>
    <s v="1721 - ambulance"/>
    <s v="50115     Zdravotnické prostředky"/>
    <x v="0"/>
    <x v="2"/>
    <n v="27.83896"/>
    <n v="40.970134394273003"/>
  </r>
  <r>
    <s v="17"/>
    <s v="17"/>
    <s v="Neurologická klinika"/>
    <x v="16"/>
    <s v="1721"/>
    <s v="ambulance"/>
    <s v="1721 - ambulance"/>
    <s v="50115020     diagnostika laboratorní-LEK (sk.Z_501)"/>
    <x v="10"/>
    <x v="0"/>
    <n v="5.1484700000000005"/>
    <n v="0"/>
  </r>
  <r>
    <s v="17"/>
    <s v="17"/>
    <s v="Neurologická klinika"/>
    <x v="16"/>
    <s v="1721"/>
    <s v="ambulance"/>
    <s v="1721 - ambulance"/>
    <s v="50115020     diagnostika laboratorní-LEK (sk.Z_501)"/>
    <x v="10"/>
    <x v="1"/>
    <n v="3.8837000000000002"/>
    <n v="5.1484645469880004"/>
  </r>
  <r>
    <s v="17"/>
    <s v="17"/>
    <s v="Neurologická klinika"/>
    <x v="16"/>
    <s v="1721"/>
    <s v="ambulance"/>
    <s v="1721 - ambulance"/>
    <s v="50115020     diagnostika laboratorní-LEK (sk.Z_501)"/>
    <x v="10"/>
    <x v="2"/>
    <n v="0.871"/>
    <n v="5.5040434995789997"/>
  </r>
  <r>
    <s v="17"/>
    <s v="17"/>
    <s v="Neurologická klinika"/>
    <x v="16"/>
    <s v="1721"/>
    <s v="ambulance"/>
    <s v="1721 - ambulance"/>
    <s v="50115040     laboratorní materiál (sk.Z_505)"/>
    <x v="11"/>
    <x v="0"/>
    <n v="0.94747999999999999"/>
    <n v="0"/>
  </r>
  <r>
    <s v="17"/>
    <s v="17"/>
    <s v="Neurologická klinika"/>
    <x v="16"/>
    <s v="1721"/>
    <s v="ambulance"/>
    <s v="1721 - ambulance"/>
    <s v="50115040     laboratorní materiál (sk.Z_505)"/>
    <x v="11"/>
    <x v="1"/>
    <n v="0.95589999999999997"/>
    <n v="0.94753989800100002"/>
  </r>
  <r>
    <s v="17"/>
    <s v="17"/>
    <s v="Neurologická klinika"/>
    <x v="16"/>
    <s v="1721"/>
    <s v="ambulance"/>
    <s v="1721 - ambulance"/>
    <s v="50115050     obvazový materiál (sk.Z_502)"/>
    <x v="12"/>
    <x v="0"/>
    <n v="7.3331499999999998"/>
    <n v="7.346310453779"/>
  </r>
  <r>
    <s v="17"/>
    <s v="17"/>
    <s v="Neurologická klinika"/>
    <x v="16"/>
    <s v="1721"/>
    <s v="ambulance"/>
    <s v="1721 - ambulance"/>
    <s v="50115050     obvazový materiál (sk.Z_502)"/>
    <x v="12"/>
    <x v="1"/>
    <n v="6.99777"/>
    <n v="7.3498259604880003"/>
  </r>
  <r>
    <s v="17"/>
    <s v="17"/>
    <s v="Neurologická klinika"/>
    <x v="16"/>
    <s v="1721"/>
    <s v="ambulance"/>
    <s v="1721 - ambulance"/>
    <s v="50115050     obvazový materiál (sk.Z_502)"/>
    <x v="12"/>
    <x v="2"/>
    <n v="4.5097399999999999"/>
    <n v="6.9099600526879996"/>
  </r>
  <r>
    <s v="17"/>
    <s v="17"/>
    <s v="Neurologická klinika"/>
    <x v="16"/>
    <s v="1721"/>
    <s v="ambulance"/>
    <s v="1721 - ambulance"/>
    <s v="50115060     ostatní ZPr - mimo níže uvedené (sk.Z_503)"/>
    <x v="1"/>
    <x v="0"/>
    <n v="28.421239999999997"/>
    <n v="28.499976550696001"/>
  </r>
  <r>
    <s v="17"/>
    <s v="17"/>
    <s v="Neurologická klinika"/>
    <x v="16"/>
    <s v="1721"/>
    <s v="ambulance"/>
    <s v="1721 - ambulance"/>
    <s v="50115060     ostatní ZPr - mimo níže uvedené (sk.Z_503)"/>
    <x v="1"/>
    <x v="1"/>
    <n v="28.72467"/>
    <n v="28.42102589313"/>
  </r>
  <r>
    <s v="17"/>
    <s v="17"/>
    <s v="Neurologická klinika"/>
    <x v="16"/>
    <s v="1721"/>
    <s v="ambulance"/>
    <s v="1721 - ambulance"/>
    <s v="50115060     ostatní ZPr - mimo níže uvedené (sk.Z_503)"/>
    <x v="1"/>
    <x v="2"/>
    <n v="19.49372"/>
    <n v="25.713754492843002"/>
  </r>
  <r>
    <s v="17"/>
    <s v="17"/>
    <s v="Neurologická klinika"/>
    <x v="16"/>
    <s v="1721"/>
    <s v="ambulance"/>
    <s v="1721 - ambulance"/>
    <s v="50115063     ostatní ZPr - vaky, sety (sk.Z_528)"/>
    <x v="13"/>
    <x v="0"/>
    <n v="0"/>
    <n v="0.94997212794200003"/>
  </r>
  <r>
    <s v="17"/>
    <s v="17"/>
    <s v="Neurologická klinika"/>
    <x v="16"/>
    <s v="1721"/>
    <s v="ambulance"/>
    <s v="1721 - ambulance"/>
    <s v="50115065     ostatní ZPr - vpichovací materiál (sk.Z_530)"/>
    <x v="14"/>
    <x v="0"/>
    <n v="2.7843999999999998"/>
    <n v="2.8504105736969998"/>
  </r>
  <r>
    <s v="17"/>
    <s v="17"/>
    <s v="Neurologická klinika"/>
    <x v="16"/>
    <s v="1721"/>
    <s v="ambulance"/>
    <s v="1721 - ambulance"/>
    <s v="50115065     ostatní ZPr - vpichovací materiál (sk.Z_530)"/>
    <x v="14"/>
    <x v="1"/>
    <n v="2.2933000000000003"/>
    <n v="2.8562814171639999"/>
  </r>
  <r>
    <s v="17"/>
    <s v="17"/>
    <s v="Neurologická klinika"/>
    <x v="16"/>
    <s v="1721"/>
    <s v="ambulance"/>
    <s v="1721 - ambulance"/>
    <s v="50115065     ostatní ZPr - vpichovací materiál (sk.Z_530)"/>
    <x v="14"/>
    <x v="2"/>
    <n v="2.9645000000000001"/>
    <n v="2.842376349162"/>
  </r>
  <r>
    <s v="17"/>
    <s v="17"/>
    <s v="Neurologická klinika"/>
    <x v="16"/>
    <s v="1721"/>
    <s v="ambulance"/>
    <s v="1721 - ambulance"/>
    <s v="50115067     ostatní ZPr - rukavice (sk.Z_532)"/>
    <x v="15"/>
    <x v="0"/>
    <n v="0.39300000000000002"/>
    <n v="0.47510209457000002"/>
  </r>
  <r>
    <s v="17"/>
    <s v="17"/>
    <s v="Neurologická klinika"/>
    <x v="16"/>
    <s v="1721"/>
    <s v="ambulance"/>
    <s v="1721 - ambulance"/>
    <s v="50115067     ostatní ZPr - rukavice (sk.Z_532)"/>
    <x v="15"/>
    <x v="1"/>
    <n v="0"/>
    <n v="0.398561139186"/>
  </r>
  <r>
    <s v="17"/>
    <s v="17"/>
    <s v="Neurologická klinika"/>
    <x v="16"/>
    <s v="1731"/>
    <s v="JIP A  (5 lůžek resuscitační péče)"/>
    <s v="1731 - JIP A  (5 lůžek resuscitační péče)"/>
    <s v="50113     Léky a léčiva"/>
    <x v="2"/>
    <x v="0"/>
    <n v="3856.1600300000018"/>
    <n v="5496.1407525719096"/>
  </r>
  <r>
    <s v="17"/>
    <s v="17"/>
    <s v="Neurologická klinika"/>
    <x v="16"/>
    <s v="1731"/>
    <s v="JIP A  (5 lůžek resuscitační péče)"/>
    <s v="1731 - JIP A  (5 lůžek resuscitační péče)"/>
    <s v="50113     Léky a léčiva"/>
    <x v="2"/>
    <x v="1"/>
    <n v="4092.1258300000018"/>
    <n v="3756.1591153981199"/>
  </r>
  <r>
    <s v="17"/>
    <s v="17"/>
    <s v="Neurologická klinika"/>
    <x v="16"/>
    <s v="1731"/>
    <s v="JIP A  (5 lůžek resuscitační péče)"/>
    <s v="1731 - JIP A  (5 lůžek resuscitační péče)"/>
    <s v="50113     Léky a léčiva"/>
    <x v="2"/>
    <x v="2"/>
    <n v="2548.1185500000001"/>
    <n v="4132.2978073614104"/>
  </r>
  <r>
    <s v="17"/>
    <s v="17"/>
    <s v="Neurologická klinika"/>
    <x v="16"/>
    <s v="1731"/>
    <s v="JIP A  (5 lůžek resuscitační péče)"/>
    <s v="1731 - JIP A  (5 lůžek resuscitační péče)"/>
    <s v="50113001     léky - paušál+TISS (LEK)"/>
    <x v="3"/>
    <x v="0"/>
    <n v="1086.0395699999999"/>
    <n v="744.74995487014803"/>
  </r>
  <r>
    <s v="17"/>
    <s v="17"/>
    <s v="Neurologická klinika"/>
    <x v="16"/>
    <s v="1731"/>
    <s v="JIP A  (5 lůžek resuscitační péče)"/>
    <s v="1731 - JIP A  (5 lůžek resuscitační péče)"/>
    <s v="50113001     léky - paušál+TISS (LEK)"/>
    <x v="3"/>
    <x v="1"/>
    <n v="1080.313470000001"/>
    <n v="1067.13384796778"/>
  </r>
  <r>
    <s v="17"/>
    <s v="17"/>
    <s v="Neurologická klinika"/>
    <x v="16"/>
    <s v="1731"/>
    <s v="JIP A  (5 lůžek resuscitační péče)"/>
    <s v="1731 - JIP A  (5 lůžek resuscitační péče)"/>
    <s v="50113001     léky - paušál+TISS (LEK)"/>
    <x v="3"/>
    <x v="2"/>
    <n v="856.7325800000001"/>
    <n v="1057.5289888719001"/>
  </r>
  <r>
    <s v="17"/>
    <s v="17"/>
    <s v="Neurologická klinika"/>
    <x v="16"/>
    <s v="1731"/>
    <s v="JIP A  (5 lůžek resuscitační péče)"/>
    <s v="1731 - JIP A  (5 lůžek resuscitační péče)"/>
    <s v="50113002     léky - parenterální výživa (LEK)"/>
    <x v="17"/>
    <x v="2"/>
    <n v="150.10649000000001"/>
    <n v="170"/>
  </r>
  <r>
    <s v="17"/>
    <s v="17"/>
    <s v="Neurologická klinika"/>
    <x v="16"/>
    <s v="1731"/>
    <s v="JIP A  (5 lůžek resuscitační péče)"/>
    <s v="1731 - JIP A  (5 lůžek resuscitační péče)"/>
    <s v="50113006     léky - enterální výživa (LEK)"/>
    <x v="4"/>
    <x v="0"/>
    <n v="264.69429000000002"/>
    <n v="131.58890605386401"/>
  </r>
  <r>
    <s v="17"/>
    <s v="17"/>
    <s v="Neurologická klinika"/>
    <x v="16"/>
    <s v="1731"/>
    <s v="JIP A  (5 lůžek resuscitační péče)"/>
    <s v="1731 - JIP A  (5 lůžek resuscitační péče)"/>
    <s v="50113006     léky - enterální výživa (LEK)"/>
    <x v="4"/>
    <x v="1"/>
    <n v="308.62868000000003"/>
    <n v="264.29883279577899"/>
  </r>
  <r>
    <s v="17"/>
    <s v="17"/>
    <s v="Neurologická klinika"/>
    <x v="16"/>
    <s v="1731"/>
    <s v="JIP A  (5 lůžek resuscitační péče)"/>
    <s v="1731 - JIP A  (5 lůžek resuscitační péče)"/>
    <s v="50113006     léky - enterální výživa (LEK)"/>
    <x v="4"/>
    <x v="2"/>
    <n v="84.602859999999978"/>
    <n v="133"/>
  </r>
  <r>
    <s v="17"/>
    <s v="17"/>
    <s v="Neurologická klinika"/>
    <x v="16"/>
    <s v="1731"/>
    <s v="JIP A  (5 lůžek resuscitační péče)"/>
    <s v="1731 - JIP A  (5 lůžek resuscitační péče)"/>
    <s v="50113008     léky - krev.deriváty ZUL (TO)"/>
    <x v="5"/>
    <x v="0"/>
    <n v="433.66115000000104"/>
    <n v="939.99307504144599"/>
  </r>
  <r>
    <s v="17"/>
    <s v="17"/>
    <s v="Neurologická klinika"/>
    <x v="16"/>
    <s v="1731"/>
    <s v="JIP A  (5 lůžek resuscitační péče)"/>
    <s v="1731 - JIP A  (5 lůžek resuscitační péče)"/>
    <s v="50113008     léky - krev.deriváty ZUL (TO)"/>
    <x v="5"/>
    <x v="1"/>
    <n v="853.10691999999995"/>
    <n v="434.00381081008499"/>
  </r>
  <r>
    <s v="17"/>
    <s v="17"/>
    <s v="Neurologická klinika"/>
    <x v="16"/>
    <s v="1731"/>
    <s v="JIP A  (5 lůžek resuscitační péče)"/>
    <s v="1731 - JIP A  (5 lůžek resuscitační péče)"/>
    <s v="50113008     léky - krev.deriváty ZUL (TO)"/>
    <x v="5"/>
    <x v="2"/>
    <n v="347.68939999999998"/>
    <n v="1229.3302757399799"/>
  </r>
  <r>
    <s v="17"/>
    <s v="17"/>
    <s v="Neurologická klinika"/>
    <x v="16"/>
    <s v="1731"/>
    <s v="JIP A  (5 lůžek resuscitační péče)"/>
    <s v="1731 - JIP A  (5 lůžek resuscitační péče)"/>
    <s v="50113012     léky - trombolýza (LEK)"/>
    <x v="19"/>
    <x v="0"/>
    <n v="1837.371470000001"/>
    <n v="3100"/>
  </r>
  <r>
    <s v="17"/>
    <s v="17"/>
    <s v="Neurologická klinika"/>
    <x v="16"/>
    <s v="1731"/>
    <s v="JIP A  (5 lůžek resuscitační péče)"/>
    <s v="1731 - JIP A  (5 lůžek resuscitační péče)"/>
    <s v="50113012     léky - trombolýza (LEK)"/>
    <x v="19"/>
    <x v="1"/>
    <n v="1574.9957500000012"/>
    <n v="1836.8425524771701"/>
  </r>
  <r>
    <s v="17"/>
    <s v="17"/>
    <s v="Neurologická klinika"/>
    <x v="16"/>
    <s v="1731"/>
    <s v="JIP A  (5 lůžek resuscitační péče)"/>
    <s v="1731 - JIP A  (5 lůžek resuscitační péče)"/>
    <s v="50113012     léky - trombolýza (LEK)"/>
    <x v="19"/>
    <x v="2"/>
    <n v="882.47257999999999"/>
    <n v="1296.87840417386"/>
  </r>
  <r>
    <s v="17"/>
    <s v="17"/>
    <s v="Neurologická klinika"/>
    <x v="16"/>
    <s v="1731"/>
    <s v="JIP A  (5 lůžek resuscitační péče)"/>
    <s v="1731 - JIP A  (5 lůžek resuscitační péče)"/>
    <s v="50113013     léky (paušál) - antibiotika (LEK)"/>
    <x v="7"/>
    <x v="0"/>
    <n v="216.69542999999996"/>
    <n v="574.009076575206"/>
  </r>
  <r>
    <s v="17"/>
    <s v="17"/>
    <s v="Neurologická klinika"/>
    <x v="16"/>
    <s v="1731"/>
    <s v="JIP A  (5 lůžek resuscitační péče)"/>
    <s v="1731 - JIP A  (5 lůžek resuscitační péče)"/>
    <s v="50113013     léky (paušál) - antibiotika (LEK)"/>
    <x v="7"/>
    <x v="1"/>
    <n v="232.08274999999998"/>
    <n v="144.98606130391701"/>
  </r>
  <r>
    <s v="17"/>
    <s v="17"/>
    <s v="Neurologická klinika"/>
    <x v="16"/>
    <s v="1731"/>
    <s v="JIP A  (5 lůžek resuscitační péče)"/>
    <s v="1731 - JIP A  (5 lůžek resuscitační péče)"/>
    <s v="50113013     léky (paušál) - antibiotika (LEK)"/>
    <x v="7"/>
    <x v="2"/>
    <n v="143.22148999999999"/>
    <n v="224.70697943018999"/>
  </r>
  <r>
    <s v="17"/>
    <s v="17"/>
    <s v="Neurologická klinika"/>
    <x v="16"/>
    <s v="1731"/>
    <s v="JIP A  (5 lůžek resuscitační péče)"/>
    <s v="1731 - JIP A  (5 lůžek resuscitační péče)"/>
    <s v="50113014     léky (paušál) - antimykotika (LEK)"/>
    <x v="8"/>
    <x v="0"/>
    <n v="14.673620000000001"/>
    <n v="0.99972833985800003"/>
  </r>
  <r>
    <s v="17"/>
    <s v="17"/>
    <s v="Neurologická klinika"/>
    <x v="16"/>
    <s v="1731"/>
    <s v="JIP A  (5 lůžek resuscitační péče)"/>
    <s v="1731 - JIP A  (5 lůžek resuscitační péče)"/>
    <s v="50113014     léky (paušál) - antimykotika (LEK)"/>
    <x v="8"/>
    <x v="1"/>
    <n v="40.77646"/>
    <n v="6.0004068184769999"/>
  </r>
  <r>
    <s v="17"/>
    <s v="17"/>
    <s v="Neurologická klinika"/>
    <x v="16"/>
    <s v="1731"/>
    <s v="JIP A  (5 lůžek resuscitační péče)"/>
    <s v="1731 - JIP A  (5 lůžek resuscitační péče)"/>
    <s v="50113014     léky (paušál) - antimykotika (LEK)"/>
    <x v="8"/>
    <x v="2"/>
    <n v="82.051150000000007"/>
    <n v="19.099964361870999"/>
  </r>
  <r>
    <s v="17"/>
    <s v="17"/>
    <s v="Neurologická klinika"/>
    <x v="16"/>
    <s v="1731"/>
    <s v="JIP A  (5 lůžek resuscitační péče)"/>
    <s v="1731 - JIP A  (5 lůžek resuscitační péče)"/>
    <s v="50113190     medicinální plyny"/>
    <x v="9"/>
    <x v="0"/>
    <n v="3.0245000000000002"/>
    <n v="4.8000116913879998"/>
  </r>
  <r>
    <s v="17"/>
    <s v="17"/>
    <s v="Neurologická klinika"/>
    <x v="16"/>
    <s v="1731"/>
    <s v="JIP A  (5 lůžek resuscitační péče)"/>
    <s v="1731 - JIP A  (5 lůžek resuscitační péče)"/>
    <s v="50113190     medicinální plyny"/>
    <x v="9"/>
    <x v="1"/>
    <n v="2.2218"/>
    <n v="2.8936032249110002"/>
  </r>
  <r>
    <s v="17"/>
    <s v="17"/>
    <s v="Neurologická klinika"/>
    <x v="16"/>
    <s v="1731"/>
    <s v="JIP A  (5 lůžek resuscitační péče)"/>
    <s v="1731 - JIP A  (5 lůžek resuscitační péče)"/>
    <s v="50113190     medicinální plyny"/>
    <x v="9"/>
    <x v="2"/>
    <n v="1.242"/>
    <n v="1.753194783606"/>
  </r>
  <r>
    <s v="17"/>
    <s v="17"/>
    <s v="Neurologická klinika"/>
    <x v="16"/>
    <s v="1731"/>
    <s v="JIP A  (5 lůžek resuscitační péče)"/>
    <s v="1731 - JIP A  (5 lůžek resuscitační péče)"/>
    <s v="50115     Zdravotnické prostředky"/>
    <x v="0"/>
    <x v="0"/>
    <n v="1008.8319199999992"/>
    <n v="550.27330418238103"/>
  </r>
  <r>
    <s v="17"/>
    <s v="17"/>
    <s v="Neurologická klinika"/>
    <x v="16"/>
    <s v="1731"/>
    <s v="JIP A  (5 lůžek resuscitační péče)"/>
    <s v="1731 - JIP A  (5 lůžek resuscitační péče)"/>
    <s v="50115     Zdravotnické prostředky"/>
    <x v="0"/>
    <x v="1"/>
    <n v="967.40791000000002"/>
    <n v="1008.84174851994"/>
  </r>
  <r>
    <s v="17"/>
    <s v="17"/>
    <s v="Neurologická klinika"/>
    <x v="16"/>
    <s v="1731"/>
    <s v="JIP A  (5 lůžek resuscitační péče)"/>
    <s v="1731 - JIP A  (5 lůžek resuscitační péče)"/>
    <s v="50115     Zdravotnické prostředky"/>
    <x v="0"/>
    <x v="2"/>
    <n v="666.47300999999993"/>
    <n v="928.83088393413402"/>
  </r>
  <r>
    <s v="17"/>
    <s v="17"/>
    <s v="Neurologická klinika"/>
    <x v="16"/>
    <s v="1731"/>
    <s v="JIP A  (5 lůžek resuscitační péče)"/>
    <s v="1731 - JIP A  (5 lůžek resuscitační péče)"/>
    <s v="50115020     diagnostika laboratorní-LEK (sk.Z_501)"/>
    <x v="10"/>
    <x v="0"/>
    <n v="7.5728299999999997"/>
    <n v="22.044519833252"/>
  </r>
  <r>
    <s v="17"/>
    <s v="17"/>
    <s v="Neurologická klinika"/>
    <x v="16"/>
    <s v="1731"/>
    <s v="JIP A  (5 lůžek resuscitační péče)"/>
    <s v="1731 - JIP A  (5 lůžek resuscitační péče)"/>
    <s v="50115020     diagnostika laboratorní-LEK (sk.Z_501)"/>
    <x v="10"/>
    <x v="1"/>
    <n v="7.8119799999999993"/>
    <n v="7.5728219792229998"/>
  </r>
  <r>
    <s v="17"/>
    <s v="17"/>
    <s v="Neurologická klinika"/>
    <x v="16"/>
    <s v="1731"/>
    <s v="JIP A  (5 lůžek resuscitační péče)"/>
    <s v="1731 - JIP A  (5 lůžek resuscitační péče)"/>
    <s v="50115020     diagnostika laboratorní-LEK (sk.Z_501)"/>
    <x v="10"/>
    <x v="2"/>
    <n v="15.40884"/>
    <n v="7.1173932501510002"/>
  </r>
  <r>
    <s v="17"/>
    <s v="17"/>
    <s v="Neurologická klinika"/>
    <x v="16"/>
    <s v="1731"/>
    <s v="JIP A  (5 lůžek resuscitační péče)"/>
    <s v="1731 - JIP A  (5 lůžek resuscitační péče)"/>
    <s v="50115040     laboratorní materiál (sk.Z_505)"/>
    <x v="11"/>
    <x v="0"/>
    <n v="5.7990200000000005"/>
    <n v="10.950599421902"/>
  </r>
  <r>
    <s v="17"/>
    <s v="17"/>
    <s v="Neurologická klinika"/>
    <x v="16"/>
    <s v="1731"/>
    <s v="JIP A  (5 lůžek resuscitační péče)"/>
    <s v="1731 - JIP A  (5 lůžek resuscitační péče)"/>
    <s v="50115040     laboratorní materiál (sk.Z_505)"/>
    <x v="11"/>
    <x v="1"/>
    <n v="0.75729999999999997"/>
    <n v="5.7993866037349999"/>
  </r>
  <r>
    <s v="17"/>
    <s v="17"/>
    <s v="Neurologická klinika"/>
    <x v="16"/>
    <s v="1731"/>
    <s v="JIP A  (5 lůžek resuscitační péče)"/>
    <s v="1731 - JIP A  (5 lůžek resuscitační péče)"/>
    <s v="50115050     obvazový materiál (sk.Z_502)"/>
    <x v="12"/>
    <x v="0"/>
    <n v="7.1616599999999995"/>
    <n v="43.028243226279002"/>
  </r>
  <r>
    <s v="17"/>
    <s v="17"/>
    <s v="Neurologická klinika"/>
    <x v="16"/>
    <s v="1731"/>
    <s v="JIP A  (5 lůžek resuscitační péče)"/>
    <s v="1731 - JIP A  (5 lůžek resuscitační péče)"/>
    <s v="50115050     obvazový materiál (sk.Z_502)"/>
    <x v="12"/>
    <x v="1"/>
    <n v="78.871080000000006"/>
    <n v="7.1779459834030002"/>
  </r>
  <r>
    <s v="17"/>
    <s v="17"/>
    <s v="Neurologická klinika"/>
    <x v="16"/>
    <s v="1731"/>
    <s v="JIP A  (5 lůžek resuscitační péče)"/>
    <s v="1731 - JIP A  (5 lůžek resuscitační péče)"/>
    <s v="50115050     obvazový materiál (sk.Z_502)"/>
    <x v="12"/>
    <x v="2"/>
    <n v="47.467970000000001"/>
    <n v="81.795711262867002"/>
  </r>
  <r>
    <s v="17"/>
    <s v="17"/>
    <s v="Neurologická klinika"/>
    <x v="16"/>
    <s v="1731"/>
    <s v="JIP A  (5 lůžek resuscitační péče)"/>
    <s v="1731 - JIP A  (5 lůžek resuscitační péče)"/>
    <s v="50115060     ostatní ZPr - mimo níže uvedené (sk.Z_503)"/>
    <x v="1"/>
    <x v="0"/>
    <n v="869.96277999999904"/>
    <n v="379.49971752614698"/>
  </r>
  <r>
    <s v="17"/>
    <s v="17"/>
    <s v="Neurologická klinika"/>
    <x v="16"/>
    <s v="1731"/>
    <s v="JIP A  (5 lůžek resuscitační péče)"/>
    <s v="1731 - JIP A  (5 lůžek resuscitační péče)"/>
    <s v="50115060     ostatní ZPr - mimo níže uvedené (sk.Z_503)"/>
    <x v="1"/>
    <x v="1"/>
    <n v="632.37086999999997"/>
    <n v="859.95672971340605"/>
  </r>
  <r>
    <s v="17"/>
    <s v="17"/>
    <s v="Neurologická klinika"/>
    <x v="16"/>
    <s v="1731"/>
    <s v="JIP A  (5 lůžek resuscitační péče)"/>
    <s v="1731 - JIP A  (5 lůžek resuscitační péče)"/>
    <s v="50115060     ostatní ZPr - mimo níže uvedené (sk.Z_503)"/>
    <x v="1"/>
    <x v="2"/>
    <n v="386.89138000000003"/>
    <n v="595.46823718933103"/>
  </r>
  <r>
    <s v="17"/>
    <s v="17"/>
    <s v="Neurologická klinika"/>
    <x v="16"/>
    <s v="1731"/>
    <s v="JIP A  (5 lůžek resuscitační péče)"/>
    <s v="1731 - JIP A  (5 lůžek resuscitační péče)"/>
    <s v="50115063     ostatní ZPr - vaky, sety (sk.Z_528)"/>
    <x v="13"/>
    <x v="0"/>
    <n v="6.2868500000000003"/>
    <n v="38.950453262642"/>
  </r>
  <r>
    <s v="17"/>
    <s v="17"/>
    <s v="Neurologická klinika"/>
    <x v="16"/>
    <s v="1731"/>
    <s v="JIP A  (5 lůžek resuscitační péče)"/>
    <s v="1731 - JIP A  (5 lůžek resuscitační péče)"/>
    <s v="50115063     ostatní ZPr - vaky, sety (sk.Z_528)"/>
    <x v="13"/>
    <x v="1"/>
    <n v="15.356"/>
    <n v="6.1587514943919999"/>
  </r>
  <r>
    <s v="17"/>
    <s v="17"/>
    <s v="Neurologická klinika"/>
    <x v="16"/>
    <s v="1731"/>
    <s v="JIP A  (5 lůžek resuscitační péče)"/>
    <s v="1731 - JIP A  (5 lůžek resuscitační péče)"/>
    <s v="50115063     ostatní ZPr - vaky, sety (sk.Z_528)"/>
    <x v="13"/>
    <x v="2"/>
    <n v="20.117999999999999"/>
    <n v="17.473472524607001"/>
  </r>
  <r>
    <s v="17"/>
    <s v="17"/>
    <s v="Neurologická klinika"/>
    <x v="16"/>
    <s v="1731"/>
    <s v="JIP A  (5 lůžek resuscitační péče)"/>
    <s v="1731 - JIP A  (5 lůžek resuscitační péče)"/>
    <s v="50115064     ostatní ZPr - šicí materiál (sk.Z_529)"/>
    <x v="21"/>
    <x v="1"/>
    <n v="10.755380000000001"/>
    <n v="0"/>
  </r>
  <r>
    <s v="17"/>
    <s v="17"/>
    <s v="Neurologická klinika"/>
    <x v="16"/>
    <s v="1731"/>
    <s v="JIP A  (5 lůžek resuscitační péče)"/>
    <s v="1731 - JIP A  (5 lůžek resuscitační péče)"/>
    <s v="50115064     ostatní ZPr - šicí materiál (sk.Z_529)"/>
    <x v="21"/>
    <x v="2"/>
    <n v="0.8901"/>
    <n v="3.9999998740090001"/>
  </r>
  <r>
    <s v="17"/>
    <s v="17"/>
    <s v="Neurologická klinika"/>
    <x v="16"/>
    <s v="1731"/>
    <s v="JIP A  (5 lůžek resuscitační péče)"/>
    <s v="1731 - JIP A  (5 lůžek resuscitační péče)"/>
    <s v="50115065     ostatní ZPr - vpichovací materiál (sk.Z_530)"/>
    <x v="14"/>
    <x v="0"/>
    <n v="0.78899999999899995"/>
    <n v="4.750722294969"/>
  </r>
  <r>
    <s v="17"/>
    <s v="17"/>
    <s v="Neurologická klinika"/>
    <x v="16"/>
    <s v="1731"/>
    <s v="JIP A  (5 lůžek resuscitační péče)"/>
    <s v="1731 - JIP A  (5 lůžek resuscitační péče)"/>
    <s v="50115065     ostatní ZPr - vpichovací materiál (sk.Z_530)"/>
    <x v="14"/>
    <x v="1"/>
    <n v="37.661160000000002"/>
    <n v="5.8093686388960002"/>
  </r>
  <r>
    <s v="17"/>
    <s v="17"/>
    <s v="Neurologická klinika"/>
    <x v="16"/>
    <s v="1731"/>
    <s v="JIP A  (5 lůžek resuscitační péče)"/>
    <s v="1731 - JIP A  (5 lůžek resuscitační péče)"/>
    <s v="50115065     ostatní ZPr - vpichovací materiál (sk.Z_530)"/>
    <x v="14"/>
    <x v="2"/>
    <n v="22.509280000000004"/>
    <n v="30.277691011689001"/>
  </r>
  <r>
    <s v="17"/>
    <s v="17"/>
    <s v="Neurologická klinika"/>
    <x v="16"/>
    <s v="1731"/>
    <s v="JIP A  (5 lůžek resuscitační péče)"/>
    <s v="1731 - JIP A  (5 lůžek resuscitační péče)"/>
    <s v="50115067     ostatní ZPr - rukavice (sk.Z_532)"/>
    <x v="15"/>
    <x v="0"/>
    <n v="7.5934300000000006"/>
    <n v="45.606152586592003"/>
  </r>
  <r>
    <s v="17"/>
    <s v="17"/>
    <s v="Neurologická klinika"/>
    <x v="16"/>
    <s v="1731"/>
    <s v="JIP A  (5 lůžek resuscitační péče)"/>
    <s v="1731 - JIP A  (5 lůžek resuscitační péče)"/>
    <s v="50115067     ostatní ZPr - rukavice (sk.Z_532)"/>
    <x v="15"/>
    <x v="1"/>
    <n v="65.055949999999996"/>
    <n v="12.700881228341"/>
  </r>
  <r>
    <s v="17"/>
    <s v="17"/>
    <s v="Neurologická klinika"/>
    <x v="16"/>
    <s v="1731"/>
    <s v="JIP A  (5 lůžek resuscitační péče)"/>
    <s v="1731 - JIP A  (5 lůžek resuscitační péče)"/>
    <s v="50115067     ostatní ZPr - rukavice (sk.Z_532)"/>
    <x v="15"/>
    <x v="2"/>
    <n v="43.643300000000004"/>
    <n v="75.698382506694003"/>
  </r>
  <r>
    <s v="17"/>
    <s v="17"/>
    <s v="Neurologická klinika"/>
    <x v="16"/>
    <s v="1731"/>
    <s v="JIP A  (5 lůžek resuscitační péče)"/>
    <s v="1731 - JIP A  (5 lůžek resuscitační péče)"/>
    <s v="50115070     ostatní ZPr - katetry (sk.Z_513)"/>
    <x v="16"/>
    <x v="0"/>
    <n v="103.66634999999999"/>
    <n v="5.4428960305940004"/>
  </r>
  <r>
    <s v="17"/>
    <s v="17"/>
    <s v="Neurologická klinika"/>
    <x v="16"/>
    <s v="1731"/>
    <s v="JIP A  (5 lůžek resuscitační péče)"/>
    <s v="1731 - JIP A  (5 lůžek resuscitační péče)"/>
    <s v="50115070     ostatní ZPr - katetry (sk.Z_513)"/>
    <x v="16"/>
    <x v="1"/>
    <n v="118.76819"/>
    <n v="103.665862878543"/>
  </r>
  <r>
    <s v="17"/>
    <s v="17"/>
    <s v="Neurologická klinika"/>
    <x v="16"/>
    <s v="1731"/>
    <s v="JIP A  (5 lůžek resuscitační péče)"/>
    <s v="1731 - JIP A  (5 lůžek resuscitační péče)"/>
    <s v="50115070     ostatní ZPr - katetry (sk.Z_513)"/>
    <x v="16"/>
    <x v="2"/>
    <n v="55.439779999999999"/>
    <n v="116.999996314784"/>
  </r>
  <r>
    <s v="17"/>
    <s v="17"/>
    <s v="Neurologická klinika"/>
    <x v="16"/>
    <s v="1731"/>
    <s v="JIP A  (5 lůžek resuscitační péče)"/>
    <s v="1731 - JIP A  (5 lůžek resuscitační péče)"/>
    <s v="50115079     ostatní ZPr - intenzivní péče (sk.Z_542)"/>
    <x v="18"/>
    <x v="2"/>
    <n v="74.10436"/>
    <n v="0"/>
  </r>
  <r>
    <s v="17"/>
    <s v="17"/>
    <s v="Neurologická klinika"/>
    <x v="16"/>
    <s v="1732"/>
    <s v="JIP B"/>
    <s v="1732 - JIP B"/>
    <s v="50113     Léky a léčiva"/>
    <x v="2"/>
    <x v="0"/>
    <n v="2294.7167000000009"/>
    <n v="0"/>
  </r>
  <r>
    <s v="17"/>
    <s v="17"/>
    <s v="Neurologická klinika"/>
    <x v="16"/>
    <s v="1732"/>
    <s v="JIP B"/>
    <s v="1732 - JIP B"/>
    <s v="50113     Léky a léčiva"/>
    <x v="2"/>
    <x v="1"/>
    <n v="2157.5313299999998"/>
    <n v="2265.1881094207502"/>
  </r>
  <r>
    <s v="17"/>
    <s v="17"/>
    <s v="Neurologická klinika"/>
    <x v="16"/>
    <s v="1732"/>
    <s v="JIP B"/>
    <s v="1732 - JIP B"/>
    <s v="50113     Léky a léčiva"/>
    <x v="2"/>
    <x v="2"/>
    <n v="1480.54432"/>
    <n v="2357.9135148815599"/>
  </r>
  <r>
    <s v="17"/>
    <s v="17"/>
    <s v="Neurologická klinika"/>
    <x v="16"/>
    <s v="1732"/>
    <s v="JIP B"/>
    <s v="1732 - JIP B"/>
    <s v="50113001     léky - paušál+TISS (LEK)"/>
    <x v="3"/>
    <x v="0"/>
    <n v="919.53565000000003"/>
    <n v="0"/>
  </r>
  <r>
    <s v="17"/>
    <s v="17"/>
    <s v="Neurologická klinika"/>
    <x v="16"/>
    <s v="1732"/>
    <s v="JIP B"/>
    <s v="1732 - JIP B"/>
    <s v="50113001     léky - paušál+TISS (LEK)"/>
    <x v="3"/>
    <x v="1"/>
    <n v="922.19284000000005"/>
    <n v="919.53886126715304"/>
  </r>
  <r>
    <s v="17"/>
    <s v="17"/>
    <s v="Neurologická klinika"/>
    <x v="16"/>
    <s v="1732"/>
    <s v="JIP B"/>
    <s v="1732 - JIP B"/>
    <s v="50113001     léky - paušál+TISS (LEK)"/>
    <x v="3"/>
    <x v="2"/>
    <n v="612.60532999999998"/>
    <n v="896.94080882643505"/>
  </r>
  <r>
    <s v="17"/>
    <s v="17"/>
    <s v="Neurologická klinika"/>
    <x v="16"/>
    <s v="1732"/>
    <s v="JIP B"/>
    <s v="1732 - JIP B"/>
    <s v="50113002     léky - parenterální výživa (LEK)"/>
    <x v="17"/>
    <x v="2"/>
    <n v="1.54945"/>
    <n v="2"/>
  </r>
  <r>
    <s v="17"/>
    <s v="17"/>
    <s v="Neurologická klinika"/>
    <x v="16"/>
    <s v="1732"/>
    <s v="JIP B"/>
    <s v="1732 - JIP B"/>
    <s v="50113006     léky - enterální výživa (LEK)"/>
    <x v="4"/>
    <x v="0"/>
    <n v="173.63673"/>
    <n v="0"/>
  </r>
  <r>
    <s v="17"/>
    <s v="17"/>
    <s v="Neurologická klinika"/>
    <x v="16"/>
    <s v="1732"/>
    <s v="JIP B"/>
    <s v="1732 - JIP B"/>
    <s v="50113006     léky - enterální výživa (LEK)"/>
    <x v="4"/>
    <x v="1"/>
    <n v="193.61663999999999"/>
    <n v="173.377314144086"/>
  </r>
  <r>
    <s v="17"/>
    <s v="17"/>
    <s v="Neurologická klinika"/>
    <x v="16"/>
    <s v="1732"/>
    <s v="JIP B"/>
    <s v="1732 - JIP B"/>
    <s v="50113006     léky - enterální výživa (LEK)"/>
    <x v="4"/>
    <x v="2"/>
    <n v="78.170929999999998"/>
    <n v="121"/>
  </r>
  <r>
    <s v="17"/>
    <s v="17"/>
    <s v="Neurologická klinika"/>
    <x v="16"/>
    <s v="1732"/>
    <s v="JIP B"/>
    <s v="1732 - JIP B"/>
    <s v="50113008     léky - krev.deriváty ZUL (TO)"/>
    <x v="5"/>
    <x v="0"/>
    <n v="45.418080000000003"/>
    <n v="0"/>
  </r>
  <r>
    <s v="17"/>
    <s v="17"/>
    <s v="Neurologická klinika"/>
    <x v="16"/>
    <s v="1732"/>
    <s v="JIP B"/>
    <s v="1732 - JIP B"/>
    <s v="50113008     léky - krev.deriváty ZUL (TO)"/>
    <x v="5"/>
    <x v="1"/>
    <n v="62.582700000000003"/>
    <n v="45.000395130077003"/>
  </r>
  <r>
    <s v="17"/>
    <s v="17"/>
    <s v="Neurologická klinika"/>
    <x v="16"/>
    <s v="1732"/>
    <s v="JIP B"/>
    <s v="1732 - JIP B"/>
    <s v="50113008     léky - krev.deriváty ZUL (TO)"/>
    <x v="5"/>
    <x v="2"/>
    <n v="46.053699999999992"/>
    <n v="159.992804748255"/>
  </r>
  <r>
    <s v="17"/>
    <s v="17"/>
    <s v="Neurologická klinika"/>
    <x v="16"/>
    <s v="1732"/>
    <s v="JIP B"/>
    <s v="1732 - JIP B"/>
    <s v="50113012     léky - trombolýza (LEK)"/>
    <x v="19"/>
    <x v="0"/>
    <n v="1089.2339799999991"/>
    <n v="0"/>
  </r>
  <r>
    <s v="17"/>
    <s v="17"/>
    <s v="Neurologická klinika"/>
    <x v="16"/>
    <s v="1732"/>
    <s v="JIP B"/>
    <s v="1732 - JIP B"/>
    <s v="50113012     léky - trombolýza (LEK)"/>
    <x v="19"/>
    <x v="1"/>
    <n v="925.6559400000001"/>
    <n v="1088.92042612813"/>
  </r>
  <r>
    <s v="17"/>
    <s v="17"/>
    <s v="Neurologická klinika"/>
    <x v="16"/>
    <s v="1732"/>
    <s v="JIP B"/>
    <s v="1732 - JIP B"/>
    <s v="50113012     léky - trombolýza (LEK)"/>
    <x v="19"/>
    <x v="2"/>
    <n v="699.96425999999997"/>
    <n v="1126.51559127271"/>
  </r>
  <r>
    <s v="17"/>
    <s v="17"/>
    <s v="Neurologická klinika"/>
    <x v="16"/>
    <s v="1732"/>
    <s v="JIP B"/>
    <s v="1732 - JIP B"/>
    <s v="50113013     léky (paušál) - antibiotika (LEK)"/>
    <x v="7"/>
    <x v="0"/>
    <n v="60.588189999999997"/>
    <n v="0"/>
  </r>
  <r>
    <s v="17"/>
    <s v="17"/>
    <s v="Neurologická klinika"/>
    <x v="16"/>
    <s v="1732"/>
    <s v="JIP B"/>
    <s v="1732 - JIP B"/>
    <s v="50113013     léky (paušál) - antibiotika (LEK)"/>
    <x v="7"/>
    <x v="1"/>
    <n v="51.097109999999994"/>
    <n v="34.996635487151998"/>
  </r>
  <r>
    <s v="17"/>
    <s v="17"/>
    <s v="Neurologická klinika"/>
    <x v="16"/>
    <s v="1732"/>
    <s v="JIP B"/>
    <s v="1732 - JIP B"/>
    <s v="50113013     léky (paušál) - antibiotika (LEK)"/>
    <x v="7"/>
    <x v="2"/>
    <n v="39.544170000000001"/>
    <n v="48.373655737074998"/>
  </r>
  <r>
    <s v="17"/>
    <s v="17"/>
    <s v="Neurologická klinika"/>
    <x v="16"/>
    <s v="1732"/>
    <s v="JIP B"/>
    <s v="1732 - JIP B"/>
    <s v="50113014     léky (paušál) - antimykotika (LEK)"/>
    <x v="8"/>
    <x v="0"/>
    <n v="5.9337699999999991"/>
    <n v="0"/>
  </r>
  <r>
    <s v="17"/>
    <s v="17"/>
    <s v="Neurologická klinika"/>
    <x v="16"/>
    <s v="1732"/>
    <s v="JIP B"/>
    <s v="1732 - JIP B"/>
    <s v="50113014     léky (paušál) - antimykotika (LEK)"/>
    <x v="8"/>
    <x v="1"/>
    <n v="2.3860999999999999"/>
    <n v="3.0002034092379999"/>
  </r>
  <r>
    <s v="17"/>
    <s v="17"/>
    <s v="Neurologická klinika"/>
    <x v="16"/>
    <s v="1732"/>
    <s v="JIP B"/>
    <s v="1732 - JIP B"/>
    <s v="50113014     léky (paušál) - antimykotika (LEK)"/>
    <x v="8"/>
    <x v="2"/>
    <n v="2.24248"/>
    <n v="3.0906542970849999"/>
  </r>
  <r>
    <s v="17"/>
    <s v="17"/>
    <s v="Neurologická klinika"/>
    <x v="16"/>
    <s v="1732"/>
    <s v="JIP B"/>
    <s v="1732 - JIP B"/>
    <s v="50113190     medicinální plyny"/>
    <x v="9"/>
    <x v="0"/>
    <n v="0.37030000000000002"/>
    <n v="0"/>
  </r>
  <r>
    <s v="17"/>
    <s v="17"/>
    <s v="Neurologická klinika"/>
    <x v="16"/>
    <s v="1732"/>
    <s v="JIP B"/>
    <s v="1732 - JIP B"/>
    <s v="50113190     medicinální plyny"/>
    <x v="9"/>
    <x v="1"/>
    <n v="0"/>
    <n v="0.35427385491300001"/>
  </r>
  <r>
    <s v="17"/>
    <s v="17"/>
    <s v="Neurologická klinika"/>
    <x v="16"/>
    <s v="1732"/>
    <s v="JIP B"/>
    <s v="1732 - JIP B"/>
    <s v="50113190     medicinální plyny"/>
    <x v="9"/>
    <x v="2"/>
    <n v="0.41399999999999998"/>
    <n v="0"/>
  </r>
  <r>
    <s v="17"/>
    <s v="17"/>
    <s v="Neurologická klinika"/>
    <x v="16"/>
    <s v="1732"/>
    <s v="JIP B"/>
    <s v="1732 - JIP B"/>
    <s v="50115     Zdravotnické prostředky"/>
    <x v="0"/>
    <x v="0"/>
    <n v="383.50943000000001"/>
    <n v="0"/>
  </r>
  <r>
    <s v="17"/>
    <s v="17"/>
    <s v="Neurologická klinika"/>
    <x v="16"/>
    <s v="1732"/>
    <s v="JIP B"/>
    <s v="1732 - JIP B"/>
    <s v="50115     Zdravotnické prostředky"/>
    <x v="0"/>
    <x v="1"/>
    <n v="380.95377000000002"/>
    <n v="383.49794789063401"/>
  </r>
  <r>
    <s v="17"/>
    <s v="17"/>
    <s v="Neurologická klinika"/>
    <x v="16"/>
    <s v="1732"/>
    <s v="JIP B"/>
    <s v="1732 - JIP B"/>
    <s v="50115     Zdravotnické prostředky"/>
    <x v="0"/>
    <x v="2"/>
    <n v="399.72282999999999"/>
    <n v="475.77877809510898"/>
  </r>
  <r>
    <s v="17"/>
    <s v="17"/>
    <s v="Neurologická klinika"/>
    <x v="16"/>
    <s v="1732"/>
    <s v="JIP B"/>
    <s v="1732 - JIP B"/>
    <s v="50115020     diagnostika laboratorní-LEK (sk.Z_501)"/>
    <x v="10"/>
    <x v="0"/>
    <n v="18.126949999999997"/>
    <n v="0"/>
  </r>
  <r>
    <s v="17"/>
    <s v="17"/>
    <s v="Neurologická klinika"/>
    <x v="16"/>
    <s v="1732"/>
    <s v="JIP B"/>
    <s v="1732 - JIP B"/>
    <s v="50115020     diagnostika laboratorní-LEK (sk.Z_501)"/>
    <x v="10"/>
    <x v="1"/>
    <n v="17.708670000000001"/>
    <n v="18.126930800806999"/>
  </r>
  <r>
    <s v="17"/>
    <s v="17"/>
    <s v="Neurologická klinika"/>
    <x v="16"/>
    <s v="1732"/>
    <s v="JIP B"/>
    <s v="1732 - JIP B"/>
    <s v="50115020     diagnostika laboratorní-LEK (sk.Z_501)"/>
    <x v="10"/>
    <x v="2"/>
    <n v="11.02876"/>
    <n v="16.731364434355999"/>
  </r>
  <r>
    <s v="17"/>
    <s v="17"/>
    <s v="Neurologická klinika"/>
    <x v="16"/>
    <s v="1732"/>
    <s v="JIP B"/>
    <s v="1732 - JIP B"/>
    <s v="50115040     laboratorní materiál (sk.Z_505)"/>
    <x v="11"/>
    <x v="0"/>
    <n v="0.15337000000000001"/>
    <n v="0"/>
  </r>
  <r>
    <s v="17"/>
    <s v="17"/>
    <s v="Neurologická klinika"/>
    <x v="16"/>
    <s v="1732"/>
    <s v="JIP B"/>
    <s v="1732 - JIP B"/>
    <s v="50115040     laboratorní materiál (sk.Z_505)"/>
    <x v="11"/>
    <x v="1"/>
    <n v="9.5589999999999994E-2"/>
    <n v="0.15337969577800001"/>
  </r>
  <r>
    <s v="17"/>
    <s v="17"/>
    <s v="Neurologická klinika"/>
    <x v="16"/>
    <s v="1732"/>
    <s v="JIP B"/>
    <s v="1732 - JIP B"/>
    <s v="50115040     laboratorní materiál (sk.Z_505)"/>
    <x v="11"/>
    <x v="2"/>
    <n v="0.79339999999999999"/>
    <n v="6.9999997795160001"/>
  </r>
  <r>
    <s v="17"/>
    <s v="17"/>
    <s v="Neurologická klinika"/>
    <x v="16"/>
    <s v="1732"/>
    <s v="JIP B"/>
    <s v="1732 - JIP B"/>
    <s v="50115050     obvazový materiál (sk.Z_502)"/>
    <x v="12"/>
    <x v="0"/>
    <n v="32.244369999999996"/>
    <n v="0"/>
  </r>
  <r>
    <s v="17"/>
    <s v="17"/>
    <s v="Neurologická klinika"/>
    <x v="16"/>
    <s v="1732"/>
    <s v="JIP B"/>
    <s v="1732 - JIP B"/>
    <s v="50115050     obvazový materiál (sk.Z_502)"/>
    <x v="12"/>
    <x v="1"/>
    <n v="32.209900000000005"/>
    <n v="32.317695356782998"/>
  </r>
  <r>
    <s v="17"/>
    <s v="17"/>
    <s v="Neurologická klinika"/>
    <x v="16"/>
    <s v="1732"/>
    <s v="JIP B"/>
    <s v="1732 - JIP B"/>
    <s v="50115050     obvazový materiál (sk.Z_502)"/>
    <x v="12"/>
    <x v="2"/>
    <n v="20.996009999999998"/>
    <n v="28.214630125728"/>
  </r>
  <r>
    <s v="17"/>
    <s v="17"/>
    <s v="Neurologická klinika"/>
    <x v="16"/>
    <s v="1732"/>
    <s v="JIP B"/>
    <s v="1732 - JIP B"/>
    <s v="50115060     ostatní ZPr - mimo níže uvedené (sk.Z_503)"/>
    <x v="1"/>
    <x v="0"/>
    <n v="263.10432000000003"/>
    <n v="0"/>
  </r>
  <r>
    <s v="17"/>
    <s v="17"/>
    <s v="Neurologická klinika"/>
    <x v="16"/>
    <s v="1732"/>
    <s v="JIP B"/>
    <s v="1732 - JIP B"/>
    <s v="50115060     ostatní ZPr - mimo níže uvedené (sk.Z_503)"/>
    <x v="1"/>
    <x v="1"/>
    <n v="263.44606999999996"/>
    <n v="263.10233794564999"/>
  </r>
  <r>
    <s v="17"/>
    <s v="17"/>
    <s v="Neurologická klinika"/>
    <x v="16"/>
    <s v="1732"/>
    <s v="JIP B"/>
    <s v="1732 - JIP B"/>
    <s v="50115060     ostatní ZPr - mimo níže uvedené (sk.Z_503)"/>
    <x v="1"/>
    <x v="2"/>
    <n v="273.94092000000001"/>
    <n v="363.95641344533101"/>
  </r>
  <r>
    <s v="17"/>
    <s v="17"/>
    <s v="Neurologická klinika"/>
    <x v="16"/>
    <s v="1732"/>
    <s v="JIP B"/>
    <s v="1732 - JIP B"/>
    <s v="50115063     ostatní ZPr - vaky, sety (sk.Z_528)"/>
    <x v="13"/>
    <x v="0"/>
    <n v="29.522749999999004"/>
    <n v="0"/>
  </r>
  <r>
    <s v="17"/>
    <s v="17"/>
    <s v="Neurologická klinika"/>
    <x v="16"/>
    <s v="1732"/>
    <s v="JIP B"/>
    <s v="1732 - JIP B"/>
    <s v="50115063     ostatní ZPr - vaky, sety (sk.Z_528)"/>
    <x v="13"/>
    <x v="1"/>
    <n v="28.591999999999999"/>
    <n v="28.921205481451999"/>
  </r>
  <r>
    <s v="17"/>
    <s v="17"/>
    <s v="Neurologická klinika"/>
    <x v="16"/>
    <s v="1732"/>
    <s v="JIP B"/>
    <s v="1732 - JIP B"/>
    <s v="50115063     ostatní ZPr - vaky, sety (sk.Z_528)"/>
    <x v="13"/>
    <x v="2"/>
    <n v="13.137"/>
    <n v="18.072146542283001"/>
  </r>
  <r>
    <s v="17"/>
    <s v="17"/>
    <s v="Neurologická klinika"/>
    <x v="16"/>
    <s v="1732"/>
    <s v="JIP B"/>
    <s v="1732 - JIP B"/>
    <s v="50115064     ostatní ZPr - šicí materiál (sk.Z_529)"/>
    <x v="21"/>
    <x v="0"/>
    <n v="2.77562"/>
    <n v="0"/>
  </r>
  <r>
    <s v="17"/>
    <s v="17"/>
    <s v="Neurologická klinika"/>
    <x v="16"/>
    <s v="1732"/>
    <s v="JIP B"/>
    <s v="1732 - JIP B"/>
    <s v="50115064     ostatní ZPr - šicí materiál (sk.Z_529)"/>
    <x v="21"/>
    <x v="1"/>
    <n v="0"/>
    <n v="2.7212727362270002"/>
  </r>
  <r>
    <s v="17"/>
    <s v="17"/>
    <s v="Neurologická klinika"/>
    <x v="16"/>
    <s v="1732"/>
    <s v="JIP B"/>
    <s v="1732 - JIP B"/>
    <s v="50115065     ostatní ZPr - vpichovací materiál (sk.Z_530)"/>
    <x v="14"/>
    <x v="0"/>
    <n v="3.5379999999989997"/>
    <n v="0"/>
  </r>
  <r>
    <s v="17"/>
    <s v="17"/>
    <s v="Neurologická klinika"/>
    <x v="16"/>
    <s v="1732"/>
    <s v="JIP B"/>
    <s v="1732 - JIP B"/>
    <s v="50115065     ostatní ZPr - vpichovací materiál (sk.Z_530)"/>
    <x v="14"/>
    <x v="1"/>
    <n v="3.9028400000000003"/>
    <n v="3.629336177965"/>
  </r>
  <r>
    <s v="17"/>
    <s v="17"/>
    <s v="Neurologická klinika"/>
    <x v="16"/>
    <s v="1732"/>
    <s v="JIP B"/>
    <s v="1732 - JIP B"/>
    <s v="50115065     ostatní ZPr - vpichovací materiál (sk.Z_530)"/>
    <x v="14"/>
    <x v="2"/>
    <n v="2.9689999999999994"/>
    <n v="4.3073696520800002"/>
  </r>
  <r>
    <s v="17"/>
    <s v="17"/>
    <s v="Neurologická klinika"/>
    <x v="16"/>
    <s v="1732"/>
    <s v="JIP B"/>
    <s v="1732 - JIP B"/>
    <s v="50115067     ostatní ZPr - rukavice (sk.Z_532)"/>
    <x v="15"/>
    <x v="0"/>
    <n v="34.044049999998997"/>
    <n v="0"/>
  </r>
  <r>
    <s v="17"/>
    <s v="17"/>
    <s v="Neurologická klinika"/>
    <x v="16"/>
    <s v="1732"/>
    <s v="JIP B"/>
    <s v="1732 - JIP B"/>
    <s v="50115067     ostatní ZPr - rukavice (sk.Z_532)"/>
    <x v="15"/>
    <x v="1"/>
    <n v="34.998699999999999"/>
    <n v="34.525789695968001"/>
  </r>
  <r>
    <s v="17"/>
    <s v="17"/>
    <s v="Neurologická klinika"/>
    <x v="16"/>
    <s v="1732"/>
    <s v="JIP B"/>
    <s v="1732 - JIP B"/>
    <s v="50115067     ostatní ZPr - rukavice (sk.Z_532)"/>
    <x v="15"/>
    <x v="2"/>
    <n v="27.716750000000001"/>
    <n v="37.496854115810002"/>
  </r>
  <r>
    <s v="17"/>
    <s v="17"/>
    <s v="Neurologická klinika"/>
    <x v="16"/>
    <s v="1732"/>
    <s v="JIP B"/>
    <s v="1732 - JIP B"/>
    <s v="50115070     ostatní ZPr - katetry (sk.Z_513)"/>
    <x v="16"/>
    <x v="2"/>
    <n v="10.394970000000001"/>
    <n v="0"/>
  </r>
  <r>
    <s v="17"/>
    <s v="17"/>
    <s v="Neurologická klinika"/>
    <x v="16"/>
    <s v="1732"/>
    <s v="JIP B"/>
    <s v="1732 - JIP B"/>
    <s v="50115079     ostatní ZPr - intenzivní péče (sk.Z_542)"/>
    <x v="18"/>
    <x v="2"/>
    <n v="38.746020000000001"/>
    <n v="0"/>
  </r>
  <r>
    <s v="17"/>
    <s v="17"/>
    <s v="Neurologická klinika"/>
    <x v="16"/>
    <s v="1794"/>
    <s v="centrum - neurologie"/>
    <s v="1794 - centrum - neurologie"/>
    <s v="50113     Léky a léčiva"/>
    <x v="2"/>
    <x v="0"/>
    <n v="126928.81922000003"/>
    <n v="126091.666666661"/>
  </r>
  <r>
    <s v="17"/>
    <s v="17"/>
    <s v="Neurologická klinika"/>
    <x v="16"/>
    <s v="1794"/>
    <s v="centrum - neurologie"/>
    <s v="1794 - centrum - neurologie"/>
    <s v="50113     Léky a léčiva"/>
    <x v="2"/>
    <x v="1"/>
    <n v="141977.1617600001"/>
    <n v="141999.601744721"/>
  </r>
  <r>
    <s v="17"/>
    <s v="17"/>
    <s v="Neurologická klinika"/>
    <x v="16"/>
    <s v="1794"/>
    <s v="centrum - neurologie"/>
    <s v="1794 - centrum - neurologie"/>
    <s v="50113     Léky a léčiva"/>
    <x v="2"/>
    <x v="2"/>
    <n v="130875.51934000001"/>
    <n v="165826.031940399"/>
  </r>
  <r>
    <s v="17"/>
    <s v="17"/>
    <s v="Neurologická klinika"/>
    <x v="16"/>
    <s v="1794"/>
    <s v="centrum - neurologie"/>
    <s v="1794 - centrum - neurologie"/>
    <s v="50113016     léky - spotřeba v centrech (LEK)"/>
    <x v="39"/>
    <x v="0"/>
    <n v="126928.81922000003"/>
    <n v="126091.666666661"/>
  </r>
  <r>
    <s v="17"/>
    <s v="17"/>
    <s v="Neurologická klinika"/>
    <x v="16"/>
    <s v="1794"/>
    <s v="centrum - neurologie"/>
    <s v="1794 - centrum - neurologie"/>
    <s v="50113016     léky - spotřeba v centrech (LEK)"/>
    <x v="39"/>
    <x v="1"/>
    <n v="141977.1617600001"/>
    <n v="141999.601744721"/>
  </r>
  <r>
    <s v="17"/>
    <s v="17"/>
    <s v="Neurologická klinika"/>
    <x v="16"/>
    <s v="1794"/>
    <s v="centrum - neurologie"/>
    <s v="1794 - centrum - neurologie"/>
    <s v="50113016     léky - spotřeba v centrech (LEK)"/>
    <x v="39"/>
    <x v="2"/>
    <n v="130875.51934000001"/>
    <n v="165826.031940399"/>
  </r>
  <r>
    <s v="18"/>
    <s v="18"/>
    <s v="Klinika psychiatrie"/>
    <x v="17"/>
    <s v="1801"/>
    <s v="vedení klinického pracoviště"/>
    <s v="1801 - vedení klinického pracoviště"/>
    <s v="50113     Léky a léčiva"/>
    <x v="2"/>
    <x v="0"/>
    <n v="0.15296000000000001"/>
    <n v="0"/>
  </r>
  <r>
    <s v="18"/>
    <s v="18"/>
    <s v="Klinika psychiatrie"/>
    <x v="17"/>
    <s v="1801"/>
    <s v="vedení klinického pracoviště"/>
    <s v="1801 - vedení klinického pracoviště"/>
    <s v="50113     Léky a léčiva"/>
    <x v="2"/>
    <x v="1"/>
    <n v="0"/>
    <n v="0.15307586577099999"/>
  </r>
  <r>
    <s v="18"/>
    <s v="18"/>
    <s v="Klinika psychiatrie"/>
    <x v="17"/>
    <s v="1801"/>
    <s v="vedení klinického pracoviště"/>
    <s v="1801 - vedení klinického pracoviště"/>
    <s v="50113001     léky - paušál+TISS (LEK)"/>
    <x v="3"/>
    <x v="0"/>
    <n v="0.15296000000000001"/>
    <n v="0"/>
  </r>
  <r>
    <s v="18"/>
    <s v="18"/>
    <s v="Klinika psychiatrie"/>
    <x v="17"/>
    <s v="1801"/>
    <s v="vedení klinického pracoviště"/>
    <s v="1801 - vedení klinického pracoviště"/>
    <s v="50113001     léky - paušál+TISS (LEK)"/>
    <x v="3"/>
    <x v="1"/>
    <n v="0"/>
    <n v="0.15307586577099999"/>
  </r>
  <r>
    <s v="18"/>
    <s v="18"/>
    <s v="Klinika psychiatrie"/>
    <x v="17"/>
    <s v="1811"/>
    <s v="lůžkové oddělení 32A"/>
    <s v="1811 - lůžkové oddělení 32A"/>
    <s v="50113     Léky a léčiva"/>
    <x v="2"/>
    <x v="0"/>
    <n v="244.36932000000002"/>
    <n v="268.31660883120901"/>
  </r>
  <r>
    <s v="18"/>
    <s v="18"/>
    <s v="Klinika psychiatrie"/>
    <x v="17"/>
    <s v="1811"/>
    <s v="lůžkové oddělení 32A"/>
    <s v="1811 - lůžkové oddělení 32A"/>
    <s v="50113     Léky a léčiva"/>
    <x v="2"/>
    <x v="1"/>
    <n v="236.20772000000002"/>
    <n v="256.65386477855202"/>
  </r>
  <r>
    <s v="18"/>
    <s v="18"/>
    <s v="Klinika psychiatrie"/>
    <x v="17"/>
    <s v="1811"/>
    <s v="lůžkové oddělení 32A"/>
    <s v="1811 - lůžkové oddělení 32A"/>
    <s v="50113     Léky a léčiva"/>
    <x v="2"/>
    <x v="2"/>
    <n v="175.47624999999996"/>
    <n v="257.96353727319701"/>
  </r>
  <r>
    <s v="18"/>
    <s v="18"/>
    <s v="Klinika psychiatrie"/>
    <x v="17"/>
    <s v="1811"/>
    <s v="lůžkové oddělení 32A"/>
    <s v="1811 - lůžkové oddělení 32A"/>
    <s v="50113001     léky - paušál+TISS (LEK)"/>
    <x v="3"/>
    <x v="0"/>
    <n v="219.92417999999998"/>
    <n v="247.270251740155"/>
  </r>
  <r>
    <s v="18"/>
    <s v="18"/>
    <s v="Klinika psychiatrie"/>
    <x v="17"/>
    <s v="1811"/>
    <s v="lůžkové oddělení 32A"/>
    <s v="1811 - lůžkové oddělení 32A"/>
    <s v="50113001     léky - paušál+TISS (LEK)"/>
    <x v="3"/>
    <x v="1"/>
    <n v="215.39860999999999"/>
    <n v="220.09077051176899"/>
  </r>
  <r>
    <s v="18"/>
    <s v="18"/>
    <s v="Klinika psychiatrie"/>
    <x v="17"/>
    <s v="1811"/>
    <s v="lůžkové oddělení 32A"/>
    <s v="1811 - lůžkové oddělení 32A"/>
    <s v="50113001     léky - paušál+TISS (LEK)"/>
    <x v="3"/>
    <x v="2"/>
    <n v="167.57382999999999"/>
    <n v="228.756275262504"/>
  </r>
  <r>
    <s v="18"/>
    <s v="18"/>
    <s v="Klinika psychiatrie"/>
    <x v="17"/>
    <s v="1811"/>
    <s v="lůžkové oddělení 32A"/>
    <s v="1811 - lůžkové oddělení 32A"/>
    <s v="50113002     léky - parenterální výživa (LEK)"/>
    <x v="17"/>
    <x v="2"/>
    <n v="1.68058"/>
    <n v="2"/>
  </r>
  <r>
    <s v="18"/>
    <s v="18"/>
    <s v="Klinika psychiatrie"/>
    <x v="17"/>
    <s v="1811"/>
    <s v="lůžkové oddělení 32A"/>
    <s v="1811 - lůžkové oddělení 32A"/>
    <s v="50113006     léky - enterální výživa (LEK)"/>
    <x v="4"/>
    <x v="0"/>
    <n v="4.9670499999990003"/>
    <n v="5.6495048781839996"/>
  </r>
  <r>
    <s v="18"/>
    <s v="18"/>
    <s v="Klinika psychiatrie"/>
    <x v="17"/>
    <s v="1811"/>
    <s v="lůžkové oddělení 32A"/>
    <s v="1811 - lůžkové oddělení 32A"/>
    <s v="50113006     léky - enterální výživa (LEK)"/>
    <x v="4"/>
    <x v="1"/>
    <n v="10.374270000000001"/>
    <n v="12.959629153459"/>
  </r>
  <r>
    <s v="18"/>
    <s v="18"/>
    <s v="Klinika psychiatrie"/>
    <x v="17"/>
    <s v="1811"/>
    <s v="lůžkové oddělení 32A"/>
    <s v="1811 - lůžkové oddělení 32A"/>
    <s v="50113006     léky - enterální výživa (LEK)"/>
    <x v="4"/>
    <x v="2"/>
    <n v="0.751"/>
    <n v="9"/>
  </r>
  <r>
    <s v="18"/>
    <s v="18"/>
    <s v="Klinika psychiatrie"/>
    <x v="17"/>
    <s v="1811"/>
    <s v="lůžkové oddělení 32A"/>
    <s v="1811 - lůžkové oddělení 32A"/>
    <s v="50113013     léky (paušál) - antibiotika (LEK)"/>
    <x v="7"/>
    <x v="0"/>
    <n v="17.057119999999003"/>
    <n v="12.785061449374"/>
  </r>
  <r>
    <s v="18"/>
    <s v="18"/>
    <s v="Klinika psychiatrie"/>
    <x v="17"/>
    <s v="1811"/>
    <s v="lůžkové oddělení 32A"/>
    <s v="1811 - lůžkové oddělení 32A"/>
    <s v="50113013     léky (paušál) - antibiotika (LEK)"/>
    <x v="7"/>
    <x v="1"/>
    <n v="8.2849499999999985"/>
    <n v="21.264508213172"/>
  </r>
  <r>
    <s v="18"/>
    <s v="18"/>
    <s v="Klinika psychiatrie"/>
    <x v="17"/>
    <s v="1811"/>
    <s v="lůžkové oddělení 32A"/>
    <s v="1811 - lůžkové oddělení 32A"/>
    <s v="50113013     léky (paušál) - antibiotika (LEK)"/>
    <x v="7"/>
    <x v="2"/>
    <n v="4.3663699999999999"/>
    <n v="15.66533001118"/>
  </r>
  <r>
    <s v="18"/>
    <s v="18"/>
    <s v="Klinika psychiatrie"/>
    <x v="17"/>
    <s v="1811"/>
    <s v="lůžkové oddělení 32A"/>
    <s v="1811 - lůžkové oddělení 32A"/>
    <s v="50113014     léky (paušál) - antimykotika (LEK)"/>
    <x v="8"/>
    <x v="0"/>
    <n v="0.50736999999900001"/>
    <n v="1.6240370103049999"/>
  </r>
  <r>
    <s v="18"/>
    <s v="18"/>
    <s v="Klinika psychiatrie"/>
    <x v="17"/>
    <s v="1811"/>
    <s v="lůžkové oddělení 32A"/>
    <s v="1811 - lůžkové oddělení 32A"/>
    <s v="50113014     léky (paušál) - antimykotika (LEK)"/>
    <x v="8"/>
    <x v="1"/>
    <n v="1.19309"/>
    <n v="0.50817523997900005"/>
  </r>
  <r>
    <s v="18"/>
    <s v="18"/>
    <s v="Klinika psychiatrie"/>
    <x v="17"/>
    <s v="1811"/>
    <s v="lůžkové oddělení 32A"/>
    <s v="1811 - lůžkové oddělení 32A"/>
    <s v="50113014     léky (paušál) - antimykotika (LEK)"/>
    <x v="8"/>
    <x v="2"/>
    <n v="7.5219999999999995E-2"/>
    <n v="0.77395333292500001"/>
  </r>
  <r>
    <s v="18"/>
    <s v="18"/>
    <s v="Klinika psychiatrie"/>
    <x v="17"/>
    <s v="1811"/>
    <s v="lůžkové oddělení 32A"/>
    <s v="1811 - lůžkové oddělení 32A"/>
    <s v="50113190     medicinální plyny"/>
    <x v="9"/>
    <x v="0"/>
    <n v="1.9136"/>
    <n v="0.98775375318799996"/>
  </r>
  <r>
    <s v="18"/>
    <s v="18"/>
    <s v="Klinika psychiatrie"/>
    <x v="17"/>
    <s v="1811"/>
    <s v="lůžkové oddělení 32A"/>
    <s v="1811 - lůžkové oddělení 32A"/>
    <s v="50113190     medicinální plyny"/>
    <x v="9"/>
    <x v="1"/>
    <n v="0.95679999999999998"/>
    <n v="1.8307816601710001"/>
  </r>
  <r>
    <s v="18"/>
    <s v="18"/>
    <s v="Klinika psychiatrie"/>
    <x v="17"/>
    <s v="1811"/>
    <s v="lůžkové oddělení 32A"/>
    <s v="1811 - lůžkové oddělení 32A"/>
    <s v="50113190     medicinální plyny"/>
    <x v="9"/>
    <x v="2"/>
    <n v="1.02925"/>
    <n v="1.767978666586"/>
  </r>
  <r>
    <s v="18"/>
    <s v="18"/>
    <s v="Klinika psychiatrie"/>
    <x v="17"/>
    <s v="1811"/>
    <s v="lůžkové oddělení 32A"/>
    <s v="1811 - lůžkové oddělení 32A"/>
    <s v="50115     Zdravotnické prostředky"/>
    <x v="0"/>
    <x v="0"/>
    <n v="42.277559999999994"/>
    <n v="46.870569967967"/>
  </r>
  <r>
    <s v="18"/>
    <s v="18"/>
    <s v="Klinika psychiatrie"/>
    <x v="17"/>
    <s v="1811"/>
    <s v="lůžkové oddělení 32A"/>
    <s v="1811 - lůžkové oddělení 32A"/>
    <s v="50115     Zdravotnické prostředky"/>
    <x v="0"/>
    <x v="1"/>
    <n v="32.851670000000006"/>
    <n v="42.347476750485001"/>
  </r>
  <r>
    <s v="18"/>
    <s v="18"/>
    <s v="Klinika psychiatrie"/>
    <x v="17"/>
    <s v="1811"/>
    <s v="lůžkové oddělení 32A"/>
    <s v="1811 - lůžkové oddělení 32A"/>
    <s v="50115     Zdravotnické prostředky"/>
    <x v="0"/>
    <x v="2"/>
    <n v="17.568499999999997"/>
    <n v="39.695239394670999"/>
  </r>
  <r>
    <s v="18"/>
    <s v="18"/>
    <s v="Klinika psychiatrie"/>
    <x v="17"/>
    <s v="1811"/>
    <s v="lůžkové oddělení 32A"/>
    <s v="1811 - lůžkové oddělení 32A"/>
    <s v="50115020     diagnostika laboratorní-LEK (sk.Z_501)"/>
    <x v="10"/>
    <x v="0"/>
    <n v="0.10800999999999999"/>
    <n v="2.81362052345"/>
  </r>
  <r>
    <s v="18"/>
    <s v="18"/>
    <s v="Klinika psychiatrie"/>
    <x v="17"/>
    <s v="1811"/>
    <s v="lůžkové oddělení 32A"/>
    <s v="1811 - lůžkové oddělení 32A"/>
    <s v="50115020     diagnostika laboratorní-LEK (sk.Z_501)"/>
    <x v="10"/>
    <x v="1"/>
    <n v="0.27888000000000002"/>
    <n v="0.108009885601"/>
  </r>
  <r>
    <s v="18"/>
    <s v="18"/>
    <s v="Klinika psychiatrie"/>
    <x v="17"/>
    <s v="1811"/>
    <s v="lůžkové oddělení 32A"/>
    <s v="1811 - lůžkové oddělení 32A"/>
    <s v="50115020     diagnostika laboratorní-LEK (sk.Z_501)"/>
    <x v="10"/>
    <x v="2"/>
    <n v="0"/>
    <n v="0.27887999121500001"/>
  </r>
  <r>
    <s v="18"/>
    <s v="18"/>
    <s v="Klinika psychiatrie"/>
    <x v="17"/>
    <s v="1811"/>
    <s v="lůžkové oddělení 32A"/>
    <s v="1811 - lůžkové oddělení 32A"/>
    <s v="50115040     laboratorní materiál (sk.Z_505)"/>
    <x v="11"/>
    <x v="0"/>
    <n v="2.24E-2"/>
    <n v="0"/>
  </r>
  <r>
    <s v="18"/>
    <s v="18"/>
    <s v="Klinika psychiatrie"/>
    <x v="17"/>
    <s v="1811"/>
    <s v="lůžkové oddělení 32A"/>
    <s v="1811 - lůžkové oddělení 32A"/>
    <s v="50115040     laboratorní materiál (sk.Z_505)"/>
    <x v="11"/>
    <x v="1"/>
    <n v="0"/>
    <n v="2.2401416088E-2"/>
  </r>
  <r>
    <s v="18"/>
    <s v="18"/>
    <s v="Klinika psychiatrie"/>
    <x v="17"/>
    <s v="1811"/>
    <s v="lůžkové oddělení 32A"/>
    <s v="1811 - lůžkové oddělení 32A"/>
    <s v="50115050     obvazový materiál (sk.Z_502)"/>
    <x v="12"/>
    <x v="0"/>
    <n v="2.1905399999999999"/>
    <n v="4.2862849838989998"/>
  </r>
  <r>
    <s v="18"/>
    <s v="18"/>
    <s v="Klinika psychiatrie"/>
    <x v="17"/>
    <s v="1811"/>
    <s v="lůžkové oddělení 32A"/>
    <s v="1811 - lůžkové oddělení 32A"/>
    <s v="50115050     obvazový materiál (sk.Z_502)"/>
    <x v="12"/>
    <x v="1"/>
    <n v="3.3671700000000007"/>
    <n v="2.1955214006919999"/>
  </r>
  <r>
    <s v="18"/>
    <s v="18"/>
    <s v="Klinika psychiatrie"/>
    <x v="17"/>
    <s v="1811"/>
    <s v="lůžkové oddělení 32A"/>
    <s v="1811 - lůžkové oddělení 32A"/>
    <s v="50115050     obvazový materiál (sk.Z_502)"/>
    <x v="12"/>
    <x v="2"/>
    <n v="1.8165800000000001"/>
    <n v="3.2898577176389998"/>
  </r>
  <r>
    <s v="18"/>
    <s v="18"/>
    <s v="Klinika psychiatrie"/>
    <x v="17"/>
    <s v="1811"/>
    <s v="lůžkové oddělení 32A"/>
    <s v="1811 - lůžkové oddělení 32A"/>
    <s v="50115060     ostatní ZPr - mimo níže uvedené (sk.Z_503)"/>
    <x v="1"/>
    <x v="0"/>
    <n v="33.380710000000001"/>
    <n v="34.919971268430999"/>
  </r>
  <r>
    <s v="18"/>
    <s v="18"/>
    <s v="Klinika psychiatrie"/>
    <x v="17"/>
    <s v="1811"/>
    <s v="lůžkové oddělení 32A"/>
    <s v="1811 - lůžkové oddělení 32A"/>
    <s v="50115060     ostatní ZPr - mimo níže uvedené (sk.Z_503)"/>
    <x v="1"/>
    <x v="1"/>
    <n v="20.115940000000002"/>
    <n v="32.380477649691002"/>
  </r>
  <r>
    <s v="18"/>
    <s v="18"/>
    <s v="Klinika psychiatrie"/>
    <x v="17"/>
    <s v="1811"/>
    <s v="lůžkové oddělení 32A"/>
    <s v="1811 - lůžkové oddělení 32A"/>
    <s v="50115060     ostatní ZPr - mimo níže uvedené (sk.Z_503)"/>
    <x v="1"/>
    <x v="2"/>
    <n v="9.0136199999999995"/>
    <n v="26.44807072471"/>
  </r>
  <r>
    <s v="18"/>
    <s v="18"/>
    <s v="Klinika psychiatrie"/>
    <x v="17"/>
    <s v="1811"/>
    <s v="lůžkové oddělení 32A"/>
    <s v="1811 - lůžkové oddělení 32A"/>
    <s v="50115063     ostatní ZPr - vaky, sety (sk.Z_528)"/>
    <x v="13"/>
    <x v="0"/>
    <n v="0.98"/>
    <n v="0"/>
  </r>
  <r>
    <s v="18"/>
    <s v="18"/>
    <s v="Klinika psychiatrie"/>
    <x v="17"/>
    <s v="1811"/>
    <s v="lůžkové oddělení 32A"/>
    <s v="1811 - lůžkové oddělení 32A"/>
    <s v="50115063     ostatní ZPr - vaky, sety (sk.Z_528)"/>
    <x v="13"/>
    <x v="1"/>
    <n v="0.89869999999999994"/>
    <n v="0.96003188631799996"/>
  </r>
  <r>
    <s v="18"/>
    <s v="18"/>
    <s v="Klinika psychiatrie"/>
    <x v="17"/>
    <s v="1811"/>
    <s v="lůžkové oddělení 32A"/>
    <s v="1811 - lůžkové oddělení 32A"/>
    <s v="50115063     ostatní ZPr - vaky, sety (sk.Z_528)"/>
    <x v="13"/>
    <x v="2"/>
    <n v="0.49019999999999997"/>
    <n v="1.062099966546"/>
  </r>
  <r>
    <s v="18"/>
    <s v="18"/>
    <s v="Klinika psychiatrie"/>
    <x v="17"/>
    <s v="1811"/>
    <s v="lůžkové oddělení 32A"/>
    <s v="1811 - lůžkové oddělení 32A"/>
    <s v="50115065     ostatní ZPr - vpichovací materiál (sk.Z_530)"/>
    <x v="14"/>
    <x v="0"/>
    <n v="0.5099999999999999"/>
    <n v="0"/>
  </r>
  <r>
    <s v="18"/>
    <s v="18"/>
    <s v="Klinika psychiatrie"/>
    <x v="17"/>
    <s v="1811"/>
    <s v="lůžkové oddělení 32A"/>
    <s v="1811 - lůžkové oddělení 32A"/>
    <s v="50115065     ostatní ZPr - vpichovací materiál (sk.Z_530)"/>
    <x v="14"/>
    <x v="1"/>
    <n v="1.7164999999999999"/>
    <n v="0.52316604035100001"/>
  </r>
  <r>
    <s v="18"/>
    <s v="18"/>
    <s v="Klinika psychiatrie"/>
    <x v="17"/>
    <s v="1811"/>
    <s v="lůžkové oddělení 32A"/>
    <s v="1811 - lůžkové oddělení 32A"/>
    <s v="50115065     ostatní ZPr - vpichovací materiál (sk.Z_530)"/>
    <x v="14"/>
    <x v="2"/>
    <n v="1.0449999999999999"/>
    <n v="1.7614999445170001"/>
  </r>
  <r>
    <s v="18"/>
    <s v="18"/>
    <s v="Klinika psychiatrie"/>
    <x v="17"/>
    <s v="1811"/>
    <s v="lůžkové oddělení 32A"/>
    <s v="1811 - lůžkové oddělení 32A"/>
    <s v="50115067     ostatní ZPr - rukavice (sk.Z_532)"/>
    <x v="15"/>
    <x v="0"/>
    <n v="5.0858999999990004"/>
    <n v="4.8506931921860001"/>
  </r>
  <r>
    <s v="18"/>
    <s v="18"/>
    <s v="Klinika psychiatrie"/>
    <x v="17"/>
    <s v="1811"/>
    <s v="lůžkové oddělení 32A"/>
    <s v="1811 - lůžkové oddělení 32A"/>
    <s v="50115067     ostatní ZPr - rukavice (sk.Z_532)"/>
    <x v="15"/>
    <x v="1"/>
    <n v="6.4744799999999998"/>
    <n v="6.1578684717409997"/>
  </r>
  <r>
    <s v="18"/>
    <s v="18"/>
    <s v="Klinika psychiatrie"/>
    <x v="17"/>
    <s v="1811"/>
    <s v="lůžkové oddělení 32A"/>
    <s v="1811 - lůžkové oddělení 32A"/>
    <s v="50115067     ostatní ZPr - rukavice (sk.Z_532)"/>
    <x v="15"/>
    <x v="2"/>
    <n v="4.9462299999999999"/>
    <n v="6.8548310500419998"/>
  </r>
  <r>
    <s v="18"/>
    <s v="18"/>
    <s v="Klinika psychiatrie"/>
    <x v="17"/>
    <s v="1811"/>
    <s v="lůžkové oddělení 32A"/>
    <s v="1811 - lůžkové oddělení 32A"/>
    <s v="50115079     ostatní ZPr - intenzivní péče (sk.Z_542)"/>
    <x v="18"/>
    <x v="2"/>
    <n v="0.25686999999999999"/>
    <n v="0"/>
  </r>
  <r>
    <s v="18"/>
    <s v="18"/>
    <s v="Klinika psychiatrie"/>
    <x v="17"/>
    <s v="1812"/>
    <s v="lůžkové oddělení 32C + krizové centrum"/>
    <s v="1812 - lůžkové oddělení 32C + krizové centrum"/>
    <s v="50113     Léky a léčiva"/>
    <x v="2"/>
    <x v="0"/>
    <n v="135.22948"/>
    <n v="170.662141522355"/>
  </r>
  <r>
    <s v="18"/>
    <s v="18"/>
    <s v="Klinika psychiatrie"/>
    <x v="17"/>
    <s v="1812"/>
    <s v="lůžkové oddělení 32C + krizové centrum"/>
    <s v="1812 - lůžkové oddělení 32C + krizové centrum"/>
    <s v="50113     Léky a léčiva"/>
    <x v="2"/>
    <x v="1"/>
    <n v="137.24185"/>
    <n v="136.354354868055"/>
  </r>
  <r>
    <s v="18"/>
    <s v="18"/>
    <s v="Klinika psychiatrie"/>
    <x v="17"/>
    <s v="1812"/>
    <s v="lůžkové oddělení 32C + krizové centrum"/>
    <s v="1812 - lůžkové oddělení 32C + krizové centrum"/>
    <s v="50113     Léky a léčiva"/>
    <x v="2"/>
    <x v="2"/>
    <n v="85.020130000000009"/>
    <n v="124.84656821314699"/>
  </r>
  <r>
    <s v="18"/>
    <s v="18"/>
    <s v="Klinika psychiatrie"/>
    <x v="17"/>
    <s v="1812"/>
    <s v="lůžkové oddělení 32C + krizové centrum"/>
    <s v="1812 - lůžkové oddělení 32C + krizové centrum"/>
    <s v="50113001     léky - paušál+TISS (LEK)"/>
    <x v="3"/>
    <x v="0"/>
    <n v="132.97635"/>
    <n v="168.36964336929401"/>
  </r>
  <r>
    <s v="18"/>
    <s v="18"/>
    <s v="Klinika psychiatrie"/>
    <x v="17"/>
    <s v="1812"/>
    <s v="lůžkové oddělení 32C + krizové centrum"/>
    <s v="1812 - lůžkové oddělení 32C + krizové centrum"/>
    <s v="50113001     léky - paušál+TISS (LEK)"/>
    <x v="3"/>
    <x v="1"/>
    <n v="136.23644999999999"/>
    <n v="133.07707834282999"/>
  </r>
  <r>
    <s v="18"/>
    <s v="18"/>
    <s v="Klinika psychiatrie"/>
    <x v="17"/>
    <s v="1812"/>
    <s v="lůžkové oddělení 32C + krizové centrum"/>
    <s v="1812 - lůžkové oddělení 32C + krizové centrum"/>
    <s v="50113001     léky - paušál+TISS (LEK)"/>
    <x v="3"/>
    <x v="2"/>
    <n v="84.57902"/>
    <n v="124.386440083694"/>
  </r>
  <r>
    <s v="18"/>
    <s v="18"/>
    <s v="Klinika psychiatrie"/>
    <x v="17"/>
    <s v="1812"/>
    <s v="lůžkové oddělení 32C + krizové centrum"/>
    <s v="1812 - lůžkové oddělení 32C + krizové centrum"/>
    <s v="50113006     léky - enterální výživa (LEK)"/>
    <x v="4"/>
    <x v="2"/>
    <n v="0.44111"/>
    <n v="0"/>
  </r>
  <r>
    <s v="18"/>
    <s v="18"/>
    <s v="Klinika psychiatrie"/>
    <x v="17"/>
    <s v="1812"/>
    <s v="lůžkové oddělení 32C + krizové centrum"/>
    <s v="1812 - lůžkové oddělení 32C + krizové centrum"/>
    <s v="50113013     léky (paušál) - antibiotika (LEK)"/>
    <x v="7"/>
    <x v="0"/>
    <n v="1.9458800000000001"/>
    <n v="1.6953054347800001"/>
  </r>
  <r>
    <s v="18"/>
    <s v="18"/>
    <s v="Klinika psychiatrie"/>
    <x v="17"/>
    <s v="1812"/>
    <s v="lůžkové oddělení 32C + krizové centrum"/>
    <s v="1812 - lůžkové oddělení 32C + krizové centrum"/>
    <s v="50113013     léky (paušál) - antibiotika (LEK)"/>
    <x v="7"/>
    <x v="1"/>
    <n v="1.0054000000000001"/>
    <n v="2.9695388929569999"/>
  </r>
  <r>
    <s v="18"/>
    <s v="18"/>
    <s v="Klinika psychiatrie"/>
    <x v="17"/>
    <s v="1812"/>
    <s v="lůžkové oddělení 32C + krizové centrum"/>
    <s v="1812 - lůžkové oddělení 32C + krizové centrum"/>
    <s v="50113013     léky (paušál) - antibiotika (LEK)"/>
    <x v="7"/>
    <x v="2"/>
    <n v="0"/>
    <n v="0.46012812945199999"/>
  </r>
  <r>
    <s v="18"/>
    <s v="18"/>
    <s v="Klinika psychiatrie"/>
    <x v="17"/>
    <s v="1812"/>
    <s v="lůžkové oddělení 32C + krizové centrum"/>
    <s v="1812 - lůžkové oddělení 32C + krizové centrum"/>
    <s v="50113014     léky (paušál) - antimykotika (LEK)"/>
    <x v="8"/>
    <x v="0"/>
    <n v="0.30725000000000002"/>
    <n v="0.214913000839"/>
  </r>
  <r>
    <s v="18"/>
    <s v="18"/>
    <s v="Klinika psychiatrie"/>
    <x v="17"/>
    <s v="1812"/>
    <s v="lůžkové oddělení 32C + krizové centrum"/>
    <s v="1812 - lůžkové oddělení 32C + krizové centrum"/>
    <s v="50113014     léky (paušál) - antimykotika (LEK)"/>
    <x v="8"/>
    <x v="1"/>
    <n v="0"/>
    <n v="0.30773763226700002"/>
  </r>
  <r>
    <s v="18"/>
    <s v="18"/>
    <s v="Klinika psychiatrie"/>
    <x v="17"/>
    <s v="1812"/>
    <s v="lůžkové oddělení 32C + krizové centrum"/>
    <s v="1812 - lůžkové oddělení 32C + krizové centrum"/>
    <s v="50113190     medicinální plyny"/>
    <x v="9"/>
    <x v="0"/>
    <n v="0"/>
    <n v="0.38227971744099998"/>
  </r>
  <r>
    <s v="18"/>
    <s v="18"/>
    <s v="Klinika psychiatrie"/>
    <x v="17"/>
    <s v="1812"/>
    <s v="lůžkové oddělení 32C + krizové centrum"/>
    <s v="1812 - lůžkové oddělení 32C + krizové centrum"/>
    <s v="50115     Zdravotnické prostředky"/>
    <x v="0"/>
    <x v="0"/>
    <n v="2.2139500000000001"/>
    <n v="12.160721596946001"/>
  </r>
  <r>
    <s v="18"/>
    <s v="18"/>
    <s v="Klinika psychiatrie"/>
    <x v="17"/>
    <s v="1812"/>
    <s v="lůžkové oddělení 32C + krizové centrum"/>
    <s v="1812 - lůžkové oddělení 32C + krizové centrum"/>
    <s v="50115     Zdravotnické prostředky"/>
    <x v="0"/>
    <x v="1"/>
    <n v="2.5033599999999998"/>
    <n v="2.2279734558939999"/>
  </r>
  <r>
    <s v="18"/>
    <s v="18"/>
    <s v="Klinika psychiatrie"/>
    <x v="17"/>
    <s v="1812"/>
    <s v="lůžkové oddělení 32C + krizové centrum"/>
    <s v="1812 - lůžkové oddělení 32C + krizové centrum"/>
    <s v="50115     Zdravotnické prostředky"/>
    <x v="0"/>
    <x v="2"/>
    <n v="0.70033999999999996"/>
    <n v="1.8417039294440001"/>
  </r>
  <r>
    <s v="18"/>
    <s v="18"/>
    <s v="Klinika psychiatrie"/>
    <x v="17"/>
    <s v="1812"/>
    <s v="lůžkové oddělení 32C + krizové centrum"/>
    <s v="1812 - lůžkové oddělení 32C + krizové centrum"/>
    <s v="50115050     obvazový materiál (sk.Z_502)"/>
    <x v="12"/>
    <x v="0"/>
    <n v="0.41993999999999998"/>
    <n v="1.4097686723189999"/>
  </r>
  <r>
    <s v="18"/>
    <s v="18"/>
    <s v="Klinika psychiatrie"/>
    <x v="17"/>
    <s v="1812"/>
    <s v="lůžkové oddělení 32C + krizové centrum"/>
    <s v="1812 - lůžkové oddělení 32C + krizové centrum"/>
    <s v="50115050     obvazový materiál (sk.Z_502)"/>
    <x v="12"/>
    <x v="1"/>
    <n v="0.24669999999999997"/>
    <n v="0.420894965171"/>
  </r>
  <r>
    <s v="18"/>
    <s v="18"/>
    <s v="Klinika psychiatrie"/>
    <x v="17"/>
    <s v="1812"/>
    <s v="lůžkové oddělení 32C + krizové centrum"/>
    <s v="1812 - lůžkové oddělení 32C + krizové centrum"/>
    <s v="50115050     obvazový materiál (sk.Z_502)"/>
    <x v="12"/>
    <x v="2"/>
    <n v="0.13533999999999999"/>
    <n v="9.9800667489999995E-2"/>
  </r>
  <r>
    <s v="18"/>
    <s v="18"/>
    <s v="Klinika psychiatrie"/>
    <x v="17"/>
    <s v="1812"/>
    <s v="lůžkové oddělení 32C + krizové centrum"/>
    <s v="1812 - lůžkové oddělení 32C + krizové centrum"/>
    <s v="50115060     ostatní ZPr - mimo níže uvedené (sk.Z_503)"/>
    <x v="1"/>
    <x v="0"/>
    <n v="0.87000999999999995"/>
    <n v="9.7808608524709992"/>
  </r>
  <r>
    <s v="18"/>
    <s v="18"/>
    <s v="Klinika psychiatrie"/>
    <x v="17"/>
    <s v="1812"/>
    <s v="lůžkové oddělení 32C + krizové centrum"/>
    <s v="1812 - lůžkové oddělení 32C + krizové centrum"/>
    <s v="50115060     ostatní ZPr - mimo níže uvedené (sk.Z_503)"/>
    <x v="1"/>
    <x v="1"/>
    <n v="1.09066"/>
    <n v="0.87000344591800005"/>
  </r>
  <r>
    <s v="18"/>
    <s v="18"/>
    <s v="Klinika psychiatrie"/>
    <x v="17"/>
    <s v="1812"/>
    <s v="lůžkové oddělení 32C + krizové centrum"/>
    <s v="1812 - lůžkové oddělení 32C + krizové centrum"/>
    <s v="50115060     ostatní ZPr - mimo níže uvedené (sk.Z_503)"/>
    <x v="1"/>
    <x v="2"/>
    <n v="0.28100000000000003"/>
    <n v="0.90943938492099996"/>
  </r>
  <r>
    <s v="18"/>
    <s v="18"/>
    <s v="Klinika psychiatrie"/>
    <x v="17"/>
    <s v="1812"/>
    <s v="lůžkové oddělení 32C + krizové centrum"/>
    <s v="1812 - lůžkové oddělení 32C + krizové centrum"/>
    <s v="50115065     ostatní ZPr - vpichovací materiál (sk.Z_530)"/>
    <x v="14"/>
    <x v="1"/>
    <n v="0.03"/>
    <n v="0"/>
  </r>
  <r>
    <s v="18"/>
    <s v="18"/>
    <s v="Klinika psychiatrie"/>
    <x v="17"/>
    <s v="1812"/>
    <s v="lůžkové oddělení 32C + krizové centrum"/>
    <s v="1812 - lůžkové oddělení 32C + krizové centrum"/>
    <s v="50115065     ostatní ZPr - vpichovací materiál (sk.Z_530)"/>
    <x v="14"/>
    <x v="2"/>
    <n v="0"/>
    <n v="2.9999999055E-2"/>
  </r>
  <r>
    <s v="18"/>
    <s v="18"/>
    <s v="Klinika psychiatrie"/>
    <x v="17"/>
    <s v="1812"/>
    <s v="lůžkové oddělení 32C + krizové centrum"/>
    <s v="1812 - lůžkové oddělení 32C + krizové centrum"/>
    <s v="50115067     ostatní ZPr - rukavice (sk.Z_532)"/>
    <x v="15"/>
    <x v="0"/>
    <n v="0.92400000000000015"/>
    <n v="0.97009207215500004"/>
  </r>
  <r>
    <s v="18"/>
    <s v="18"/>
    <s v="Klinika psychiatrie"/>
    <x v="17"/>
    <s v="1812"/>
    <s v="lůžkové oddělení 32C + krizové centrum"/>
    <s v="1812 - lůžkové oddělení 32C + krizové centrum"/>
    <s v="50115067     ostatní ZPr - rukavice (sk.Z_532)"/>
    <x v="15"/>
    <x v="1"/>
    <n v="1.1359999999999999"/>
    <n v="0.93707504480399995"/>
  </r>
  <r>
    <s v="18"/>
    <s v="18"/>
    <s v="Klinika psychiatrie"/>
    <x v="17"/>
    <s v="1812"/>
    <s v="lůžkové oddělení 32C + krizové centrum"/>
    <s v="1812 - lůžkové oddělení 32C + krizové centrum"/>
    <s v="50115067     ostatní ZPr - rukavice (sk.Z_532)"/>
    <x v="15"/>
    <x v="2"/>
    <n v="0.28399999999999997"/>
    <n v="0.80246387797600005"/>
  </r>
  <r>
    <s v="18"/>
    <s v="18"/>
    <s v="Klinika psychiatrie"/>
    <x v="17"/>
    <s v="1813"/>
    <s v="lůžkové oddělení 32B"/>
    <s v="1813 - lůžkové oddělení 32B"/>
    <s v="50113     Léky a léčiva"/>
    <x v="2"/>
    <x v="0"/>
    <n v="332.26363999999995"/>
    <n v="307.97778459228198"/>
  </r>
  <r>
    <s v="18"/>
    <s v="18"/>
    <s v="Klinika psychiatrie"/>
    <x v="17"/>
    <s v="1813"/>
    <s v="lůžkové oddělení 32B"/>
    <s v="1813 - lůžkové oddělení 32B"/>
    <s v="50113     Léky a léčiva"/>
    <x v="2"/>
    <x v="1"/>
    <n v="324.98829999999998"/>
    <n v="333.53243020678701"/>
  </r>
  <r>
    <s v="18"/>
    <s v="18"/>
    <s v="Klinika psychiatrie"/>
    <x v="17"/>
    <s v="1813"/>
    <s v="lůžkové oddělení 32B"/>
    <s v="1813 - lůžkové oddělení 32B"/>
    <s v="50113     Léky a léčiva"/>
    <x v="2"/>
    <x v="2"/>
    <n v="274.98391000000004"/>
    <n v="369.12447997797602"/>
  </r>
  <r>
    <s v="18"/>
    <s v="18"/>
    <s v="Klinika psychiatrie"/>
    <x v="17"/>
    <s v="1813"/>
    <s v="lůžkové oddělení 32B"/>
    <s v="1813 - lůžkové oddělení 32B"/>
    <s v="50113001     léky - paušál+TISS (LEK)"/>
    <x v="3"/>
    <x v="0"/>
    <n v="325.27691999999996"/>
    <n v="299.022435628994"/>
  </r>
  <r>
    <s v="18"/>
    <s v="18"/>
    <s v="Klinika psychiatrie"/>
    <x v="17"/>
    <s v="1813"/>
    <s v="lůžkové oddělení 32B"/>
    <s v="1813 - lůžkové oddělení 32B"/>
    <s v="50113001     léky - paušál+TISS (LEK)"/>
    <x v="3"/>
    <x v="1"/>
    <n v="319.27140000000003"/>
    <n v="325.52331422808999"/>
  </r>
  <r>
    <s v="18"/>
    <s v="18"/>
    <s v="Klinika psychiatrie"/>
    <x v="17"/>
    <s v="1813"/>
    <s v="lůžkové oddělení 32B"/>
    <s v="1813 - lůžkové oddělení 32B"/>
    <s v="50113001     léky - paušál+TISS (LEK)"/>
    <x v="3"/>
    <x v="2"/>
    <n v="268.18095999999997"/>
    <n v="361.27026561294599"/>
  </r>
  <r>
    <s v="18"/>
    <s v="18"/>
    <s v="Klinika psychiatrie"/>
    <x v="17"/>
    <s v="1813"/>
    <s v="lůžkové oddělení 32B"/>
    <s v="1813 - lůžkové oddělení 32B"/>
    <s v="50113006     léky - enterální výživa (LEK)"/>
    <x v="4"/>
    <x v="0"/>
    <n v="0.36674000000000001"/>
    <n v="2.239403494921"/>
  </r>
  <r>
    <s v="18"/>
    <s v="18"/>
    <s v="Klinika psychiatrie"/>
    <x v="17"/>
    <s v="1813"/>
    <s v="lůžkové oddělení 32B"/>
    <s v="1813 - lůžkové oddělení 32B"/>
    <s v="50113006     léky - enterální výživa (LEK)"/>
    <x v="4"/>
    <x v="1"/>
    <n v="0.14388000000000001"/>
    <n v="0.36619208498799999"/>
  </r>
  <r>
    <s v="18"/>
    <s v="18"/>
    <s v="Klinika psychiatrie"/>
    <x v="17"/>
    <s v="1813"/>
    <s v="lůžkové oddělení 32B"/>
    <s v="1813 - lůžkové oddělení 32B"/>
    <s v="50113006     léky - enterální výživa (LEK)"/>
    <x v="4"/>
    <x v="2"/>
    <n v="1.72296"/>
    <n v="0.15701004665900001"/>
  </r>
  <r>
    <s v="18"/>
    <s v="18"/>
    <s v="Klinika psychiatrie"/>
    <x v="17"/>
    <s v="1813"/>
    <s v="lůžkové oddělení 32B"/>
    <s v="1813 - lůžkové oddělení 32B"/>
    <s v="50113013     léky (paušál) - antibiotika (LEK)"/>
    <x v="7"/>
    <x v="0"/>
    <n v="5.2372700000000005"/>
    <n v="4.8583862239500002"/>
  </r>
  <r>
    <s v="18"/>
    <s v="18"/>
    <s v="Klinika psychiatrie"/>
    <x v="17"/>
    <s v="1813"/>
    <s v="lůžkové oddělení 32B"/>
    <s v="1813 - lůžkové oddělení 32B"/>
    <s v="50113013     léky (paušál) - antibiotika (LEK)"/>
    <x v="7"/>
    <x v="1"/>
    <n v="4.6116999999999999"/>
    <n v="6.3009471076940002"/>
  </r>
  <r>
    <s v="18"/>
    <s v="18"/>
    <s v="Klinika psychiatrie"/>
    <x v="17"/>
    <s v="1813"/>
    <s v="lůžkové oddělení 32B"/>
    <s v="1813 - lůžkové oddělení 32B"/>
    <s v="50113013     léky (paušál) - antibiotika (LEK)"/>
    <x v="7"/>
    <x v="2"/>
    <n v="2.1073300000000001"/>
    <n v="6.8303925412810003"/>
  </r>
  <r>
    <s v="18"/>
    <s v="18"/>
    <s v="Klinika psychiatrie"/>
    <x v="17"/>
    <s v="1813"/>
    <s v="lůžkové oddělení 32B"/>
    <s v="1813 - lůžkové oddělení 32B"/>
    <s v="50113014     léky (paušál) - antimykotika (LEK)"/>
    <x v="8"/>
    <x v="0"/>
    <n v="0.42591000000000001"/>
    <n v="1.8575592444160001"/>
  </r>
  <r>
    <s v="18"/>
    <s v="18"/>
    <s v="Klinika psychiatrie"/>
    <x v="17"/>
    <s v="1813"/>
    <s v="lůžkové oddělení 32B"/>
    <s v="1813 - lůžkové oddělení 32B"/>
    <s v="50113014     léky (paušál) - antimykotika (LEK)"/>
    <x v="8"/>
    <x v="1"/>
    <n v="0.59101999999999999"/>
    <n v="0.42658595592800003"/>
  </r>
  <r>
    <s v="18"/>
    <s v="18"/>
    <s v="Klinika psychiatrie"/>
    <x v="17"/>
    <s v="1813"/>
    <s v="lůžkové oddělení 32B"/>
    <s v="1813 - lůžkové oddělení 32B"/>
    <s v="50113014     léky (paušál) - antimykotika (LEK)"/>
    <x v="8"/>
    <x v="2"/>
    <n v="1.9434100000000001"/>
    <n v="0.18257003353000001"/>
  </r>
  <r>
    <s v="18"/>
    <s v="18"/>
    <s v="Klinika psychiatrie"/>
    <x v="17"/>
    <s v="1813"/>
    <s v="lůžkové oddělení 32B"/>
    <s v="1813 - lůžkové oddělení 32B"/>
    <s v="50113190     medicinální plyny"/>
    <x v="9"/>
    <x v="0"/>
    <n v="0.95679999999999998"/>
    <n v="0"/>
  </r>
  <r>
    <s v="18"/>
    <s v="18"/>
    <s v="Klinika psychiatrie"/>
    <x v="17"/>
    <s v="1813"/>
    <s v="lůžkové oddělení 32B"/>
    <s v="1813 - lůžkové oddělení 32B"/>
    <s v="50113190     medicinální plyny"/>
    <x v="9"/>
    <x v="1"/>
    <n v="0.37030000000000002"/>
    <n v="0.915390830085"/>
  </r>
  <r>
    <s v="18"/>
    <s v="18"/>
    <s v="Klinika psychiatrie"/>
    <x v="17"/>
    <s v="1813"/>
    <s v="lůžkové oddělení 32B"/>
    <s v="1813 - lůžkové oddělení 32B"/>
    <s v="50113190     medicinální plyny"/>
    <x v="9"/>
    <x v="2"/>
    <n v="1.02925"/>
    <n v="0.68424174355800005"/>
  </r>
  <r>
    <s v="18"/>
    <s v="18"/>
    <s v="Klinika psychiatrie"/>
    <x v="17"/>
    <s v="1813"/>
    <s v="lůžkové oddělení 32B"/>
    <s v="1813 - lůžkové oddělení 32B"/>
    <s v="50115     Zdravotnické prostředky"/>
    <x v="0"/>
    <x v="0"/>
    <n v="22.343320000000002"/>
    <n v="22.615128911328998"/>
  </r>
  <r>
    <s v="18"/>
    <s v="18"/>
    <s v="Klinika psychiatrie"/>
    <x v="17"/>
    <s v="1813"/>
    <s v="lůžkové oddělení 32B"/>
    <s v="1813 - lůžkové oddělení 32B"/>
    <s v="50115     Zdravotnické prostředky"/>
    <x v="0"/>
    <x v="1"/>
    <n v="22.208499999999997"/>
    <n v="22.417163276831999"/>
  </r>
  <r>
    <s v="18"/>
    <s v="18"/>
    <s v="Klinika psychiatrie"/>
    <x v="17"/>
    <s v="1813"/>
    <s v="lůžkové oddělení 32B"/>
    <s v="1813 - lůžkové oddělení 32B"/>
    <s v="50115     Zdravotnické prostředky"/>
    <x v="0"/>
    <x v="2"/>
    <n v="16.549219999999998"/>
    <n v="24.673266010212998"/>
  </r>
  <r>
    <s v="18"/>
    <s v="18"/>
    <s v="Klinika psychiatrie"/>
    <x v="17"/>
    <s v="1813"/>
    <s v="lůžkové oddělení 32B"/>
    <s v="1813 - lůžkové oddělení 32B"/>
    <s v="50115050     obvazový materiál (sk.Z_502)"/>
    <x v="12"/>
    <x v="0"/>
    <n v="3.1155500000000003"/>
    <n v="3.2146846373279998"/>
  </r>
  <r>
    <s v="18"/>
    <s v="18"/>
    <s v="Klinika psychiatrie"/>
    <x v="17"/>
    <s v="1813"/>
    <s v="lůžkové oddělení 32B"/>
    <s v="1813 - lůžkové oddělení 32B"/>
    <s v="50115050     obvazový materiál (sk.Z_502)"/>
    <x v="12"/>
    <x v="1"/>
    <n v="4.3625600000000002"/>
    <n v="3.122634921036"/>
  </r>
  <r>
    <s v="18"/>
    <s v="18"/>
    <s v="Klinika psychiatrie"/>
    <x v="17"/>
    <s v="1813"/>
    <s v="lůžkové oddělení 32B"/>
    <s v="1813 - lůžkové oddělení 32B"/>
    <s v="50115050     obvazový materiál (sk.Z_502)"/>
    <x v="12"/>
    <x v="2"/>
    <n v="1.7247599999999996"/>
    <n v="4.4661442854409996"/>
  </r>
  <r>
    <s v="18"/>
    <s v="18"/>
    <s v="Klinika psychiatrie"/>
    <x v="17"/>
    <s v="1813"/>
    <s v="lůžkové oddělení 32B"/>
    <s v="1813 - lůžkové oddělení 32B"/>
    <s v="50115060     ostatní ZPr - mimo níže uvedené (sk.Z_503)"/>
    <x v="1"/>
    <x v="0"/>
    <n v="13.56054"/>
    <n v="14.549988028513001"/>
  </r>
  <r>
    <s v="18"/>
    <s v="18"/>
    <s v="Klinika psychiatrie"/>
    <x v="17"/>
    <s v="1813"/>
    <s v="lůžkové oddělení 32B"/>
    <s v="1813 - lůžkové oddělení 32B"/>
    <s v="50115060     ostatní ZPr - mimo níže uvedené (sk.Z_503)"/>
    <x v="1"/>
    <x v="1"/>
    <n v="10.78234"/>
    <n v="13.560437843838001"/>
  </r>
  <r>
    <s v="18"/>
    <s v="18"/>
    <s v="Klinika psychiatrie"/>
    <x v="17"/>
    <s v="1813"/>
    <s v="lůžkové oddělení 32B"/>
    <s v="1813 - lůžkové oddělení 32B"/>
    <s v="50115060     ostatní ZPr - mimo níže uvedené (sk.Z_503)"/>
    <x v="1"/>
    <x v="2"/>
    <n v="10.03046"/>
    <n v="13.766929763888999"/>
  </r>
  <r>
    <s v="18"/>
    <s v="18"/>
    <s v="Klinika psychiatrie"/>
    <x v="17"/>
    <s v="1813"/>
    <s v="lůžkové oddělení 32B"/>
    <s v="1813 - lůžkové oddělení 32B"/>
    <s v="50115063     ostatní ZPr - vaky, sety (sk.Z_528)"/>
    <x v="13"/>
    <x v="0"/>
    <n v="0.48899999999999999"/>
    <n v="0.96997154116100004"/>
  </r>
  <r>
    <s v="18"/>
    <s v="18"/>
    <s v="Klinika psychiatrie"/>
    <x v="17"/>
    <s v="1813"/>
    <s v="lůžkové oddělení 32B"/>
    <s v="1813 - lůžkové oddělení 32B"/>
    <s v="50115063     ostatní ZPr - vaky, sety (sk.Z_528)"/>
    <x v="13"/>
    <x v="1"/>
    <n v="0.3266"/>
    <n v="0.47903631878500003"/>
  </r>
  <r>
    <s v="18"/>
    <s v="18"/>
    <s v="Klinika psychiatrie"/>
    <x v="17"/>
    <s v="1813"/>
    <s v="lůžkové oddělení 32B"/>
    <s v="1813 - lůžkové oddělení 32B"/>
    <s v="50115063     ostatní ZPr - vaky, sety (sk.Z_528)"/>
    <x v="13"/>
    <x v="2"/>
    <n v="0"/>
    <n v="0.163199994859"/>
  </r>
  <r>
    <s v="18"/>
    <s v="18"/>
    <s v="Klinika psychiatrie"/>
    <x v="17"/>
    <s v="1813"/>
    <s v="lůžkové oddělení 32B"/>
    <s v="1813 - lůžkové oddělení 32B"/>
    <s v="50115065     ostatní ZPr - vpichovací materiál (sk.Z_530)"/>
    <x v="14"/>
    <x v="0"/>
    <n v="0.30430000000000001"/>
    <n v="0"/>
  </r>
  <r>
    <s v="18"/>
    <s v="18"/>
    <s v="Klinika psychiatrie"/>
    <x v="17"/>
    <s v="1813"/>
    <s v="lůžkové oddělení 32B"/>
    <s v="1813 - lůžkové oddělení 32B"/>
    <s v="50115065     ostatní ZPr - vpichovací materiál (sk.Z_530)"/>
    <x v="14"/>
    <x v="1"/>
    <n v="0.94900000000000007"/>
    <n v="0.31215573740899999"/>
  </r>
  <r>
    <s v="18"/>
    <s v="18"/>
    <s v="Klinika psychiatrie"/>
    <x v="17"/>
    <s v="1813"/>
    <s v="lůžkové oddělení 32B"/>
    <s v="1813 - lůžkové oddělení 32B"/>
    <s v="50115065     ostatní ZPr - vpichovací materiál (sk.Z_530)"/>
    <x v="14"/>
    <x v="2"/>
    <n v="0.63100000000000001"/>
    <n v="1.0929999655730001"/>
  </r>
  <r>
    <s v="18"/>
    <s v="18"/>
    <s v="Klinika psychiatrie"/>
    <x v="17"/>
    <s v="1813"/>
    <s v="lůžkové oddělení 32B"/>
    <s v="1813 - lůžkové oddělení 32B"/>
    <s v="50115067     ostatní ZPr - rukavice (sk.Z_532)"/>
    <x v="15"/>
    <x v="0"/>
    <n v="4.8739299999989996"/>
    <n v="3.8804847043250001"/>
  </r>
  <r>
    <s v="18"/>
    <s v="18"/>
    <s v="Klinika psychiatrie"/>
    <x v="17"/>
    <s v="1813"/>
    <s v="lůžkové oddělení 32B"/>
    <s v="1813 - lůžkové oddělení 32B"/>
    <s v="50115067     ostatní ZPr - rukavice (sk.Z_532)"/>
    <x v="15"/>
    <x v="1"/>
    <n v="5.7880000000000003"/>
    <n v="4.9428984557610001"/>
  </r>
  <r>
    <s v="18"/>
    <s v="18"/>
    <s v="Klinika psychiatrie"/>
    <x v="17"/>
    <s v="1813"/>
    <s v="lůžkové oddělení 32B"/>
    <s v="1813 - lůžkové oddělení 32B"/>
    <s v="50115067     ostatní ZPr - rukavice (sk.Z_532)"/>
    <x v="15"/>
    <x v="2"/>
    <n v="4.1630000000000003"/>
    <n v="5.1839920004489999"/>
  </r>
  <r>
    <s v="18"/>
    <s v="18"/>
    <s v="Klinika psychiatrie"/>
    <x v="17"/>
    <s v="1821"/>
    <s v="ambulance"/>
    <s v="1821 - ambulance"/>
    <s v="50113     Léky a léčiva"/>
    <x v="2"/>
    <x v="0"/>
    <n v="1417.212970000001"/>
    <n v="1492.0427488986099"/>
  </r>
  <r>
    <s v="18"/>
    <s v="18"/>
    <s v="Klinika psychiatrie"/>
    <x v="17"/>
    <s v="1821"/>
    <s v="ambulance"/>
    <s v="1821 - ambulance"/>
    <s v="50113     Léky a léčiva"/>
    <x v="2"/>
    <x v="1"/>
    <n v="1179.01531"/>
    <n v="1410.2700891197601"/>
  </r>
  <r>
    <s v="18"/>
    <s v="18"/>
    <s v="Klinika psychiatrie"/>
    <x v="17"/>
    <s v="1821"/>
    <s v="ambulance"/>
    <s v="1821 - ambulance"/>
    <s v="50113     Léky a léčiva"/>
    <x v="2"/>
    <x v="2"/>
    <n v="1041.452119999999"/>
    <n v="1401.8144109365101"/>
  </r>
  <r>
    <s v="18"/>
    <s v="18"/>
    <s v="Klinika psychiatrie"/>
    <x v="17"/>
    <s v="1821"/>
    <s v="ambulance"/>
    <s v="1821 - ambulance"/>
    <s v="50113001     léky - paušál+TISS (LEK)"/>
    <x v="3"/>
    <x v="0"/>
    <n v="1416.8426700000009"/>
    <n v="1492.0427488986099"/>
  </r>
  <r>
    <s v="18"/>
    <s v="18"/>
    <s v="Klinika psychiatrie"/>
    <x v="17"/>
    <s v="1821"/>
    <s v="ambulance"/>
    <s v="1821 - ambulance"/>
    <s v="50113001     léky - paušál+TISS (LEK)"/>
    <x v="3"/>
    <x v="1"/>
    <n v="1179.01531"/>
    <n v="1409.9158152648399"/>
  </r>
  <r>
    <s v="18"/>
    <s v="18"/>
    <s v="Klinika psychiatrie"/>
    <x v="17"/>
    <s v="1821"/>
    <s v="ambulance"/>
    <s v="1821 - ambulance"/>
    <s v="50113001     léky - paušál+TISS (LEK)"/>
    <x v="3"/>
    <x v="2"/>
    <n v="1040.624119999999"/>
    <n v="1401.8144109365101"/>
  </r>
  <r>
    <s v="18"/>
    <s v="18"/>
    <s v="Klinika psychiatrie"/>
    <x v="17"/>
    <s v="1821"/>
    <s v="ambulance"/>
    <s v="1821 - ambulance"/>
    <s v="50113190     medicinální plyny"/>
    <x v="9"/>
    <x v="0"/>
    <n v="0.37030000000000002"/>
    <n v="0"/>
  </r>
  <r>
    <s v="18"/>
    <s v="18"/>
    <s v="Klinika psychiatrie"/>
    <x v="17"/>
    <s v="1821"/>
    <s v="ambulance"/>
    <s v="1821 - ambulance"/>
    <s v="50113190     medicinální plyny"/>
    <x v="9"/>
    <x v="1"/>
    <n v="0"/>
    <n v="0.35427385491300001"/>
  </r>
  <r>
    <s v="18"/>
    <s v="18"/>
    <s v="Klinika psychiatrie"/>
    <x v="17"/>
    <s v="1821"/>
    <s v="ambulance"/>
    <s v="1821 - ambulance"/>
    <s v="50113190     medicinální plyny"/>
    <x v="9"/>
    <x v="2"/>
    <n v="0.82799999999999996"/>
    <n v="0"/>
  </r>
  <r>
    <s v="18"/>
    <s v="18"/>
    <s v="Klinika psychiatrie"/>
    <x v="17"/>
    <s v="1821"/>
    <s v="ambulance"/>
    <s v="1821 - ambulance"/>
    <s v="50115     Zdravotnické prostředky"/>
    <x v="0"/>
    <x v="0"/>
    <n v="7.2290999999989998"/>
    <n v="22.347448402110999"/>
  </r>
  <r>
    <s v="18"/>
    <s v="18"/>
    <s v="Klinika psychiatrie"/>
    <x v="17"/>
    <s v="1821"/>
    <s v="ambulance"/>
    <s v="1821 - ambulance"/>
    <s v="50115     Zdravotnické prostředky"/>
    <x v="0"/>
    <x v="1"/>
    <n v="6.3729399999999989"/>
    <n v="7.2574125673849998"/>
  </r>
  <r>
    <s v="18"/>
    <s v="18"/>
    <s v="Klinika psychiatrie"/>
    <x v="17"/>
    <s v="1821"/>
    <s v="ambulance"/>
    <s v="1821 - ambulance"/>
    <s v="50115     Zdravotnické prostředky"/>
    <x v="0"/>
    <x v="2"/>
    <n v="6.6198399999999991"/>
    <n v="8.4934683126849997"/>
  </r>
  <r>
    <s v="18"/>
    <s v="18"/>
    <s v="Klinika psychiatrie"/>
    <x v="17"/>
    <s v="1821"/>
    <s v="ambulance"/>
    <s v="1821 - ambulance"/>
    <s v="50115020     diagnostika laboratorní-LEK (sk.Z_501)"/>
    <x v="10"/>
    <x v="0"/>
    <n v="0"/>
    <n v="1.8756694156410001"/>
  </r>
  <r>
    <s v="18"/>
    <s v="18"/>
    <s v="Klinika psychiatrie"/>
    <x v="17"/>
    <s v="1821"/>
    <s v="ambulance"/>
    <s v="1821 - ambulance"/>
    <s v="50115050     obvazový materiál (sk.Z_502)"/>
    <x v="12"/>
    <x v="0"/>
    <n v="0.97025999999900003"/>
    <n v="1.0716003465699999"/>
  </r>
  <r>
    <s v="18"/>
    <s v="18"/>
    <s v="Klinika psychiatrie"/>
    <x v="17"/>
    <s v="1821"/>
    <s v="ambulance"/>
    <s v="1821 - ambulance"/>
    <s v="50115050     obvazový materiál (sk.Z_502)"/>
    <x v="12"/>
    <x v="1"/>
    <n v="1.0424900000000001"/>
    <n v="0.972466421172"/>
  </r>
  <r>
    <s v="18"/>
    <s v="18"/>
    <s v="Klinika psychiatrie"/>
    <x v="17"/>
    <s v="1821"/>
    <s v="ambulance"/>
    <s v="1821 - ambulance"/>
    <s v="50115050     obvazový materiál (sk.Z_502)"/>
    <x v="12"/>
    <x v="2"/>
    <n v="1.1313400000000002"/>
    <n v="1.1441970459499999"/>
  </r>
  <r>
    <s v="18"/>
    <s v="18"/>
    <s v="Klinika psychiatrie"/>
    <x v="17"/>
    <s v="1821"/>
    <s v="ambulance"/>
    <s v="1821 - ambulance"/>
    <s v="50115060     ostatní ZPr - mimo níže uvedené (sk.Z_503)"/>
    <x v="1"/>
    <x v="0"/>
    <n v="4.8864799999999997"/>
    <n v="17.459985634214998"/>
  </r>
  <r>
    <s v="18"/>
    <s v="18"/>
    <s v="Klinika psychiatrie"/>
    <x v="17"/>
    <s v="1821"/>
    <s v="ambulance"/>
    <s v="1821 - ambulance"/>
    <s v="50115060     ostatní ZPr - mimo níže uvedené (sk.Z_503)"/>
    <x v="1"/>
    <x v="1"/>
    <n v="3.9872100000000001"/>
    <n v="4.8864431884829997"/>
  </r>
  <r>
    <s v="18"/>
    <s v="18"/>
    <s v="Klinika psychiatrie"/>
    <x v="17"/>
    <s v="1821"/>
    <s v="ambulance"/>
    <s v="1821 - ambulance"/>
    <s v="50115060     ostatní ZPr - mimo níže uvedené (sk.Z_503)"/>
    <x v="1"/>
    <x v="2"/>
    <n v="3.9403999999999999"/>
    <n v="5.8755586460910001"/>
  </r>
  <r>
    <s v="18"/>
    <s v="18"/>
    <s v="Klinika psychiatrie"/>
    <x v="17"/>
    <s v="1821"/>
    <s v="ambulance"/>
    <s v="1821 - ambulance"/>
    <s v="50115065     ostatní ZPr - vpichovací materiál (sk.Z_530)"/>
    <x v="14"/>
    <x v="0"/>
    <n v="0.57635999999999998"/>
    <n v="0.97010093352799998"/>
  </r>
  <r>
    <s v="18"/>
    <s v="18"/>
    <s v="Klinika psychiatrie"/>
    <x v="17"/>
    <s v="1821"/>
    <s v="ambulance"/>
    <s v="1821 - ambulance"/>
    <s v="50115065     ostatní ZPr - vpichovací materiál (sk.Z_530)"/>
    <x v="14"/>
    <x v="1"/>
    <n v="0.40500000000000003"/>
    <n v="0.59123917454200003"/>
  </r>
  <r>
    <s v="18"/>
    <s v="18"/>
    <s v="Klinika psychiatrie"/>
    <x v="17"/>
    <s v="1821"/>
    <s v="ambulance"/>
    <s v="1821 - ambulance"/>
    <s v="50115065     ostatní ZPr - vpichovací materiál (sk.Z_530)"/>
    <x v="14"/>
    <x v="2"/>
    <n v="0.72900000000000009"/>
    <n v="0.314999990078"/>
  </r>
  <r>
    <s v="18"/>
    <s v="18"/>
    <s v="Klinika psychiatrie"/>
    <x v="17"/>
    <s v="1821"/>
    <s v="ambulance"/>
    <s v="1821 - ambulance"/>
    <s v="50115067     ostatní ZPr - rukavice (sk.Z_532)"/>
    <x v="15"/>
    <x v="0"/>
    <n v="0.79599999999999993"/>
    <n v="0.97009207215500004"/>
  </r>
  <r>
    <s v="18"/>
    <s v="18"/>
    <s v="Klinika psychiatrie"/>
    <x v="17"/>
    <s v="1821"/>
    <s v="ambulance"/>
    <s v="1821 - ambulance"/>
    <s v="50115067     ostatní ZPr - rukavice (sk.Z_532)"/>
    <x v="15"/>
    <x v="1"/>
    <n v="0.93823999999999996"/>
    <n v="0.80726378318600001"/>
  </r>
  <r>
    <s v="18"/>
    <s v="18"/>
    <s v="Klinika psychiatrie"/>
    <x v="17"/>
    <s v="1821"/>
    <s v="ambulance"/>
    <s v="1821 - ambulance"/>
    <s v="50115067     ostatní ZPr - rukavice (sk.Z_532)"/>
    <x v="15"/>
    <x v="2"/>
    <n v="0.81910000000000005"/>
    <n v="1.158712630565"/>
  </r>
  <r>
    <s v="18"/>
    <s v="18"/>
    <s v="Klinika psychiatrie"/>
    <x v="17"/>
    <s v="1823"/>
    <s v="ambulance AT centrum"/>
    <s v="1823 - ambulance AT centrum"/>
    <s v="50113     Léky a léčiva"/>
    <x v="2"/>
    <x v="0"/>
    <n v="253.31634000000003"/>
    <n v="412.51798394773402"/>
  </r>
  <r>
    <s v="18"/>
    <s v="18"/>
    <s v="Klinika psychiatrie"/>
    <x v="17"/>
    <s v="1823"/>
    <s v="ambulance AT centrum"/>
    <s v="1823 - ambulance AT centrum"/>
    <s v="50113     Léky a léčiva"/>
    <x v="2"/>
    <x v="1"/>
    <n v="224.29347999999999"/>
    <n v="253.508224761012"/>
  </r>
  <r>
    <s v="18"/>
    <s v="18"/>
    <s v="Klinika psychiatrie"/>
    <x v="17"/>
    <s v="1823"/>
    <s v="ambulance AT centrum"/>
    <s v="1823 - ambulance AT centrum"/>
    <s v="50113     Léky a léčiva"/>
    <x v="2"/>
    <x v="2"/>
    <n v="71.110250000000008"/>
    <n v="130.37492078174401"/>
  </r>
  <r>
    <s v="18"/>
    <s v="18"/>
    <s v="Klinika psychiatrie"/>
    <x v="17"/>
    <s v="1823"/>
    <s v="ambulance AT centrum"/>
    <s v="1823 - ambulance AT centrum"/>
    <s v="50113001     léky - paušál+TISS (LEK)"/>
    <x v="3"/>
    <x v="0"/>
    <n v="253.31634000000003"/>
    <n v="412.44510669910898"/>
  </r>
  <r>
    <s v="18"/>
    <s v="18"/>
    <s v="Klinika psychiatrie"/>
    <x v="17"/>
    <s v="1823"/>
    <s v="ambulance AT centrum"/>
    <s v="1823 - ambulance AT centrum"/>
    <s v="50113001     léky - paušál+TISS (LEK)"/>
    <x v="3"/>
    <x v="1"/>
    <n v="223.92318"/>
    <n v="253.508224761012"/>
  </r>
  <r>
    <s v="18"/>
    <s v="18"/>
    <s v="Klinika psychiatrie"/>
    <x v="17"/>
    <s v="1823"/>
    <s v="ambulance AT centrum"/>
    <s v="1823 - ambulance AT centrum"/>
    <s v="50113001     léky - paušál+TISS (LEK)"/>
    <x v="3"/>
    <x v="2"/>
    <n v="71.110250000000008"/>
    <n v="129.69067903818501"/>
  </r>
  <r>
    <s v="18"/>
    <s v="18"/>
    <s v="Klinika psychiatrie"/>
    <x v="17"/>
    <s v="1823"/>
    <s v="ambulance AT centrum"/>
    <s v="1823 - ambulance AT centrum"/>
    <s v="50113013     léky (paušál) - antibiotika (LEK)"/>
    <x v="7"/>
    <x v="0"/>
    <n v="0"/>
    <n v="7.2877248623999996E-2"/>
  </r>
  <r>
    <s v="18"/>
    <s v="18"/>
    <s v="Klinika psychiatrie"/>
    <x v="17"/>
    <s v="1823"/>
    <s v="ambulance AT centrum"/>
    <s v="1823 - ambulance AT centrum"/>
    <s v="50113190     medicinální plyny"/>
    <x v="9"/>
    <x v="1"/>
    <n v="0.37030000000000002"/>
    <n v="0"/>
  </r>
  <r>
    <s v="18"/>
    <s v="18"/>
    <s v="Klinika psychiatrie"/>
    <x v="17"/>
    <s v="1823"/>
    <s v="ambulance AT centrum"/>
    <s v="1823 - ambulance AT centrum"/>
    <s v="50113190     medicinální plyny"/>
    <x v="9"/>
    <x v="2"/>
    <n v="0"/>
    <n v="0.68424174355800005"/>
  </r>
  <r>
    <s v="18"/>
    <s v="18"/>
    <s v="Klinika psychiatrie"/>
    <x v="17"/>
    <s v="1823"/>
    <s v="ambulance AT centrum"/>
    <s v="1823 - ambulance AT centrum"/>
    <s v="50115     Zdravotnické prostředky"/>
    <x v="0"/>
    <x v="0"/>
    <n v="0"/>
    <n v="0.32685789410900001"/>
  </r>
  <r>
    <s v="18"/>
    <s v="18"/>
    <s v="Klinika psychiatrie"/>
    <x v="17"/>
    <s v="1823"/>
    <s v="ambulance AT centrum"/>
    <s v="1823 - ambulance AT centrum"/>
    <s v="50115050     obvazový materiál (sk.Z_502)"/>
    <x v="12"/>
    <x v="0"/>
    <n v="0"/>
    <n v="0.32685789410900001"/>
  </r>
  <r>
    <s v="19"/>
    <s v="19"/>
    <s v="Klinika pracovního lékařství"/>
    <x v="18"/>
    <s v="1921"/>
    <s v="ambulance"/>
    <s v="1921 - ambulance"/>
    <s v="50113     Léky a léčiva"/>
    <x v="2"/>
    <x v="0"/>
    <n v="140.25121999999899"/>
    <n v="198.187620850885"/>
  </r>
  <r>
    <s v="19"/>
    <s v="19"/>
    <s v="Klinika pracovního lékařství"/>
    <x v="18"/>
    <s v="1921"/>
    <s v="ambulance"/>
    <s v="1921 - ambulance"/>
    <s v="50113     Léky a léčiva"/>
    <x v="2"/>
    <x v="1"/>
    <n v="109.83739999999997"/>
    <n v="149.03834125537799"/>
  </r>
  <r>
    <s v="19"/>
    <s v="19"/>
    <s v="Klinika pracovního lékařství"/>
    <x v="18"/>
    <s v="1921"/>
    <s v="ambulance"/>
    <s v="1921 - ambulance"/>
    <s v="50113     Léky a léčiva"/>
    <x v="2"/>
    <x v="2"/>
    <n v="83.267800000000008"/>
    <n v="112.453767973406"/>
  </r>
  <r>
    <s v="19"/>
    <s v="19"/>
    <s v="Klinika pracovního lékařství"/>
    <x v="18"/>
    <s v="1921"/>
    <s v="ambulance"/>
    <s v="1921 - ambulance"/>
    <s v="50113001     léky - paušál+TISS (LEK)"/>
    <x v="3"/>
    <x v="0"/>
    <n v="140.21374999999901"/>
    <n v="196.19985642596299"/>
  </r>
  <r>
    <s v="19"/>
    <s v="19"/>
    <s v="Klinika pracovního lékařství"/>
    <x v="18"/>
    <s v="1921"/>
    <s v="ambulance"/>
    <s v="1921 - ambulance"/>
    <s v="50113001     léky - paušál+TISS (LEK)"/>
    <x v="3"/>
    <x v="1"/>
    <n v="109.83739999999997"/>
    <n v="149.00041567809799"/>
  </r>
  <r>
    <s v="19"/>
    <s v="19"/>
    <s v="Klinika pracovního lékařství"/>
    <x v="18"/>
    <s v="1921"/>
    <s v="ambulance"/>
    <s v="1921 - ambulance"/>
    <s v="50113001     léky - paušál+TISS (LEK)"/>
    <x v="3"/>
    <x v="2"/>
    <n v="83.267800000000008"/>
    <n v="112.453767973406"/>
  </r>
  <r>
    <s v="19"/>
    <s v="19"/>
    <s v="Klinika pracovního lékařství"/>
    <x v="18"/>
    <s v="1921"/>
    <s v="ambulance"/>
    <s v="1921 - ambulance"/>
    <s v="50113013     léky (paušál) - antibiotika (LEK)"/>
    <x v="7"/>
    <x v="0"/>
    <n v="3.7470000000000003E-2"/>
    <n v="1.000010671733"/>
  </r>
  <r>
    <s v="19"/>
    <s v="19"/>
    <s v="Klinika pracovního lékařství"/>
    <x v="18"/>
    <s v="1921"/>
    <s v="ambulance"/>
    <s v="1921 - ambulance"/>
    <s v="50113013     léky (paušál) - antibiotika (LEK)"/>
    <x v="7"/>
    <x v="1"/>
    <n v="0"/>
    <n v="3.7925577279999997E-2"/>
  </r>
  <r>
    <s v="19"/>
    <s v="19"/>
    <s v="Klinika pracovního lékařství"/>
    <x v="18"/>
    <s v="1921"/>
    <s v="ambulance"/>
    <s v="1921 - ambulance"/>
    <s v="50113190     medicinální plyny"/>
    <x v="9"/>
    <x v="0"/>
    <n v="0"/>
    <n v="0.98775375318799996"/>
  </r>
  <r>
    <s v="19"/>
    <s v="19"/>
    <s v="Klinika pracovního lékařství"/>
    <x v="18"/>
    <s v="1921"/>
    <s v="ambulance"/>
    <s v="1921 - ambulance"/>
    <s v="50115     Zdravotnické prostředky"/>
    <x v="0"/>
    <x v="0"/>
    <n v="66.696679999998992"/>
    <n v="69.665176548215996"/>
  </r>
  <r>
    <s v="19"/>
    <s v="19"/>
    <s v="Klinika pracovního lékařství"/>
    <x v="18"/>
    <s v="1921"/>
    <s v="ambulance"/>
    <s v="1921 - ambulance"/>
    <s v="50115     Zdravotnické prostředky"/>
    <x v="0"/>
    <x v="1"/>
    <n v="62.280180000000009"/>
    <n v="67.101178044345005"/>
  </r>
  <r>
    <s v="19"/>
    <s v="19"/>
    <s v="Klinika pracovního lékařství"/>
    <x v="18"/>
    <s v="1921"/>
    <s v="ambulance"/>
    <s v="1921 - ambulance"/>
    <s v="50115     Zdravotnické prostředky"/>
    <x v="0"/>
    <x v="2"/>
    <n v="43.113"/>
    <n v="72.289117286454996"/>
  </r>
  <r>
    <s v="19"/>
    <s v="19"/>
    <s v="Klinika pracovního lékařství"/>
    <x v="18"/>
    <s v="1921"/>
    <s v="ambulance"/>
    <s v="1921 - ambulance"/>
    <s v="50115020     diagnostika laboratorní-LEK (sk.Z_501)"/>
    <x v="10"/>
    <x v="0"/>
    <n v="11.153569999998998"/>
    <n v="7"/>
  </r>
  <r>
    <s v="19"/>
    <s v="19"/>
    <s v="Klinika pracovního lékařství"/>
    <x v="18"/>
    <s v="1921"/>
    <s v="ambulance"/>
    <s v="1921 - ambulance"/>
    <s v="50115020     diagnostika laboratorní-LEK (sk.Z_501)"/>
    <x v="10"/>
    <x v="1"/>
    <n v="15.786849999999998"/>
    <n v="12.153559845564001"/>
  </r>
  <r>
    <s v="19"/>
    <s v="19"/>
    <s v="Klinika pracovního lékařství"/>
    <x v="18"/>
    <s v="1921"/>
    <s v="ambulance"/>
    <s v="1921 - ambulance"/>
    <s v="50115020     diagnostika laboratorní-LEK (sk.Z_501)"/>
    <x v="10"/>
    <x v="2"/>
    <n v="13.11788"/>
    <n v="17.903139436094001"/>
  </r>
  <r>
    <s v="19"/>
    <s v="19"/>
    <s v="Klinika pracovního lékařství"/>
    <x v="18"/>
    <s v="1921"/>
    <s v="ambulance"/>
    <s v="1921 - ambulance"/>
    <s v="50115050     obvazový materiál (sk.Z_502)"/>
    <x v="12"/>
    <x v="0"/>
    <n v="1.6279699999999999"/>
    <n v="1.9999857338760001"/>
  </r>
  <r>
    <s v="19"/>
    <s v="19"/>
    <s v="Klinika pracovního lékařství"/>
    <x v="18"/>
    <s v="1921"/>
    <s v="ambulance"/>
    <s v="1921 - ambulance"/>
    <s v="50115050     obvazový materiál (sk.Z_502)"/>
    <x v="12"/>
    <x v="1"/>
    <n v="2.5201000000000002"/>
    <n v="1.6316720875599999"/>
  </r>
  <r>
    <s v="19"/>
    <s v="19"/>
    <s v="Klinika pracovního lékařství"/>
    <x v="18"/>
    <s v="1921"/>
    <s v="ambulance"/>
    <s v="1921 - ambulance"/>
    <s v="50115050     obvazový materiál (sk.Z_502)"/>
    <x v="12"/>
    <x v="2"/>
    <n v="0.80634000000000006"/>
    <n v="1.167583126572"/>
  </r>
  <r>
    <s v="19"/>
    <s v="19"/>
    <s v="Klinika pracovního lékařství"/>
    <x v="18"/>
    <s v="1921"/>
    <s v="ambulance"/>
    <s v="1921 - ambulance"/>
    <s v="50115060     ostatní ZPr - mimo níže uvedené (sk.Z_503)"/>
    <x v="1"/>
    <x v="0"/>
    <n v="19.991779999999999"/>
    <n v="19.998343382087"/>
  </r>
  <r>
    <s v="19"/>
    <s v="19"/>
    <s v="Klinika pracovního lékařství"/>
    <x v="18"/>
    <s v="1921"/>
    <s v="ambulance"/>
    <s v="1921 - ambulance"/>
    <s v="50115060     ostatní ZPr - mimo níže uvedené (sk.Z_503)"/>
    <x v="1"/>
    <x v="1"/>
    <n v="13.386229999999999"/>
    <n v="19.99162939512"/>
  </r>
  <r>
    <s v="19"/>
    <s v="19"/>
    <s v="Klinika pracovního lékařství"/>
    <x v="18"/>
    <s v="1921"/>
    <s v="ambulance"/>
    <s v="1921 - ambulance"/>
    <s v="50115060     ostatní ZPr - mimo níže uvedené (sk.Z_503)"/>
    <x v="1"/>
    <x v="2"/>
    <n v="9.5857799999999997"/>
    <n v="16.588227079595001"/>
  </r>
  <r>
    <s v="19"/>
    <s v="19"/>
    <s v="Klinika pracovního lékařství"/>
    <x v="18"/>
    <s v="1921"/>
    <s v="ambulance"/>
    <s v="1921 - ambulance"/>
    <s v="50115063     ostatní ZPr - vaky, sety (sk.Z_528)"/>
    <x v="13"/>
    <x v="0"/>
    <n v="31.576000000000001"/>
    <n v="38.666712446882002"/>
  </r>
  <r>
    <s v="19"/>
    <s v="19"/>
    <s v="Klinika pracovního lékařství"/>
    <x v="18"/>
    <s v="1921"/>
    <s v="ambulance"/>
    <s v="1921 - ambulance"/>
    <s v="50115063     ostatní ZPr - vaky, sety (sk.Z_528)"/>
    <x v="13"/>
    <x v="1"/>
    <n v="26.136000000000003"/>
    <n v="30.932619226945999"/>
  </r>
  <r>
    <s v="19"/>
    <s v="19"/>
    <s v="Klinika pracovního lékařství"/>
    <x v="18"/>
    <s v="1921"/>
    <s v="ambulance"/>
    <s v="1921 - ambulance"/>
    <s v="50115063     ostatní ZPr - vaky, sety (sk.Z_528)"/>
    <x v="13"/>
    <x v="2"/>
    <n v="15.517000000000001"/>
    <n v="31.999998992077"/>
  </r>
  <r>
    <s v="19"/>
    <s v="19"/>
    <s v="Klinika pracovního lékařství"/>
    <x v="18"/>
    <s v="1921"/>
    <s v="ambulance"/>
    <s v="1921 - ambulance"/>
    <s v="50115065     ostatní ZPr - vpichovací materiál (sk.Z_530)"/>
    <x v="14"/>
    <x v="0"/>
    <n v="0.95335999999900001"/>
    <n v="1"/>
  </r>
  <r>
    <s v="19"/>
    <s v="19"/>
    <s v="Klinika pracovního lékařství"/>
    <x v="18"/>
    <s v="1921"/>
    <s v="ambulance"/>
    <s v="1921 - ambulance"/>
    <s v="50115065     ostatní ZPr - vpichovací materiál (sk.Z_530)"/>
    <x v="14"/>
    <x v="1"/>
    <n v="3.2120000000000006"/>
    <n v="0.97797171809600003"/>
  </r>
  <r>
    <s v="19"/>
    <s v="19"/>
    <s v="Klinika pracovního lékařství"/>
    <x v="18"/>
    <s v="1921"/>
    <s v="ambulance"/>
    <s v="1921 - ambulance"/>
    <s v="50115065     ostatní ZPr - vpichovací materiál (sk.Z_530)"/>
    <x v="14"/>
    <x v="2"/>
    <n v="3.0919999999999996"/>
    <n v="2.5559999194919998"/>
  </r>
  <r>
    <s v="19"/>
    <s v="19"/>
    <s v="Klinika pracovního lékařství"/>
    <x v="18"/>
    <s v="1921"/>
    <s v="ambulance"/>
    <s v="1921 - ambulance"/>
    <s v="50115067     ostatní ZPr - rukavice (sk.Z_532)"/>
    <x v="15"/>
    <x v="0"/>
    <n v="1.3939999999999999"/>
    <n v="1.0001349853699999"/>
  </r>
  <r>
    <s v="19"/>
    <s v="19"/>
    <s v="Klinika pracovního lékařství"/>
    <x v="18"/>
    <s v="1921"/>
    <s v="ambulance"/>
    <s v="1921 - ambulance"/>
    <s v="50115067     ostatní ZPr - rukavice (sk.Z_532)"/>
    <x v="15"/>
    <x v="1"/>
    <n v="1.2389999999999999"/>
    <n v="1.4137257710569999"/>
  </r>
  <r>
    <s v="19"/>
    <s v="19"/>
    <s v="Klinika pracovního lékařství"/>
    <x v="18"/>
    <s v="1921"/>
    <s v="ambulance"/>
    <s v="1921 - ambulance"/>
    <s v="50115067     ostatní ZPr - rukavice (sk.Z_532)"/>
    <x v="15"/>
    <x v="2"/>
    <n v="0.99399999999999999"/>
    <n v="2.0741687326220002"/>
  </r>
  <r>
    <s v="19"/>
    <s v="19"/>
    <s v="Klinika pracovního lékařství"/>
    <x v="18"/>
    <s v="1922"/>
    <s v="ambulance - péče o zaměstnance FNO"/>
    <s v="1922 - ambulance - péče o zaměstnance FNO"/>
    <s v="50115     Zdravotnické prostředky"/>
    <x v="0"/>
    <x v="0"/>
    <n v="14.805709999999001"/>
    <n v="14.916213995354999"/>
  </r>
  <r>
    <s v="19"/>
    <s v="19"/>
    <s v="Klinika pracovního lékařství"/>
    <x v="18"/>
    <s v="1922"/>
    <s v="ambulance - péče o zaměstnance FNO"/>
    <s v="1922 - ambulance - péče o zaměstnance FNO"/>
    <s v="50115     Zdravotnické prostředky"/>
    <x v="0"/>
    <x v="1"/>
    <n v="15.156359999999999"/>
    <n v="14.837948373485"/>
  </r>
  <r>
    <s v="19"/>
    <s v="19"/>
    <s v="Klinika pracovního lékařství"/>
    <x v="18"/>
    <s v="1922"/>
    <s v="ambulance - péče o zaměstnance FNO"/>
    <s v="1922 - ambulance - péče o zaměstnance FNO"/>
    <s v="50115     Zdravotnické prostředky"/>
    <x v="0"/>
    <x v="2"/>
    <n v="7.8256500000000004"/>
    <n v="11.058020088311"/>
  </r>
  <r>
    <s v="19"/>
    <s v="19"/>
    <s v="Klinika pracovního lékařství"/>
    <x v="18"/>
    <s v="1922"/>
    <s v="ambulance - péče o zaměstnance FNO"/>
    <s v="1922 - ambulance - péče o zaměstnance FNO"/>
    <s v="50115020     diagnostika laboratorní-LEK (sk.Z_501)"/>
    <x v="10"/>
    <x v="0"/>
    <n v="0.75504000000000004"/>
    <n v="0"/>
  </r>
  <r>
    <s v="19"/>
    <s v="19"/>
    <s v="Klinika pracovního lékařství"/>
    <x v="18"/>
    <s v="1922"/>
    <s v="ambulance - péče o zaměstnance FNO"/>
    <s v="1922 - ambulance - péče o zaměstnance FNO"/>
    <s v="50115020     diagnostika laboratorní-LEK (sk.Z_501)"/>
    <x v="10"/>
    <x v="1"/>
    <n v="0"/>
    <n v="0.75503920029799998"/>
  </r>
  <r>
    <s v="19"/>
    <s v="19"/>
    <s v="Klinika pracovního lékařství"/>
    <x v="18"/>
    <s v="1922"/>
    <s v="ambulance - péče o zaměstnance FNO"/>
    <s v="1922 - ambulance - péče o zaměstnance FNO"/>
    <s v="50115050     obvazový materiál (sk.Z_502)"/>
    <x v="12"/>
    <x v="0"/>
    <n v="0.75312000000000001"/>
    <n v="1.0495054940640001"/>
  </r>
  <r>
    <s v="19"/>
    <s v="19"/>
    <s v="Klinika pracovního lékařství"/>
    <x v="18"/>
    <s v="1922"/>
    <s v="ambulance - péče o zaměstnance FNO"/>
    <s v="1922 - ambulance - péče o zaměstnance FNO"/>
    <s v="50115050     obvazový materiál (sk.Z_502)"/>
    <x v="12"/>
    <x v="1"/>
    <n v="0.98728999999999989"/>
    <n v="0.75483263363800002"/>
  </r>
  <r>
    <s v="19"/>
    <s v="19"/>
    <s v="Klinika pracovního lékařství"/>
    <x v="18"/>
    <s v="1922"/>
    <s v="ambulance - péče o zaměstnance FNO"/>
    <s v="1922 - ambulance - péče o zaměstnance FNO"/>
    <s v="50115050     obvazový materiál (sk.Z_502)"/>
    <x v="12"/>
    <x v="2"/>
    <n v="0.65539999999999998"/>
    <n v="0.832416810432"/>
  </r>
  <r>
    <s v="19"/>
    <s v="19"/>
    <s v="Klinika pracovního lékařství"/>
    <x v="18"/>
    <s v="1922"/>
    <s v="ambulance - péče o zaměstnance FNO"/>
    <s v="1922 - ambulance - péče o zaměstnance FNO"/>
    <s v="50115060     ostatní ZPr - mimo níže uvedené (sk.Z_503)"/>
    <x v="1"/>
    <x v="0"/>
    <n v="11.554549999999001"/>
    <n v="11.916618327530999"/>
  </r>
  <r>
    <s v="19"/>
    <s v="19"/>
    <s v="Klinika pracovního lékařství"/>
    <x v="18"/>
    <s v="1922"/>
    <s v="ambulance - péče o zaměstnance FNO"/>
    <s v="1922 - ambulance - péče o zaměstnance FNO"/>
    <s v="50115060     ostatní ZPr - mimo níže uvedené (sk.Z_503)"/>
    <x v="1"/>
    <x v="1"/>
    <n v="11.85707"/>
    <n v="11.554462955644"/>
  </r>
  <r>
    <s v="19"/>
    <s v="19"/>
    <s v="Klinika pracovního lékařství"/>
    <x v="18"/>
    <s v="1922"/>
    <s v="ambulance - péče o zaměstnance FNO"/>
    <s v="1922 - ambulance - péče o zaměstnance FNO"/>
    <s v="50115060     ostatní ZPr - mimo níže uvedené (sk.Z_503)"/>
    <x v="1"/>
    <x v="2"/>
    <n v="5.8462500000000004"/>
    <n v="8.4117721329639998"/>
  </r>
  <r>
    <s v="19"/>
    <s v="19"/>
    <s v="Klinika pracovního lékařství"/>
    <x v="18"/>
    <s v="1922"/>
    <s v="ambulance - péče o zaměstnance FNO"/>
    <s v="1922 - ambulance - péče o zaměstnance FNO"/>
    <s v="50115065     ostatní ZPr - vpichovací materiál (sk.Z_530)"/>
    <x v="14"/>
    <x v="0"/>
    <n v="0.51"/>
    <n v="1"/>
  </r>
  <r>
    <s v="19"/>
    <s v="19"/>
    <s v="Klinika pracovního lékařství"/>
    <x v="18"/>
    <s v="1922"/>
    <s v="ambulance - péče o zaměstnance FNO"/>
    <s v="1922 - ambulance - péče o zaměstnance FNO"/>
    <s v="50115065     ostatní ZPr - vpichovací materiál (sk.Z_530)"/>
    <x v="14"/>
    <x v="1"/>
    <n v="1.2399999999999998"/>
    <n v="0.52316604035100001"/>
  </r>
  <r>
    <s v="19"/>
    <s v="19"/>
    <s v="Klinika pracovního lékařství"/>
    <x v="18"/>
    <s v="1922"/>
    <s v="ambulance - péče o zaměstnance FNO"/>
    <s v="1922 - ambulance - péče o zaměstnance FNO"/>
    <s v="50115065     ostatní ZPr - vpichovací materiál (sk.Z_530)"/>
    <x v="14"/>
    <x v="2"/>
    <n v="0.75600000000000001"/>
    <n v="0.88799997203000003"/>
  </r>
  <r>
    <s v="19"/>
    <s v="19"/>
    <s v="Klinika pracovního lékařství"/>
    <x v="18"/>
    <s v="1922"/>
    <s v="ambulance - péče o zaměstnance FNO"/>
    <s v="1922 - ambulance - péče o zaměstnance FNO"/>
    <s v="50115067     ostatní ZPr - rukavice (sk.Z_532)"/>
    <x v="15"/>
    <x v="0"/>
    <n v="1.232999999999"/>
    <n v="0.95009017376000005"/>
  </r>
  <r>
    <s v="19"/>
    <s v="19"/>
    <s v="Klinika pracovního lékařství"/>
    <x v="18"/>
    <s v="1922"/>
    <s v="ambulance - péče o zaměstnance FNO"/>
    <s v="1922 - ambulance - péče o zaměstnance FNO"/>
    <s v="50115067     ostatní ZPr - rukavice (sk.Z_532)"/>
    <x v="15"/>
    <x v="1"/>
    <n v="1.0719999999999998"/>
    <n v="1.250447543553"/>
  </r>
  <r>
    <s v="19"/>
    <s v="19"/>
    <s v="Klinika pracovního lékařství"/>
    <x v="18"/>
    <s v="1922"/>
    <s v="ambulance - péče o zaměstnance FNO"/>
    <s v="1922 - ambulance - péče o zaměstnance FNO"/>
    <s v="50115067     ostatní ZPr - rukavice (sk.Z_532)"/>
    <x v="15"/>
    <x v="2"/>
    <n v="0.56799999999999995"/>
    <n v="0.92583117288399996"/>
  </r>
  <r>
    <s v="19"/>
    <s v="19"/>
    <s v="Klinika pracovního lékařství"/>
    <x v="18"/>
    <s v="1923"/>
    <s v="ambulance - Centrum očkování"/>
    <s v="1923 - ambulance - Centrum očkování"/>
    <s v="50113     Léky a léčiva"/>
    <x v="2"/>
    <x v="0"/>
    <n v="442.18885999999895"/>
    <n v="806.66546053849004"/>
  </r>
  <r>
    <s v="19"/>
    <s v="19"/>
    <s v="Klinika pracovního lékařství"/>
    <x v="18"/>
    <s v="1923"/>
    <s v="ambulance - Centrum očkování"/>
    <s v="1923 - ambulance - Centrum očkování"/>
    <s v="50113     Léky a léčiva"/>
    <x v="2"/>
    <x v="1"/>
    <n v="435.65812"/>
    <n v="650.00184821610196"/>
  </r>
  <r>
    <s v="19"/>
    <s v="19"/>
    <s v="Klinika pracovního lékařství"/>
    <x v="18"/>
    <s v="1923"/>
    <s v="ambulance - Centrum očkování"/>
    <s v="1923 - ambulance - Centrum očkování"/>
    <s v="50113     Léky a léčiva"/>
    <x v="2"/>
    <x v="2"/>
    <n v="310.39963999999998"/>
    <n v="556.15642435315101"/>
  </r>
  <r>
    <s v="19"/>
    <s v="19"/>
    <s v="Klinika pracovního lékařství"/>
    <x v="18"/>
    <s v="1923"/>
    <s v="ambulance - Centrum očkování"/>
    <s v="1923 - ambulance - Centrum očkování"/>
    <s v="50113001     léky - paušál+TISS (LEK)"/>
    <x v="3"/>
    <x v="0"/>
    <n v="442.18885999999895"/>
    <n v="806.66546053849004"/>
  </r>
  <r>
    <s v="19"/>
    <s v="19"/>
    <s v="Klinika pracovního lékařství"/>
    <x v="18"/>
    <s v="1923"/>
    <s v="ambulance - Centrum očkování"/>
    <s v="1923 - ambulance - Centrum očkování"/>
    <s v="50113001     léky - paušál+TISS (LEK)"/>
    <x v="3"/>
    <x v="1"/>
    <n v="435.65812"/>
    <n v="650.00184821610196"/>
  </r>
  <r>
    <s v="19"/>
    <s v="19"/>
    <s v="Klinika pracovního lékařství"/>
    <x v="18"/>
    <s v="1923"/>
    <s v="ambulance - Centrum očkování"/>
    <s v="1923 - ambulance - Centrum očkování"/>
    <s v="50113001     léky - paušál+TISS (LEK)"/>
    <x v="3"/>
    <x v="2"/>
    <n v="310.39963999999998"/>
    <n v="556.15642435315101"/>
  </r>
  <r>
    <s v="19"/>
    <s v="19"/>
    <s v="Klinika pracovního lékařství"/>
    <x v="18"/>
    <s v="1923"/>
    <s v="ambulance - Centrum očkování"/>
    <s v="1923 - ambulance - Centrum očkování"/>
    <s v="50115     Zdravotnické prostředky"/>
    <x v="0"/>
    <x v="0"/>
    <n v="0"/>
    <n v="1.9999974602999999"/>
  </r>
  <r>
    <s v="19"/>
    <s v="19"/>
    <s v="Klinika pracovního lékařství"/>
    <x v="18"/>
    <s v="1923"/>
    <s v="ambulance - Centrum očkování"/>
    <s v="1923 - ambulance - Centrum očkování"/>
    <s v="50115060     ostatní ZPr - mimo níže uvedené (sk.Z_503)"/>
    <x v="1"/>
    <x v="0"/>
    <n v="0"/>
    <n v="0.99999746030000003"/>
  </r>
  <r>
    <s v="19"/>
    <s v="19"/>
    <s v="Klinika pracovního lékařství"/>
    <x v="18"/>
    <s v="1923"/>
    <s v="ambulance - Centrum očkování"/>
    <s v="1923 - ambulance - Centrum očkování"/>
    <s v="50115065     ostatní ZPr - vpichovací materiál (sk.Z_530)"/>
    <x v="14"/>
    <x v="0"/>
    <n v="0"/>
    <n v="1"/>
  </r>
  <r>
    <s v="20"/>
    <s v="20"/>
    <s v="Klinika chorob kožních a pohlavních"/>
    <x v="19"/>
    <s v="2011"/>
    <s v="lůžkové oddělení 10"/>
    <s v="2011 - lůžkové oddělení 10"/>
    <s v="50113     Léky a léčiva"/>
    <x v="2"/>
    <x v="0"/>
    <n v="719.94134999999903"/>
    <n v="735.485563751992"/>
  </r>
  <r>
    <s v="20"/>
    <s v="20"/>
    <s v="Klinika chorob kožních a pohlavních"/>
    <x v="19"/>
    <s v="2011"/>
    <s v="lůžkové oddělení 10"/>
    <s v="2011 - lůžkové oddělení 10"/>
    <s v="50113     Léky a léčiva"/>
    <x v="2"/>
    <x v="1"/>
    <n v="806.75840000000096"/>
    <n v="725.66957985296995"/>
  </r>
  <r>
    <s v="20"/>
    <s v="20"/>
    <s v="Klinika chorob kožních a pohlavních"/>
    <x v="19"/>
    <s v="2011"/>
    <s v="lůžkové oddělení 10"/>
    <s v="2011 - lůžkové oddělení 10"/>
    <s v="50113     Léky a léčiva"/>
    <x v="2"/>
    <x v="2"/>
    <n v="722.15644999999995"/>
    <n v="902.52928337573405"/>
  </r>
  <r>
    <s v="20"/>
    <s v="20"/>
    <s v="Klinika chorob kožních a pohlavních"/>
    <x v="19"/>
    <s v="2011"/>
    <s v="lůžkové oddělení 10"/>
    <s v="2011 - lůžkové oddělení 10"/>
    <s v="50113001     léky - paušál+TISS (LEK)"/>
    <x v="3"/>
    <x v="0"/>
    <n v="554.55160999999896"/>
    <n v="561.60581025605097"/>
  </r>
  <r>
    <s v="20"/>
    <s v="20"/>
    <s v="Klinika chorob kožních a pohlavních"/>
    <x v="19"/>
    <s v="2011"/>
    <s v="lůžkové oddělení 10"/>
    <s v="2011 - lůžkové oddělení 10"/>
    <s v="50113001     léky - paušál+TISS (LEK)"/>
    <x v="3"/>
    <x v="1"/>
    <n v="624.68551000000002"/>
    <n v="554.97160028303904"/>
  </r>
  <r>
    <s v="20"/>
    <s v="20"/>
    <s v="Klinika chorob kožních a pohlavních"/>
    <x v="19"/>
    <s v="2011"/>
    <s v="lůžkové oddělení 10"/>
    <s v="2011 - lůžkové oddělení 10"/>
    <s v="50113001     léky - paušál+TISS (LEK)"/>
    <x v="3"/>
    <x v="2"/>
    <n v="486.42782999999997"/>
    <n v="599.738809059814"/>
  </r>
  <r>
    <s v="20"/>
    <s v="20"/>
    <s v="Klinika chorob kožních a pohlavních"/>
    <x v="19"/>
    <s v="2011"/>
    <s v="lůžkové oddělení 10"/>
    <s v="2011 - lůžkové oddělení 10"/>
    <s v="50113006     léky - enterální výživa (LEK)"/>
    <x v="4"/>
    <x v="0"/>
    <n v="0.35659999999999997"/>
    <n v="0"/>
  </r>
  <r>
    <s v="20"/>
    <s v="20"/>
    <s v="Klinika chorob kožních a pohlavních"/>
    <x v="19"/>
    <s v="2011"/>
    <s v="lůžkové oddělení 10"/>
    <s v="2011 - lůžkové oddělení 10"/>
    <s v="50113006     léky - enterální výživa (LEK)"/>
    <x v="4"/>
    <x v="1"/>
    <n v="1.37564"/>
    <n v="0.35606723429800002"/>
  </r>
  <r>
    <s v="20"/>
    <s v="20"/>
    <s v="Klinika chorob kožních a pohlavních"/>
    <x v="19"/>
    <s v="2011"/>
    <s v="lůžkové oddělení 10"/>
    <s v="2011 - lůžkové oddělení 10"/>
    <s v="50113006     léky - enterální výživa (LEK)"/>
    <x v="4"/>
    <x v="2"/>
    <n v="2.28199"/>
    <n v="0"/>
  </r>
  <r>
    <s v="20"/>
    <s v="20"/>
    <s v="Klinika chorob kožních a pohlavních"/>
    <x v="19"/>
    <s v="2011"/>
    <s v="lůžkové oddělení 10"/>
    <s v="2011 - lůžkové oddělení 10"/>
    <s v="50113008     léky - krev.deriváty ZUL (TO)"/>
    <x v="5"/>
    <x v="2"/>
    <n v="116.94580000000001"/>
    <n v="120"/>
  </r>
  <r>
    <s v="20"/>
    <s v="20"/>
    <s v="Klinika chorob kožních a pohlavních"/>
    <x v="19"/>
    <s v="2011"/>
    <s v="lůžkové oddělení 10"/>
    <s v="2011 - lůžkové oddělení 10"/>
    <s v="50113013     léky (paušál) - antibiotika (LEK)"/>
    <x v="7"/>
    <x v="0"/>
    <n v="124.16604000000001"/>
    <n v="131.61402891166799"/>
  </r>
  <r>
    <s v="20"/>
    <s v="20"/>
    <s v="Klinika chorob kožních a pohlavních"/>
    <x v="19"/>
    <s v="2011"/>
    <s v="lůžkové oddělení 10"/>
    <s v="2011 - lůžkové oddělení 10"/>
    <s v="50113013     léky (paušál) - antibiotika (LEK)"/>
    <x v="7"/>
    <x v="1"/>
    <n v="135.03716"/>
    <n v="127.53873580312199"/>
  </r>
  <r>
    <s v="20"/>
    <s v="20"/>
    <s v="Klinika chorob kožních a pohlavních"/>
    <x v="19"/>
    <s v="2011"/>
    <s v="lůžkové oddělení 10"/>
    <s v="2011 - lůžkové oddělení 10"/>
    <s v="50113013     léky (paušál) - antibiotika (LEK)"/>
    <x v="7"/>
    <x v="2"/>
    <n v="93.987829999999988"/>
    <n v="138.17964723911899"/>
  </r>
  <r>
    <s v="20"/>
    <s v="20"/>
    <s v="Klinika chorob kožních a pohlavních"/>
    <x v="19"/>
    <s v="2011"/>
    <s v="lůžkové oddělení 10"/>
    <s v="2011 - lůžkové oddělení 10"/>
    <s v="50113014     léky (paušál) - antimykotika (LEK)"/>
    <x v="8"/>
    <x v="0"/>
    <n v="37.996699999999997"/>
    <n v="39.291369825724999"/>
  </r>
  <r>
    <s v="20"/>
    <s v="20"/>
    <s v="Klinika chorob kožních a pohlavních"/>
    <x v="19"/>
    <s v="2011"/>
    <s v="lůžkové oddělení 10"/>
    <s v="2011 - lůžkové oddělení 10"/>
    <s v="50113014     léky (paušál) - antimykotika (LEK)"/>
    <x v="8"/>
    <x v="1"/>
    <n v="38.005690000000001"/>
    <n v="40.057004042251997"/>
  </r>
  <r>
    <s v="20"/>
    <s v="20"/>
    <s v="Klinika chorob kožních a pohlavních"/>
    <x v="19"/>
    <s v="2011"/>
    <s v="lůžkové oddělení 10"/>
    <s v="2011 - lůžkové oddělení 10"/>
    <s v="50113014     léky (paušál) - antimykotika (LEK)"/>
    <x v="8"/>
    <x v="2"/>
    <n v="21.483749999999997"/>
    <n v="36.991015086291"/>
  </r>
  <r>
    <s v="20"/>
    <s v="20"/>
    <s v="Klinika chorob kožních a pohlavních"/>
    <x v="19"/>
    <s v="2011"/>
    <s v="lůžkové oddělení 10"/>
    <s v="2011 - lůžkové oddělení 10"/>
    <s v="50113015     léky - samoplátci (LEK)"/>
    <x v="54"/>
    <x v="0"/>
    <n v="0"/>
    <n v="2.9743547585469998"/>
  </r>
  <r>
    <s v="20"/>
    <s v="20"/>
    <s v="Klinika chorob kožních a pohlavních"/>
    <x v="19"/>
    <s v="2011"/>
    <s v="lůžkové oddělení 10"/>
    <s v="2011 - lůžkové oddělení 10"/>
    <s v="50113190     medicinální plyny"/>
    <x v="9"/>
    <x v="0"/>
    <n v="2.8704000000000001"/>
    <n v="0"/>
  </r>
  <r>
    <s v="20"/>
    <s v="20"/>
    <s v="Klinika chorob kožních a pohlavních"/>
    <x v="19"/>
    <s v="2011"/>
    <s v="lůžkové oddělení 10"/>
    <s v="2011 - lůžkové oddělení 10"/>
    <s v="50113190     medicinální plyny"/>
    <x v="9"/>
    <x v="1"/>
    <n v="7.6544000000000008"/>
    <n v="2.7461724902569999"/>
  </r>
  <r>
    <s v="20"/>
    <s v="20"/>
    <s v="Klinika chorob kožních a pohlavních"/>
    <x v="19"/>
    <s v="2011"/>
    <s v="lůžkové oddělení 10"/>
    <s v="2011 - lůžkové oddělení 10"/>
    <s v="50113190     medicinální plyny"/>
    <x v="9"/>
    <x v="2"/>
    <n v="1.02925"/>
    <n v="7.6198119905089996"/>
  </r>
  <r>
    <s v="20"/>
    <s v="20"/>
    <s v="Klinika chorob kožních a pohlavních"/>
    <x v="19"/>
    <s v="2011"/>
    <s v="lůžkové oddělení 10"/>
    <s v="2011 - lůžkové oddělení 10"/>
    <s v="50115     Zdravotnické prostředky"/>
    <x v="0"/>
    <x v="0"/>
    <n v="223.14649"/>
    <n v="243.94902145407801"/>
  </r>
  <r>
    <s v="20"/>
    <s v="20"/>
    <s v="Klinika chorob kožních a pohlavních"/>
    <x v="19"/>
    <s v="2011"/>
    <s v="lůžkové oddělení 10"/>
    <s v="2011 - lůžkové oddělení 10"/>
    <s v="50115     Zdravotnické prostředky"/>
    <x v="0"/>
    <x v="1"/>
    <n v="240.87491000000003"/>
    <n v="244.574842022919"/>
  </r>
  <r>
    <s v="20"/>
    <s v="20"/>
    <s v="Klinika chorob kožních a pohlavních"/>
    <x v="19"/>
    <s v="2011"/>
    <s v="lůžkové oddělení 10"/>
    <s v="2011 - lůžkové oddělení 10"/>
    <s v="50115     Zdravotnické prostředky"/>
    <x v="0"/>
    <x v="2"/>
    <n v="184.20948999999999"/>
    <n v="311.34322368541598"/>
  </r>
  <r>
    <s v="20"/>
    <s v="20"/>
    <s v="Klinika chorob kožních a pohlavních"/>
    <x v="19"/>
    <s v="2011"/>
    <s v="lůžkové oddělení 10"/>
    <s v="2011 - lůžkové oddělení 10"/>
    <s v="50115020     diagnostika laboratorní-LEK (sk.Z_501)"/>
    <x v="10"/>
    <x v="0"/>
    <n v="1.5023899999999999"/>
    <n v="1.918497909721"/>
  </r>
  <r>
    <s v="20"/>
    <s v="20"/>
    <s v="Klinika chorob kožních a pohlavních"/>
    <x v="19"/>
    <s v="2011"/>
    <s v="lůžkové oddělení 10"/>
    <s v="2011 - lůžkové oddělení 10"/>
    <s v="50115020     diagnostika laboratorní-LEK (sk.Z_501)"/>
    <x v="10"/>
    <x v="1"/>
    <n v="2.6623399999999999"/>
    <n v="3.5023884087399999"/>
  </r>
  <r>
    <s v="20"/>
    <s v="20"/>
    <s v="Klinika chorob kožních a pohlavních"/>
    <x v="19"/>
    <s v="2011"/>
    <s v="lůžkové oddělení 10"/>
    <s v="2011 - lůžkové oddělení 10"/>
    <s v="50115020     diagnostika laboratorní-LEK (sk.Z_501)"/>
    <x v="10"/>
    <x v="2"/>
    <n v="2.2310400000000001"/>
    <n v="1.525413581137"/>
  </r>
  <r>
    <s v="20"/>
    <s v="20"/>
    <s v="Klinika chorob kožních a pohlavních"/>
    <x v="19"/>
    <s v="2011"/>
    <s v="lůžkové oddělení 10"/>
    <s v="2011 - lůžkové oddělení 10"/>
    <s v="50115040     laboratorní materiál (sk.Z_505)"/>
    <x v="11"/>
    <x v="0"/>
    <n v="0.58967999999999998"/>
    <n v="1.000068998852"/>
  </r>
  <r>
    <s v="20"/>
    <s v="20"/>
    <s v="Klinika chorob kožních a pohlavních"/>
    <x v="19"/>
    <s v="2011"/>
    <s v="lůžkové oddělení 10"/>
    <s v="2011 - lůžkové oddělení 10"/>
    <s v="50115040     laboratorní materiál (sk.Z_505)"/>
    <x v="11"/>
    <x v="1"/>
    <n v="0.37515999999999999"/>
    <n v="0.58971727852099998"/>
  </r>
  <r>
    <s v="20"/>
    <s v="20"/>
    <s v="Klinika chorob kožních a pohlavních"/>
    <x v="19"/>
    <s v="2011"/>
    <s v="lůžkové oddělení 10"/>
    <s v="2011 - lůžkové oddělení 10"/>
    <s v="50115040     laboratorní materiál (sk.Z_505)"/>
    <x v="11"/>
    <x v="2"/>
    <n v="0.16225999999999999"/>
    <n v="0.15515999511199999"/>
  </r>
  <r>
    <s v="20"/>
    <s v="20"/>
    <s v="Klinika chorob kožních a pohlavních"/>
    <x v="19"/>
    <s v="2011"/>
    <s v="lůžkové oddělení 10"/>
    <s v="2011 - lůžkové oddělení 10"/>
    <s v="50115050     obvazový materiál (sk.Z_502)"/>
    <x v="12"/>
    <x v="0"/>
    <n v="109.580759999999"/>
    <n v="125.702021774831"/>
  </r>
  <r>
    <s v="20"/>
    <s v="20"/>
    <s v="Klinika chorob kožních a pohlavních"/>
    <x v="19"/>
    <s v="2011"/>
    <s v="lůžkové oddělení 10"/>
    <s v="2011 - lůžkové oddělení 10"/>
    <s v="50115050     obvazový materiál (sk.Z_502)"/>
    <x v="12"/>
    <x v="1"/>
    <n v="107.59961999999999"/>
    <n v="108.82995767203199"/>
  </r>
  <r>
    <s v="20"/>
    <s v="20"/>
    <s v="Klinika chorob kožních a pohlavních"/>
    <x v="19"/>
    <s v="2011"/>
    <s v="lůžkové oddělení 10"/>
    <s v="2011 - lůžkové oddělení 10"/>
    <s v="50115050     obvazový materiál (sk.Z_502)"/>
    <x v="12"/>
    <x v="2"/>
    <n v="85.23227"/>
    <n v="169.402762623999"/>
  </r>
  <r>
    <s v="20"/>
    <s v="20"/>
    <s v="Klinika chorob kožních a pohlavních"/>
    <x v="19"/>
    <s v="2011"/>
    <s v="lůžkové oddělení 10"/>
    <s v="2011 - lůžkové oddělení 10"/>
    <s v="50115060     ostatní ZPr - mimo níže uvedené (sk.Z_503)"/>
    <x v="1"/>
    <x v="0"/>
    <n v="85.767449999999002"/>
    <n v="86.061616039184997"/>
  </r>
  <r>
    <s v="20"/>
    <s v="20"/>
    <s v="Klinika chorob kožních a pohlavních"/>
    <x v="19"/>
    <s v="2011"/>
    <s v="lůžkové oddělení 10"/>
    <s v="2011 - lůžkové oddělení 10"/>
    <s v="50115060     ostatní ZPr - mimo níže uvedené (sk.Z_503)"/>
    <x v="1"/>
    <x v="1"/>
    <n v="93.728889999999993"/>
    <n v="87.766854865783998"/>
  </r>
  <r>
    <s v="20"/>
    <s v="20"/>
    <s v="Klinika chorob kožních a pohlavních"/>
    <x v="19"/>
    <s v="2011"/>
    <s v="lůžkové oddělení 10"/>
    <s v="2011 - lůžkové oddělení 10"/>
    <s v="50115060     ostatní ZPr - mimo níže uvedené (sk.Z_503)"/>
    <x v="1"/>
    <x v="2"/>
    <n v="70.172759999999997"/>
    <n v="99.127934045440995"/>
  </r>
  <r>
    <s v="20"/>
    <s v="20"/>
    <s v="Klinika chorob kožních a pohlavních"/>
    <x v="19"/>
    <s v="2011"/>
    <s v="lůžkové oddělení 10"/>
    <s v="2011 - lůžkové oddělení 10"/>
    <s v="50115063     ostatní ZPr - vaky, sety (sk.Z_528)"/>
    <x v="13"/>
    <x v="0"/>
    <n v="12.368849999999"/>
    <n v="14.440191951282999"/>
  </r>
  <r>
    <s v="20"/>
    <s v="20"/>
    <s v="Klinika chorob kožních a pohlavních"/>
    <x v="19"/>
    <s v="2011"/>
    <s v="lůžkové oddělení 10"/>
    <s v="2011 - lůžkové oddělení 10"/>
    <s v="50115063     ostatní ZPr - vaky, sety (sk.Z_528)"/>
    <x v="13"/>
    <x v="1"/>
    <n v="18.291900000000002"/>
    <n v="20.116822628295001"/>
  </r>
  <r>
    <s v="20"/>
    <s v="20"/>
    <s v="Klinika chorob kožních a pohlavních"/>
    <x v="19"/>
    <s v="2011"/>
    <s v="lůžkové oddělení 10"/>
    <s v="2011 - lůžkové oddělení 10"/>
    <s v="50115063     ostatní ZPr - vaky, sety (sk.Z_528)"/>
    <x v="13"/>
    <x v="2"/>
    <n v="13.135999999999999"/>
    <n v="19.999999370047998"/>
  </r>
  <r>
    <s v="20"/>
    <s v="20"/>
    <s v="Klinika chorob kožních a pohlavních"/>
    <x v="19"/>
    <s v="2011"/>
    <s v="lůžkové oddělení 10"/>
    <s v="2011 - lůžkové oddělení 10"/>
    <s v="50115064     ostatní ZPr - šicí materiál (sk.Z_529)"/>
    <x v="21"/>
    <x v="0"/>
    <n v="0"/>
    <n v="2.9499845389849999"/>
  </r>
  <r>
    <s v="20"/>
    <s v="20"/>
    <s v="Klinika chorob kožních a pohlavních"/>
    <x v="19"/>
    <s v="2011"/>
    <s v="lůžkové oddělení 10"/>
    <s v="2011 - lůžkové oddělení 10"/>
    <s v="50115065     ostatní ZPr - vpichovací materiál (sk.Z_530)"/>
    <x v="14"/>
    <x v="0"/>
    <n v="0.38899999999999924"/>
    <n v="0"/>
  </r>
  <r>
    <s v="20"/>
    <s v="20"/>
    <s v="Klinika chorob kožních a pohlavních"/>
    <x v="19"/>
    <s v="2011"/>
    <s v="lůžkové oddělení 10"/>
    <s v="2011 - lůžkové oddělení 10"/>
    <s v="50115065     ostatní ZPr - vpichovací materiál (sk.Z_530)"/>
    <x v="14"/>
    <x v="1"/>
    <n v="0"/>
    <n v="0.39904233273799999"/>
  </r>
  <r>
    <s v="20"/>
    <s v="20"/>
    <s v="Klinika chorob kožních a pohlavních"/>
    <x v="19"/>
    <s v="2011"/>
    <s v="lůžkové oddělení 10"/>
    <s v="2011 - lůžkové oddělení 10"/>
    <s v="50115067     ostatní ZPr - rukavice (sk.Z_532)"/>
    <x v="15"/>
    <x v="0"/>
    <n v="12.948360000000001"/>
    <n v="11.876640241219"/>
  </r>
  <r>
    <s v="20"/>
    <s v="20"/>
    <s v="Klinika chorob kožních a pohlavních"/>
    <x v="19"/>
    <s v="2011"/>
    <s v="lůžkové oddělení 10"/>
    <s v="2011 - lůžkové oddělení 10"/>
    <s v="50115067     ostatní ZPr - rukavice (sk.Z_532)"/>
    <x v="15"/>
    <x v="1"/>
    <n v="18.216999999999999"/>
    <n v="23.370058836807001"/>
  </r>
  <r>
    <s v="20"/>
    <s v="20"/>
    <s v="Klinika chorob kožních a pohlavních"/>
    <x v="19"/>
    <s v="2011"/>
    <s v="lůžkové oddělení 10"/>
    <s v="2011 - lůžkové oddělení 10"/>
    <s v="50115067     ostatní ZPr - rukavice (sk.Z_532)"/>
    <x v="15"/>
    <x v="2"/>
    <n v="13.16"/>
    <n v="21.131954069675999"/>
  </r>
  <r>
    <s v="20"/>
    <s v="20"/>
    <s v="Klinika chorob kožních a pohlavních"/>
    <x v="19"/>
    <s v="2011"/>
    <s v="lůžkové oddělení 10"/>
    <s v="2011 - lůžkové oddělení 10"/>
    <s v="50115079     ostatní ZPr - intenzivní péče (sk.Z_542)"/>
    <x v="18"/>
    <x v="2"/>
    <n v="0.11516"/>
    <n v="0"/>
  </r>
  <r>
    <s v="20"/>
    <s v="20"/>
    <s v="Klinika chorob kožních a pohlavních"/>
    <x v="19"/>
    <s v="2021"/>
    <s v="ambulance + operační sál lokální"/>
    <s v="2021 - ambulance + operační sál lokální"/>
    <s v="50113     Léky a léčiva"/>
    <x v="2"/>
    <x v="0"/>
    <n v="279.33109999999999"/>
    <n v="251.972261472676"/>
  </r>
  <r>
    <s v="20"/>
    <s v="20"/>
    <s v="Klinika chorob kožních a pohlavních"/>
    <x v="19"/>
    <s v="2021"/>
    <s v="ambulance + operační sál lokální"/>
    <s v="2021 - ambulance + operační sál lokální"/>
    <s v="50113     Léky a léčiva"/>
    <x v="2"/>
    <x v="1"/>
    <n v="160.07423"/>
    <n v="164.682954429067"/>
  </r>
  <r>
    <s v="20"/>
    <s v="20"/>
    <s v="Klinika chorob kožních a pohlavních"/>
    <x v="19"/>
    <s v="2021"/>
    <s v="ambulance + operační sál lokální"/>
    <s v="2021 - ambulance + operační sál lokální"/>
    <s v="50113     Léky a léčiva"/>
    <x v="2"/>
    <x v="2"/>
    <n v="267.65868999999998"/>
    <n v="106.969481137321"/>
  </r>
  <r>
    <s v="20"/>
    <s v="20"/>
    <s v="Klinika chorob kožních a pohlavních"/>
    <x v="19"/>
    <s v="2021"/>
    <s v="ambulance + operační sál lokální"/>
    <s v="2021 - ambulance + operační sál lokální"/>
    <s v="50113001     léky - paušál+TISS (LEK)"/>
    <x v="3"/>
    <x v="0"/>
    <n v="135.03880000000001"/>
    <n v="118.40263606980599"/>
  </r>
  <r>
    <s v="20"/>
    <s v="20"/>
    <s v="Klinika chorob kožních a pohlavních"/>
    <x v="19"/>
    <s v="2021"/>
    <s v="ambulance + operační sál lokální"/>
    <s v="2021 - ambulance + operační sál lokální"/>
    <s v="50113001     léky - paušál+TISS (LEK)"/>
    <x v="3"/>
    <x v="1"/>
    <n v="56.339129999999997"/>
    <n v="131.141081343742"/>
  </r>
  <r>
    <s v="20"/>
    <s v="20"/>
    <s v="Klinika chorob kožních a pohlavních"/>
    <x v="19"/>
    <s v="2021"/>
    <s v="ambulance + operační sál lokální"/>
    <s v="2021 - ambulance + operační sál lokální"/>
    <s v="50113001     léky - paušál+TISS (LEK)"/>
    <x v="3"/>
    <x v="2"/>
    <n v="41.109920000000002"/>
    <n v="59.089112946656002"/>
  </r>
  <r>
    <s v="20"/>
    <s v="20"/>
    <s v="Klinika chorob kožních a pohlavních"/>
    <x v="19"/>
    <s v="2021"/>
    <s v="ambulance + operační sál lokální"/>
    <s v="2021 - ambulance + operační sál lokální"/>
    <s v="50113013     léky (paušál) - antibiotika (LEK)"/>
    <x v="7"/>
    <x v="0"/>
    <n v="7.0747999999999998"/>
    <n v="9.0595261143410006"/>
  </r>
  <r>
    <s v="20"/>
    <s v="20"/>
    <s v="Klinika chorob kožních a pohlavních"/>
    <x v="19"/>
    <s v="2021"/>
    <s v="ambulance + operační sál lokální"/>
    <s v="2021 - ambulance + operační sál lokální"/>
    <s v="50113013     léky (paušál) - antibiotika (LEK)"/>
    <x v="7"/>
    <x v="1"/>
    <n v="7.8917699999999993"/>
    <n v="7.1608186321340002"/>
  </r>
  <r>
    <s v="20"/>
    <s v="20"/>
    <s v="Klinika chorob kožních a pohlavních"/>
    <x v="19"/>
    <s v="2021"/>
    <s v="ambulance + operační sál lokální"/>
    <s v="2021 - ambulance + operační sál lokální"/>
    <s v="50113013     léky (paušál) - antibiotika (LEK)"/>
    <x v="7"/>
    <x v="2"/>
    <n v="6.887269999998999"/>
    <n v="6.2509133012609999"/>
  </r>
  <r>
    <s v="20"/>
    <s v="20"/>
    <s v="Klinika chorob kožních a pohlavních"/>
    <x v="19"/>
    <s v="2021"/>
    <s v="ambulance + operační sál lokální"/>
    <s v="2021 - ambulance + operační sál lokální"/>
    <s v="50113014     léky (paušál) - antimykotika (LEK)"/>
    <x v="8"/>
    <x v="0"/>
    <n v="0.99654999999999994"/>
    <n v="0.69776376861"/>
  </r>
  <r>
    <s v="20"/>
    <s v="20"/>
    <s v="Klinika chorob kožních a pohlavních"/>
    <x v="19"/>
    <s v="2021"/>
    <s v="ambulance + operační sál lokální"/>
    <s v="2021 - ambulance + operační sál lokální"/>
    <s v="50113014     léky (paušál) - antimykotika (LEK)"/>
    <x v="8"/>
    <x v="1"/>
    <n v="0.38385000000000002"/>
    <n v="0.99813161085799995"/>
  </r>
  <r>
    <s v="20"/>
    <s v="20"/>
    <s v="Klinika chorob kožních a pohlavních"/>
    <x v="19"/>
    <s v="2021"/>
    <s v="ambulance + operační sál lokální"/>
    <s v="2021 - ambulance + operační sál lokální"/>
    <s v="50113014     léky (paušál) - antimykotika (LEK)"/>
    <x v="8"/>
    <x v="2"/>
    <n v="0"/>
    <n v="0.31339620549500002"/>
  </r>
  <r>
    <s v="20"/>
    <s v="20"/>
    <s v="Klinika chorob kožních a pohlavních"/>
    <x v="19"/>
    <s v="2021"/>
    <s v="ambulance + operační sál lokální"/>
    <s v="2021 - ambulance + operační sál lokální"/>
    <s v="50113015     léky - samoplátci (LEK)"/>
    <x v="54"/>
    <x v="0"/>
    <n v="109.68978999999899"/>
    <n v="107.025645241446"/>
  </r>
  <r>
    <s v="20"/>
    <s v="20"/>
    <s v="Klinika chorob kožních a pohlavních"/>
    <x v="19"/>
    <s v="2021"/>
    <s v="ambulance + operační sál lokální"/>
    <s v="2021 - ambulance + operační sál lokální"/>
    <s v="50113015     léky - samoplátci (LEK)"/>
    <x v="54"/>
    <x v="1"/>
    <n v="10.023389999999999"/>
    <n v="0"/>
  </r>
  <r>
    <s v="20"/>
    <s v="20"/>
    <s v="Klinika chorob kožních a pohlavních"/>
    <x v="19"/>
    <s v="2021"/>
    <s v="ambulance + operační sál lokální"/>
    <s v="2021 - ambulance + operační sál lokální"/>
    <s v="50113015     léky - samoplátci (LEK)"/>
    <x v="54"/>
    <x v="2"/>
    <n v="0"/>
    <n v="9.2073500608270002"/>
  </r>
  <r>
    <s v="20"/>
    <s v="20"/>
    <s v="Klinika chorob kožních a pohlavních"/>
    <x v="19"/>
    <s v="2021"/>
    <s v="ambulance + operační sál lokální"/>
    <s v="2021 - ambulance + operační sál lokální"/>
    <s v="50113017     léky - dle §16 (LEK)"/>
    <x v="40"/>
    <x v="1"/>
    <n v="57.302819999999997"/>
    <n v="0"/>
  </r>
  <r>
    <s v="20"/>
    <s v="20"/>
    <s v="Klinika chorob kožních a pohlavních"/>
    <x v="19"/>
    <s v="2021"/>
    <s v="ambulance + operační sál lokální"/>
    <s v="2021 - ambulance + operační sál lokální"/>
    <s v="50113017     léky - dle §16 (LEK)"/>
    <x v="40"/>
    <x v="2"/>
    <n v="209.37616"/>
    <n v="0"/>
  </r>
  <r>
    <s v="20"/>
    <s v="20"/>
    <s v="Klinika chorob kožních a pohlavních"/>
    <x v="19"/>
    <s v="2021"/>
    <s v="ambulance + operační sál lokální"/>
    <s v="2021 - ambulance + operační sál lokální"/>
    <s v="50113190     medicinální plyny"/>
    <x v="9"/>
    <x v="0"/>
    <n v="26.531159999999996"/>
    <n v="16.786690278470999"/>
  </r>
  <r>
    <s v="20"/>
    <s v="20"/>
    <s v="Klinika chorob kožních a pohlavních"/>
    <x v="19"/>
    <s v="2021"/>
    <s v="ambulance + operační sál lokální"/>
    <s v="2021 - ambulance + operační sál lokální"/>
    <s v="50113190     medicinální plyny"/>
    <x v="9"/>
    <x v="1"/>
    <n v="28.13327"/>
    <n v="25.382922842332"/>
  </r>
  <r>
    <s v="20"/>
    <s v="20"/>
    <s v="Klinika chorob kožních a pohlavních"/>
    <x v="19"/>
    <s v="2021"/>
    <s v="ambulance + operační sál lokální"/>
    <s v="2021 - ambulance + operační sál lokální"/>
    <s v="50113190     medicinální plyny"/>
    <x v="9"/>
    <x v="2"/>
    <n v="10.285340000000001"/>
    <n v="32.108708623079998"/>
  </r>
  <r>
    <s v="20"/>
    <s v="20"/>
    <s v="Klinika chorob kožních a pohlavních"/>
    <x v="19"/>
    <s v="2021"/>
    <s v="ambulance + operační sál lokální"/>
    <s v="2021 - ambulance + operační sál lokální"/>
    <s v="50115     Zdravotnické prostředky"/>
    <x v="0"/>
    <x v="0"/>
    <n v="140.00446000000002"/>
    <n v="119.41454899711201"/>
  </r>
  <r>
    <s v="20"/>
    <s v="20"/>
    <s v="Klinika chorob kožních a pohlavních"/>
    <x v="19"/>
    <s v="2021"/>
    <s v="ambulance + operační sál lokální"/>
    <s v="2021 - ambulance + operační sál lokální"/>
    <s v="50115     Zdravotnické prostředky"/>
    <x v="0"/>
    <x v="1"/>
    <n v="144.47737000000001"/>
    <n v="148.41437209471599"/>
  </r>
  <r>
    <s v="20"/>
    <s v="20"/>
    <s v="Klinika chorob kožních a pohlavních"/>
    <x v="19"/>
    <s v="2021"/>
    <s v="ambulance + operační sál lokální"/>
    <s v="2021 - ambulance + operační sál lokální"/>
    <s v="50115     Zdravotnické prostředky"/>
    <x v="0"/>
    <x v="2"/>
    <n v="111.56230999999998"/>
    <n v="179.96437414683101"/>
  </r>
  <r>
    <s v="20"/>
    <s v="20"/>
    <s v="Klinika chorob kožních a pohlavních"/>
    <x v="19"/>
    <s v="2021"/>
    <s v="ambulance + operační sál lokální"/>
    <s v="2021 - ambulance + operační sál lokální"/>
    <s v="50115020     diagnostika laboratorní-LEK (sk.Z_501)"/>
    <x v="10"/>
    <x v="0"/>
    <n v="47.230359999999003"/>
    <n v="35.681607262081002"/>
  </r>
  <r>
    <s v="20"/>
    <s v="20"/>
    <s v="Klinika chorob kožních a pohlavních"/>
    <x v="19"/>
    <s v="2021"/>
    <s v="ambulance + operační sál lokální"/>
    <s v="2021 - ambulance + operační sál lokální"/>
    <s v="50115020     diagnostika laboratorní-LEK (sk.Z_501)"/>
    <x v="10"/>
    <x v="1"/>
    <n v="29.686039999999998"/>
    <n v="46.230316611429998"/>
  </r>
  <r>
    <s v="20"/>
    <s v="20"/>
    <s v="Klinika chorob kožních a pohlavních"/>
    <x v="19"/>
    <s v="2021"/>
    <s v="ambulance + operační sál lokální"/>
    <s v="2021 - ambulance + operační sál lokální"/>
    <s v="50115020     diagnostika laboratorní-LEK (sk.Z_501)"/>
    <x v="10"/>
    <x v="2"/>
    <n v="25.907440000000001"/>
    <n v="44.474585473935001"/>
  </r>
  <r>
    <s v="20"/>
    <s v="20"/>
    <s v="Klinika chorob kožních a pohlavních"/>
    <x v="19"/>
    <s v="2021"/>
    <s v="ambulance + operační sál lokální"/>
    <s v="2021 - ambulance + operační sál lokální"/>
    <s v="50115040     laboratorní materiál (sk.Z_505)"/>
    <x v="11"/>
    <x v="0"/>
    <n v="0.17199999999999999"/>
    <n v="0"/>
  </r>
  <r>
    <s v="20"/>
    <s v="20"/>
    <s v="Klinika chorob kožních a pohlavních"/>
    <x v="19"/>
    <s v="2021"/>
    <s v="ambulance + operační sál lokální"/>
    <s v="2021 - ambulance + operační sál lokální"/>
    <s v="50115040     laboratorní materiál (sk.Z_505)"/>
    <x v="11"/>
    <x v="1"/>
    <n v="0"/>
    <n v="0.17201087353399999"/>
  </r>
  <r>
    <s v="20"/>
    <s v="20"/>
    <s v="Klinika chorob kožních a pohlavních"/>
    <x v="19"/>
    <s v="2021"/>
    <s v="ambulance + operační sál lokální"/>
    <s v="2021 - ambulance + operační sál lokální"/>
    <s v="50115040     laboratorní materiál (sk.Z_505)"/>
    <x v="11"/>
    <x v="2"/>
    <n v="0.12"/>
    <n v="0"/>
  </r>
  <r>
    <s v="20"/>
    <s v="20"/>
    <s v="Klinika chorob kožních a pohlavních"/>
    <x v="19"/>
    <s v="2021"/>
    <s v="ambulance + operační sál lokální"/>
    <s v="2021 - ambulance + operační sál lokální"/>
    <s v="50115050     obvazový materiál (sk.Z_502)"/>
    <x v="12"/>
    <x v="0"/>
    <n v="16.968709999999003"/>
    <n v="18.370906239513999"/>
  </r>
  <r>
    <s v="20"/>
    <s v="20"/>
    <s v="Klinika chorob kožních a pohlavních"/>
    <x v="19"/>
    <s v="2021"/>
    <s v="ambulance + operační sál lokální"/>
    <s v="2021 - ambulance + operační sál lokální"/>
    <s v="50115050     obvazový materiál (sk.Z_502)"/>
    <x v="12"/>
    <x v="1"/>
    <n v="20.796879999999998"/>
    <n v="17.007297719806999"/>
  </r>
  <r>
    <s v="20"/>
    <s v="20"/>
    <s v="Klinika chorob kožních a pohlavních"/>
    <x v="19"/>
    <s v="2021"/>
    <s v="ambulance + operační sál lokální"/>
    <s v="2021 - ambulance + operační sál lokální"/>
    <s v="50115050     obvazový materiál (sk.Z_502)"/>
    <x v="12"/>
    <x v="2"/>
    <n v="18.170590000000001"/>
    <n v="22.597233501799"/>
  </r>
  <r>
    <s v="20"/>
    <s v="20"/>
    <s v="Klinika chorob kožních a pohlavních"/>
    <x v="19"/>
    <s v="2021"/>
    <s v="ambulance + operační sál lokální"/>
    <s v="2021 - ambulance + operační sál lokální"/>
    <s v="50115060     ostatní ZPr - mimo níže uvedené (sk.Z_503)"/>
    <x v="1"/>
    <x v="0"/>
    <n v="32.904719999999998"/>
    <n v="19.237484171719"/>
  </r>
  <r>
    <s v="20"/>
    <s v="20"/>
    <s v="Klinika chorob kožních a pohlavních"/>
    <x v="19"/>
    <s v="2021"/>
    <s v="ambulance + operační sál lokální"/>
    <s v="2021 - ambulance + operační sál lokální"/>
    <s v="50115060     ostatní ZPr - mimo níže uvedené (sk.Z_503)"/>
    <x v="1"/>
    <x v="1"/>
    <n v="47.517569999999999"/>
    <n v="43.716355293942001"/>
  </r>
  <r>
    <s v="20"/>
    <s v="20"/>
    <s v="Klinika chorob kožních a pohlavních"/>
    <x v="19"/>
    <s v="2021"/>
    <s v="ambulance + operační sál lokální"/>
    <s v="2021 - ambulance + operační sál lokální"/>
    <s v="50115060     ostatní ZPr - mimo níže uvedené (sk.Z_503)"/>
    <x v="1"/>
    <x v="2"/>
    <n v="32.287379999999999"/>
    <n v="43.872061450404999"/>
  </r>
  <r>
    <s v="20"/>
    <s v="20"/>
    <s v="Klinika chorob kožních a pohlavních"/>
    <x v="19"/>
    <s v="2021"/>
    <s v="ambulance + operační sál lokální"/>
    <s v="2021 - ambulance + operační sál lokální"/>
    <s v="50115064     ostatní ZPr - šicí materiál (sk.Z_529)"/>
    <x v="21"/>
    <x v="0"/>
    <n v="32.08466"/>
    <n v="25.700624037967"/>
  </r>
  <r>
    <s v="20"/>
    <s v="20"/>
    <s v="Klinika chorob kožních a pohlavních"/>
    <x v="19"/>
    <s v="2021"/>
    <s v="ambulance + operační sál lokální"/>
    <s v="2021 - ambulance + operační sál lokální"/>
    <s v="50115064     ostatní ZPr - šicí materiál (sk.Z_529)"/>
    <x v="21"/>
    <x v="1"/>
    <n v="30.104089999999996"/>
    <n v="30.456385172482001"/>
  </r>
  <r>
    <s v="20"/>
    <s v="20"/>
    <s v="Klinika chorob kožních a pohlavních"/>
    <x v="19"/>
    <s v="2021"/>
    <s v="ambulance + operační sál lokální"/>
    <s v="2021 - ambulance + operační sál lokální"/>
    <s v="50115064     ostatní ZPr - šicí materiál (sk.Z_529)"/>
    <x v="21"/>
    <x v="2"/>
    <n v="18.574279999999998"/>
    <n v="31.999998992077"/>
  </r>
  <r>
    <s v="20"/>
    <s v="20"/>
    <s v="Klinika chorob kožních a pohlavních"/>
    <x v="19"/>
    <s v="2021"/>
    <s v="ambulance + operační sál lokální"/>
    <s v="2021 - ambulance + operační sál lokální"/>
    <s v="50115065     ostatní ZPr - vpichovací materiál (sk.Z_530)"/>
    <x v="14"/>
    <x v="0"/>
    <n v="3.2042099999999998"/>
    <n v="10.451505436890001"/>
  </r>
  <r>
    <s v="20"/>
    <s v="20"/>
    <s v="Klinika chorob kožních a pohlavních"/>
    <x v="19"/>
    <s v="2021"/>
    <s v="ambulance + operační sál lokální"/>
    <s v="2021 - ambulance + operační sál lokální"/>
    <s v="50115065     ostatní ZPr - vpichovací materiál (sk.Z_530)"/>
    <x v="14"/>
    <x v="1"/>
    <n v="7.9195399999999987"/>
    <n v="3.2869291336340001"/>
  </r>
  <r>
    <s v="20"/>
    <s v="20"/>
    <s v="Klinika chorob kožních a pohlavních"/>
    <x v="19"/>
    <s v="2021"/>
    <s v="ambulance + operační sál lokální"/>
    <s v="2021 - ambulance + operační sál lokální"/>
    <s v="50115065     ostatní ZPr - vpichovací materiál (sk.Z_530)"/>
    <x v="14"/>
    <x v="2"/>
    <n v="7.9200900000000001"/>
    <n v="8.1524497432169998"/>
  </r>
  <r>
    <s v="20"/>
    <s v="20"/>
    <s v="Klinika chorob kožních a pohlavních"/>
    <x v="19"/>
    <s v="2021"/>
    <s v="ambulance + operační sál lokální"/>
    <s v="2021 - ambulance + operační sál lokální"/>
    <s v="50115067     ostatní ZPr - rukavice (sk.Z_532)"/>
    <x v="15"/>
    <x v="0"/>
    <n v="7.4397999999989999"/>
    <n v="9.9724218489379997"/>
  </r>
  <r>
    <s v="20"/>
    <s v="20"/>
    <s v="Klinika chorob kožních a pohlavních"/>
    <x v="19"/>
    <s v="2021"/>
    <s v="ambulance + operační sál lokální"/>
    <s v="2021 - ambulance + operační sál lokální"/>
    <s v="50115067     ostatní ZPr - rukavice (sk.Z_532)"/>
    <x v="15"/>
    <x v="1"/>
    <n v="8.4532499999999988"/>
    <n v="7.5450772898849996"/>
  </r>
  <r>
    <s v="20"/>
    <s v="20"/>
    <s v="Klinika chorob kožních a pohlavních"/>
    <x v="19"/>
    <s v="2021"/>
    <s v="ambulance + operační sál lokální"/>
    <s v="2021 - ambulance + operační sál lokální"/>
    <s v="50115067     ostatní ZPr - rukavice (sk.Z_532)"/>
    <x v="15"/>
    <x v="2"/>
    <n v="8.4774999999999991"/>
    <n v="8.8680449853950005"/>
  </r>
  <r>
    <s v="20"/>
    <s v="20"/>
    <s v="Klinika chorob kožních a pohlavních"/>
    <x v="19"/>
    <s v="2021"/>
    <s v="ambulance + operační sál lokální"/>
    <s v="2021 - ambulance + operační sál lokální"/>
    <s v="50115079     ostatní ZPr - intenzivní péče (sk.Z_542)"/>
    <x v="18"/>
    <x v="2"/>
    <n v="0.10503"/>
    <n v="0"/>
  </r>
  <r>
    <s v="20"/>
    <s v="20"/>
    <s v="Klinika chorob kožních a pohlavních"/>
    <x v="19"/>
    <s v="2021"/>
    <s v="ambulance + operační sál lokální"/>
    <s v="2021 - ambulance + operační sál lokální"/>
    <s v="50115085     ostatní ZPr - samoplátci (sk.Z_547)"/>
    <x v="56"/>
    <x v="2"/>
    <n v="0"/>
    <n v="20"/>
  </r>
  <r>
    <s v="20"/>
    <s v="20"/>
    <s v="Klinika chorob kožních a pohlavních"/>
    <x v="19"/>
    <s v="2022"/>
    <s v="ambulance -  samoplátci"/>
    <s v="2022 - ambulance -  samoplátci"/>
    <s v="50113     Léky a léčiva"/>
    <x v="2"/>
    <x v="1"/>
    <n v="163.81628000000001"/>
    <n v="199.99999999999599"/>
  </r>
  <r>
    <s v="20"/>
    <s v="20"/>
    <s v="Klinika chorob kožních a pohlavních"/>
    <x v="19"/>
    <s v="2022"/>
    <s v="ambulance -  samoplátci"/>
    <s v="2022 - ambulance -  samoplátci"/>
    <s v="50113     Léky a léčiva"/>
    <x v="2"/>
    <x v="2"/>
    <n v="130.57387000000003"/>
    <n v="154.661512712091"/>
  </r>
  <r>
    <s v="20"/>
    <s v="20"/>
    <s v="Klinika chorob kožních a pohlavních"/>
    <x v="19"/>
    <s v="2022"/>
    <s v="ambulance -  samoplátci"/>
    <s v="2022 - ambulance -  samoplátci"/>
    <s v="50113001     léky - paušál+TISS (LEK)"/>
    <x v="3"/>
    <x v="1"/>
    <n v="1.2604200000000001"/>
    <n v="0"/>
  </r>
  <r>
    <s v="20"/>
    <s v="20"/>
    <s v="Klinika chorob kožních a pohlavních"/>
    <x v="19"/>
    <s v="2022"/>
    <s v="ambulance -  samoplátci"/>
    <s v="2022 - ambulance -  samoplátci"/>
    <s v="50113001     léky - paušál+TISS (LEK)"/>
    <x v="3"/>
    <x v="2"/>
    <n v="2.9097"/>
    <n v="1.173555397426"/>
  </r>
  <r>
    <s v="20"/>
    <s v="20"/>
    <s v="Klinika chorob kožních a pohlavních"/>
    <x v="19"/>
    <s v="2022"/>
    <s v="ambulance -  samoplátci"/>
    <s v="2022 - ambulance -  samoplátci"/>
    <s v="50113015     léky - samoplátci (LEK)"/>
    <x v="54"/>
    <x v="1"/>
    <n v="162.55586"/>
    <n v="199.99999999999599"/>
  </r>
  <r>
    <s v="20"/>
    <s v="20"/>
    <s v="Klinika chorob kožních a pohlavních"/>
    <x v="19"/>
    <s v="2022"/>
    <s v="ambulance -  samoplátci"/>
    <s v="2022 - ambulance -  samoplátci"/>
    <s v="50113015     léky - samoplátci (LEK)"/>
    <x v="54"/>
    <x v="2"/>
    <n v="127.66417"/>
    <n v="153.48795731466501"/>
  </r>
  <r>
    <s v="20"/>
    <s v="20"/>
    <s v="Klinika chorob kožních a pohlavních"/>
    <x v="19"/>
    <s v="2094"/>
    <s v="centrum - kožní "/>
    <s v="2094 - centrum - kožní "/>
    <s v="50113     Léky a léčiva"/>
    <x v="2"/>
    <x v="0"/>
    <n v="16751.356320000014"/>
    <n v="16602.999999999101"/>
  </r>
  <r>
    <s v="20"/>
    <s v="20"/>
    <s v="Klinika chorob kožních a pohlavních"/>
    <x v="19"/>
    <s v="2094"/>
    <s v="centrum - kožní "/>
    <s v="2094 - centrum - kožní "/>
    <s v="50113     Léky a léčiva"/>
    <x v="2"/>
    <x v="1"/>
    <n v="20318.86525000001"/>
    <n v="19905.9999999996"/>
  </r>
  <r>
    <s v="20"/>
    <s v="20"/>
    <s v="Klinika chorob kožních a pohlavních"/>
    <x v="19"/>
    <s v="2094"/>
    <s v="centrum - kožní "/>
    <s v="2094 - centrum - kožní "/>
    <s v="50113     Léky a léčiva"/>
    <x v="2"/>
    <x v="2"/>
    <n v="15480.456900000001"/>
    <n v="20251.905245513"/>
  </r>
  <r>
    <s v="20"/>
    <s v="20"/>
    <s v="Klinika chorob kožních a pohlavních"/>
    <x v="19"/>
    <s v="2094"/>
    <s v="centrum - kožní "/>
    <s v="2094 - centrum - kožní "/>
    <s v="50113016     léky - spotřeba v centrech (LEK)"/>
    <x v="39"/>
    <x v="0"/>
    <n v="16751.356320000014"/>
    <n v="16602.999999999101"/>
  </r>
  <r>
    <s v="20"/>
    <s v="20"/>
    <s v="Klinika chorob kožních a pohlavních"/>
    <x v="19"/>
    <s v="2094"/>
    <s v="centrum - kožní "/>
    <s v="2094 - centrum - kožní "/>
    <s v="50113016     léky - spotřeba v centrech (LEK)"/>
    <x v="39"/>
    <x v="1"/>
    <n v="20318.86525000001"/>
    <n v="19905.9999999996"/>
  </r>
  <r>
    <s v="20"/>
    <s v="20"/>
    <s v="Klinika chorob kožních a pohlavních"/>
    <x v="19"/>
    <s v="2094"/>
    <s v="centrum - kožní "/>
    <s v="2094 - centrum - kožní "/>
    <s v="50113016     léky - spotřeba v centrech (LEK)"/>
    <x v="39"/>
    <x v="2"/>
    <n v="15480.456900000001"/>
    <n v="20251.905245513"/>
  </r>
  <r>
    <s v="21"/>
    <s v="21"/>
    <s v="Onkologická klinika"/>
    <x v="20"/>
    <s v="2101"/>
    <s v="vedení klinického pracoviště"/>
    <s v="2101 - vedení klinického pracoviště"/>
    <s v="50115     Zdravotnické prostředky"/>
    <x v="0"/>
    <x v="1"/>
    <n v="6.8159999999999998E-2"/>
    <n v="0"/>
  </r>
  <r>
    <s v="21"/>
    <s v="21"/>
    <s v="Onkologická klinika"/>
    <x v="20"/>
    <s v="2101"/>
    <s v="vedení klinického pracoviště"/>
    <s v="2101 - vedení klinického pracoviště"/>
    <s v="50115     Zdravotnické prostředky"/>
    <x v="0"/>
    <x v="2"/>
    <n v="0"/>
    <n v="6.2936333738999997E-2"/>
  </r>
  <r>
    <s v="21"/>
    <s v="21"/>
    <s v="Onkologická klinika"/>
    <x v="20"/>
    <s v="2101"/>
    <s v="vedení klinického pracoviště"/>
    <s v="2101 - vedení klinického pracoviště"/>
    <s v="50115020     diagnostika laboratorní-LEK (sk.Z_501)"/>
    <x v="10"/>
    <x v="1"/>
    <n v="6.8159999999999998E-2"/>
    <n v="0"/>
  </r>
  <r>
    <s v="21"/>
    <s v="21"/>
    <s v="Onkologická klinika"/>
    <x v="20"/>
    <s v="2101"/>
    <s v="vedení klinického pracoviště"/>
    <s v="2101 - vedení klinického pracoviště"/>
    <s v="50115020     diagnostika laboratorní-LEK (sk.Z_501)"/>
    <x v="10"/>
    <x v="2"/>
    <n v="0"/>
    <n v="6.2936333738999997E-2"/>
  </r>
  <r>
    <s v="21"/>
    <s v="21"/>
    <s v="Onkologická klinika"/>
    <x v="20"/>
    <s v="2103"/>
    <s v="Národní onkologický registr - NOR"/>
    <s v="2103 - Národní onkologický registr - NOR"/>
    <s v="50115     Zdravotnické prostředky"/>
    <x v="0"/>
    <x v="0"/>
    <n v="0"/>
    <n v="0.83155738286299996"/>
  </r>
  <r>
    <s v="21"/>
    <s v="21"/>
    <s v="Onkologická klinika"/>
    <x v="20"/>
    <s v="2103"/>
    <s v="Národní onkologický registr - NOR"/>
    <s v="2103 - Národní onkologický registr - NOR"/>
    <s v="50115067     ostatní ZPr - rukavice (sk.Z_532)"/>
    <x v="15"/>
    <x v="0"/>
    <n v="0"/>
    <n v="0.83155738286299996"/>
  </r>
  <r>
    <s v="21"/>
    <s v="21"/>
    <s v="Onkologická klinika"/>
    <x v="20"/>
    <s v="2111"/>
    <s v="lůžkové oddělení 42A"/>
    <s v="2111 - lůžkové oddělení 42A"/>
    <s v="50113     Léky a léčiva"/>
    <x v="2"/>
    <x v="0"/>
    <n v="6289.725470000003"/>
    <n v="6480.6164617065997"/>
  </r>
  <r>
    <s v="21"/>
    <s v="21"/>
    <s v="Onkologická klinika"/>
    <x v="20"/>
    <s v="2111"/>
    <s v="lůžkové oddělení 42A"/>
    <s v="2111 - lůžkové oddělení 42A"/>
    <s v="50113     Léky a léčiva"/>
    <x v="2"/>
    <x v="1"/>
    <n v="3366.8743700000023"/>
    <n v="3541.2342299069501"/>
  </r>
  <r>
    <s v="21"/>
    <s v="21"/>
    <s v="Onkologická klinika"/>
    <x v="20"/>
    <s v="2111"/>
    <s v="lůžkové oddělení 42A"/>
    <s v="2111 - lůžkové oddělení 42A"/>
    <s v="50113     Léky a léčiva"/>
    <x v="2"/>
    <x v="2"/>
    <n v="2387.075060000001"/>
    <n v="3262.5699855888702"/>
  </r>
  <r>
    <s v="21"/>
    <s v="21"/>
    <s v="Onkologická klinika"/>
    <x v="20"/>
    <s v="2111"/>
    <s v="lůžkové oddělení 42A"/>
    <s v="2111 - lůžkové oddělení 42A"/>
    <s v="50113001     léky - paušál+TISS (LEK)"/>
    <x v="3"/>
    <x v="0"/>
    <n v="5938.3452000000025"/>
    <n v="6081.9922714731301"/>
  </r>
  <r>
    <s v="21"/>
    <s v="21"/>
    <s v="Onkologická klinika"/>
    <x v="20"/>
    <s v="2111"/>
    <s v="lůžkové oddělení 42A"/>
    <s v="2111 - lůžkové oddělení 42A"/>
    <s v="50113001     léky - paušál+TISS (LEK)"/>
    <x v="3"/>
    <x v="1"/>
    <n v="3000.4922400000028"/>
    <n v="3249.56545383198"/>
  </r>
  <r>
    <s v="21"/>
    <s v="21"/>
    <s v="Onkologická klinika"/>
    <x v="20"/>
    <s v="2111"/>
    <s v="lůžkové oddělení 42A"/>
    <s v="2111 - lůžkové oddělení 42A"/>
    <s v="50113001     léky - paušál+TISS (LEK)"/>
    <x v="3"/>
    <x v="2"/>
    <n v="2174.6776700000009"/>
    <n v="2891.6"/>
  </r>
  <r>
    <s v="21"/>
    <s v="21"/>
    <s v="Onkologická klinika"/>
    <x v="20"/>
    <s v="2111"/>
    <s v="lůžkové oddělení 42A"/>
    <s v="2111 - lůžkové oddělení 42A"/>
    <s v="50113002     léky - parenterální výživa (LEK)"/>
    <x v="17"/>
    <x v="2"/>
    <n v="45.366309999999999"/>
    <n v="60"/>
  </r>
  <r>
    <s v="21"/>
    <s v="21"/>
    <s v="Onkologická klinika"/>
    <x v="20"/>
    <s v="2111"/>
    <s v="lůžkové oddělení 42A"/>
    <s v="2111 - lůžkové oddělení 42A"/>
    <s v="50113006     léky - enterální výživa (LEK)"/>
    <x v="4"/>
    <x v="0"/>
    <n v="124.795239999999"/>
    <n v="132.61055645102499"/>
  </r>
  <r>
    <s v="21"/>
    <s v="21"/>
    <s v="Onkologická klinika"/>
    <x v="20"/>
    <s v="2111"/>
    <s v="lůžkové oddělení 42A"/>
    <s v="2111 - lůžkové oddělení 42A"/>
    <s v="50113006     léky - enterální výživa (LEK)"/>
    <x v="4"/>
    <x v="1"/>
    <n v="132.31020999999998"/>
    <n v="135.47600373555099"/>
  </r>
  <r>
    <s v="21"/>
    <s v="21"/>
    <s v="Onkologická klinika"/>
    <x v="20"/>
    <s v="2111"/>
    <s v="lůžkové oddělení 42A"/>
    <s v="2111 - lůžkové oddělení 42A"/>
    <s v="50113006     léky - enterální výživa (LEK)"/>
    <x v="4"/>
    <x v="2"/>
    <n v="75.493480000000005"/>
    <n v="72"/>
  </r>
  <r>
    <s v="21"/>
    <s v="21"/>
    <s v="Onkologická klinika"/>
    <x v="20"/>
    <s v="2111"/>
    <s v="lůžkové oddělení 42A"/>
    <s v="2111 - lůžkové oddělení 42A"/>
    <s v="50113008     léky - krev.deriváty ZUL (TO)"/>
    <x v="5"/>
    <x v="0"/>
    <n v="1.40754"/>
    <n v="0"/>
  </r>
  <r>
    <s v="21"/>
    <s v="21"/>
    <s v="Onkologická klinika"/>
    <x v="20"/>
    <s v="2111"/>
    <s v="lůžkové oddělení 42A"/>
    <s v="2111 - lůžkové oddělení 42A"/>
    <s v="50113008     léky - krev.deriváty ZUL (TO)"/>
    <x v="5"/>
    <x v="1"/>
    <n v="0"/>
    <n v="2.0000175613360001"/>
  </r>
  <r>
    <s v="21"/>
    <s v="21"/>
    <s v="Onkologická klinika"/>
    <x v="20"/>
    <s v="2111"/>
    <s v="lůžkové oddělení 42A"/>
    <s v="2111 - lůžkové oddělení 42A"/>
    <s v="50113008     léky - krev.deriváty ZUL (TO)"/>
    <x v="5"/>
    <x v="2"/>
    <n v="8.6107999999999993"/>
    <n v="0"/>
  </r>
  <r>
    <s v="21"/>
    <s v="21"/>
    <s v="Onkologická klinika"/>
    <x v="20"/>
    <s v="2111"/>
    <s v="lůžkové oddělení 42A"/>
    <s v="2111 - lůžkové oddělení 42A"/>
    <s v="50113011     léky - hemofilici ZUL (TO)"/>
    <x v="6"/>
    <x v="1"/>
    <n v="8.8550000000000004"/>
    <n v="0"/>
  </r>
  <r>
    <s v="21"/>
    <s v="21"/>
    <s v="Onkologická klinika"/>
    <x v="20"/>
    <s v="2111"/>
    <s v="lůžkové oddělení 42A"/>
    <s v="2111 - lůžkové oddělení 42A"/>
    <s v="50113011     léky - hemofilici ZUL (TO)"/>
    <x v="6"/>
    <x v="2"/>
    <n v="0"/>
    <n v="9.9999996850239992"/>
  </r>
  <r>
    <s v="21"/>
    <s v="21"/>
    <s v="Onkologická klinika"/>
    <x v="20"/>
    <s v="2111"/>
    <s v="lůžkové oddělení 42A"/>
    <s v="2111 - lůžkové oddělení 42A"/>
    <s v="50113013     léky (paušál) - antibiotika (LEK)"/>
    <x v="7"/>
    <x v="0"/>
    <n v="160.11531000000002"/>
    <n v="199.45366305515299"/>
  </r>
  <r>
    <s v="21"/>
    <s v="21"/>
    <s v="Onkologická klinika"/>
    <x v="20"/>
    <s v="2111"/>
    <s v="lůžkové oddělení 42A"/>
    <s v="2111 - lůžkové oddělení 42A"/>
    <s v="50113013     léky (paušál) - antibiotika (LEK)"/>
    <x v="7"/>
    <x v="1"/>
    <n v="127.04559999999999"/>
    <n v="93.990963879779997"/>
  </r>
  <r>
    <s v="21"/>
    <s v="21"/>
    <s v="Onkologická klinika"/>
    <x v="20"/>
    <s v="2111"/>
    <s v="lůžkové oddělení 42A"/>
    <s v="2111 - lůžkové oddělení 42A"/>
    <s v="50113013     léky (paušál) - antibiotika (LEK)"/>
    <x v="7"/>
    <x v="2"/>
    <n v="36.121300000000005"/>
    <n v="125.190158927607"/>
  </r>
  <r>
    <s v="21"/>
    <s v="21"/>
    <s v="Onkologická klinika"/>
    <x v="20"/>
    <s v="2111"/>
    <s v="lůžkové oddělení 42A"/>
    <s v="2111 - lůžkové oddělení 42A"/>
    <s v="50113014     léky (paušál) - antimykotika (LEK)"/>
    <x v="8"/>
    <x v="0"/>
    <n v="4.0783499999999995"/>
    <n v="4.3519682736860004"/>
  </r>
  <r>
    <s v="21"/>
    <s v="21"/>
    <s v="Onkologická klinika"/>
    <x v="20"/>
    <s v="2111"/>
    <s v="lůžkové oddělení 42A"/>
    <s v="2111 - lůžkové oddělení 42A"/>
    <s v="50113014     léky (paušál) - antimykotika (LEK)"/>
    <x v="8"/>
    <x v="1"/>
    <n v="36.476099999999995"/>
    <n v="1.857268777147"/>
  </r>
  <r>
    <s v="21"/>
    <s v="21"/>
    <s v="Onkologická klinika"/>
    <x v="20"/>
    <s v="2111"/>
    <s v="lůžkové oddělení 42A"/>
    <s v="2111 - lůžkové oddělení 42A"/>
    <s v="50113014     léky (paušál) - antimykotika (LEK)"/>
    <x v="8"/>
    <x v="2"/>
    <n v="2.6126500000000004"/>
    <n v="41.275212256746002"/>
  </r>
  <r>
    <s v="21"/>
    <s v="21"/>
    <s v="Onkologická klinika"/>
    <x v="20"/>
    <s v="2111"/>
    <s v="lůžkové oddělení 42A"/>
    <s v="2111 - lůžkové oddělení 42A"/>
    <s v="50113190     medicinální plyny"/>
    <x v="9"/>
    <x v="0"/>
    <n v="60.983829999998996"/>
    <n v="62.208002453601999"/>
  </r>
  <r>
    <s v="21"/>
    <s v="21"/>
    <s v="Onkologická klinika"/>
    <x v="20"/>
    <s v="2111"/>
    <s v="lůžkové oddělení 42A"/>
    <s v="2111 - lůžkové oddělení 42A"/>
    <s v="50113190     medicinální plyny"/>
    <x v="9"/>
    <x v="1"/>
    <n v="61.695219999999999"/>
    <n v="58.344522121155002"/>
  </r>
  <r>
    <s v="21"/>
    <s v="21"/>
    <s v="Onkologická klinika"/>
    <x v="20"/>
    <s v="2111"/>
    <s v="lůžkové oddělení 42A"/>
    <s v="2111 - lůžkové oddělení 42A"/>
    <s v="50113190     medicinální plyny"/>
    <x v="9"/>
    <x v="2"/>
    <n v="44.19285"/>
    <n v="62.504614719495997"/>
  </r>
  <r>
    <s v="21"/>
    <s v="21"/>
    <s v="Onkologická klinika"/>
    <x v="20"/>
    <s v="2111"/>
    <s v="lůžkové oddělení 42A"/>
    <s v="2111 - lůžkové oddělení 42A"/>
    <s v="50115     Zdravotnické prostředky"/>
    <x v="0"/>
    <x v="0"/>
    <n v="520.69710999999995"/>
    <n v="595.57363933942202"/>
  </r>
  <r>
    <s v="21"/>
    <s v="21"/>
    <s v="Onkologická klinika"/>
    <x v="20"/>
    <s v="2111"/>
    <s v="lůžkové oddělení 42A"/>
    <s v="2111 - lůžkové oddělení 42A"/>
    <s v="50115     Zdravotnické prostředky"/>
    <x v="0"/>
    <x v="1"/>
    <n v="518.90822000000003"/>
    <n v="520.52422445022398"/>
  </r>
  <r>
    <s v="21"/>
    <s v="21"/>
    <s v="Onkologická klinika"/>
    <x v="20"/>
    <s v="2111"/>
    <s v="lůžkové oddělení 42A"/>
    <s v="2111 - lůžkové oddělení 42A"/>
    <s v="50115     Zdravotnické prostředky"/>
    <x v="0"/>
    <x v="2"/>
    <n v="342.75826000000001"/>
    <n v="694.951574990533"/>
  </r>
  <r>
    <s v="21"/>
    <s v="21"/>
    <s v="Onkologická klinika"/>
    <x v="20"/>
    <s v="2111"/>
    <s v="lůžkové oddělení 42A"/>
    <s v="2111 - lůžkové oddělení 42A"/>
    <s v="50115020     diagnostika laboratorní-LEK (sk.Z_501)"/>
    <x v="10"/>
    <x v="0"/>
    <n v="9.9011899999999997"/>
    <n v="4.6892899390910001"/>
  </r>
  <r>
    <s v="21"/>
    <s v="21"/>
    <s v="Onkologická klinika"/>
    <x v="20"/>
    <s v="2111"/>
    <s v="lůžkové oddělení 42A"/>
    <s v="2111 - lůžkové oddělení 42A"/>
    <s v="50115020     diagnostika laboratorní-LEK (sk.Z_501)"/>
    <x v="10"/>
    <x v="1"/>
    <n v="48.161149999999999"/>
    <n v="9.9011795131360003"/>
  </r>
  <r>
    <s v="21"/>
    <s v="21"/>
    <s v="Onkologická klinika"/>
    <x v="20"/>
    <s v="2111"/>
    <s v="lůžkové oddělení 42A"/>
    <s v="2111 - lůžkové oddělení 42A"/>
    <s v="50115020     diagnostika laboratorní-LEK (sk.Z_501)"/>
    <x v="10"/>
    <x v="2"/>
    <n v="8.02623"/>
    <n v="43.440142312881001"/>
  </r>
  <r>
    <s v="21"/>
    <s v="21"/>
    <s v="Onkologická klinika"/>
    <x v="20"/>
    <s v="2111"/>
    <s v="lůžkové oddělení 42A"/>
    <s v="2111 - lůžkové oddělení 42A"/>
    <s v="50115040     laboratorní materiál (sk.Z_505)"/>
    <x v="11"/>
    <x v="0"/>
    <n v="0.27576000000000001"/>
    <n v="0.96990752671500002"/>
  </r>
  <r>
    <s v="21"/>
    <s v="21"/>
    <s v="Onkologická klinika"/>
    <x v="20"/>
    <s v="2111"/>
    <s v="lůžkové oddělení 42A"/>
    <s v="2111 - lůžkové oddělení 42A"/>
    <s v="50115040     laboratorní materiál (sk.Z_505)"/>
    <x v="11"/>
    <x v="1"/>
    <n v="0"/>
    <n v="0.275777433056"/>
  </r>
  <r>
    <s v="21"/>
    <s v="21"/>
    <s v="Onkologická klinika"/>
    <x v="20"/>
    <s v="2111"/>
    <s v="lůžkové oddělení 42A"/>
    <s v="2111 - lůžkové oddělení 42A"/>
    <s v="50115040     laboratorní materiál (sk.Z_505)"/>
    <x v="11"/>
    <x v="2"/>
    <n v="0.13794000000000001"/>
    <n v="0"/>
  </r>
  <r>
    <s v="21"/>
    <s v="21"/>
    <s v="Onkologická klinika"/>
    <x v="20"/>
    <s v="2111"/>
    <s v="lůžkové oddělení 42A"/>
    <s v="2111 - lůžkové oddělení 42A"/>
    <s v="50115050     obvazový materiál (sk.Z_502)"/>
    <x v="12"/>
    <x v="0"/>
    <n v="62.330539999999004"/>
    <n v="62.838528535929001"/>
  </r>
  <r>
    <s v="21"/>
    <s v="21"/>
    <s v="Onkologická klinika"/>
    <x v="20"/>
    <s v="2111"/>
    <s v="lůžkové oddělení 42A"/>
    <s v="2111 - lůžkové oddělení 42A"/>
    <s v="50115050     obvazový materiál (sk.Z_502)"/>
    <x v="12"/>
    <x v="1"/>
    <n v="72.016599999999997"/>
    <n v="62.472282855699"/>
  </r>
  <r>
    <s v="21"/>
    <s v="21"/>
    <s v="Onkologická klinika"/>
    <x v="20"/>
    <s v="2111"/>
    <s v="lůžkové oddělení 42A"/>
    <s v="2111 - lůžkové oddělení 42A"/>
    <s v="50115050     obvazový materiál (sk.Z_502)"/>
    <x v="12"/>
    <x v="2"/>
    <n v="54.33193"/>
    <n v="71.312034802992002"/>
  </r>
  <r>
    <s v="21"/>
    <s v="21"/>
    <s v="Onkologická klinika"/>
    <x v="20"/>
    <s v="2111"/>
    <s v="lůžkové oddělení 42A"/>
    <s v="2111 - lůžkové oddělení 42A"/>
    <s v="50115060     ostatní ZPr - mimo níže uvedené (sk.Z_503)"/>
    <x v="1"/>
    <x v="0"/>
    <n v="167.39448000000002"/>
    <n v="169.767204057676"/>
  </r>
  <r>
    <s v="21"/>
    <s v="21"/>
    <s v="Onkologická klinika"/>
    <x v="20"/>
    <s v="2111"/>
    <s v="lůžkové oddělení 42A"/>
    <s v="2111 - lůžkové oddělení 42A"/>
    <s v="50115060     ostatní ZPr - mimo níže uvedené (sk.Z_503)"/>
    <x v="1"/>
    <x v="1"/>
    <n v="169.19361000000004"/>
    <n v="167.39321896043501"/>
  </r>
  <r>
    <s v="21"/>
    <s v="21"/>
    <s v="Onkologická klinika"/>
    <x v="20"/>
    <s v="2111"/>
    <s v="lůžkové oddělení 42A"/>
    <s v="2111 - lůžkové oddělení 42A"/>
    <s v="50115060     ostatní ZPr - mimo níže uvedené (sk.Z_503)"/>
    <x v="1"/>
    <x v="2"/>
    <n v="117.01851000000001"/>
    <n v="175.74886352467701"/>
  </r>
  <r>
    <s v="21"/>
    <s v="21"/>
    <s v="Onkologická klinika"/>
    <x v="20"/>
    <s v="2111"/>
    <s v="lůžkové oddělení 42A"/>
    <s v="2111 - lůžkové oddělení 42A"/>
    <s v="50115063     ostatní ZPr - vaky, sety (sk.Z_528)"/>
    <x v="13"/>
    <x v="0"/>
    <n v="43.691109999999"/>
    <n v="44"/>
  </r>
  <r>
    <s v="21"/>
    <s v="21"/>
    <s v="Onkologická klinika"/>
    <x v="20"/>
    <s v="2111"/>
    <s v="lůžkové oddělení 42A"/>
    <s v="2111 - lůžkové oddělení 42A"/>
    <s v="50115063     ostatní ZPr - vaky, sety (sk.Z_528)"/>
    <x v="13"/>
    <x v="1"/>
    <n v="41.475089999999994"/>
    <n v="42.800876274152003"/>
  </r>
  <r>
    <s v="21"/>
    <s v="21"/>
    <s v="Onkologická klinika"/>
    <x v="20"/>
    <s v="2111"/>
    <s v="lůžkové oddělení 42A"/>
    <s v="2111 - lůžkové oddělení 42A"/>
    <s v="50115063     ostatní ZPr - vaky, sety (sk.Z_528)"/>
    <x v="13"/>
    <x v="2"/>
    <n v="30.015349999999998"/>
    <n v="41.610224304984001"/>
  </r>
  <r>
    <s v="21"/>
    <s v="21"/>
    <s v="Onkologická klinika"/>
    <x v="20"/>
    <s v="2111"/>
    <s v="lůžkové oddělení 42A"/>
    <s v="2111 - lůžkové oddělení 42A"/>
    <s v="50115064     ostatní ZPr - šicí materiál (sk.Z_529)"/>
    <x v="21"/>
    <x v="0"/>
    <n v="2.10806"/>
    <n v="0"/>
  </r>
  <r>
    <s v="21"/>
    <s v="21"/>
    <s v="Onkologická klinika"/>
    <x v="20"/>
    <s v="2111"/>
    <s v="lůžkové oddělení 42A"/>
    <s v="2111 - lůžkové oddělení 42A"/>
    <s v="50115064     ostatní ZPr - šicí materiál (sk.Z_529)"/>
    <x v="21"/>
    <x v="1"/>
    <n v="0"/>
    <n v="2.0667837111459999"/>
  </r>
  <r>
    <s v="21"/>
    <s v="21"/>
    <s v="Onkologická klinika"/>
    <x v="20"/>
    <s v="2111"/>
    <s v="lůžkové oddělení 42A"/>
    <s v="2111 - lůžkové oddělení 42A"/>
    <s v="50115064     ostatní ZPr - šicí materiál (sk.Z_529)"/>
    <x v="21"/>
    <x v="2"/>
    <n v="2.1081599999999998"/>
    <n v="0"/>
  </r>
  <r>
    <s v="21"/>
    <s v="21"/>
    <s v="Onkologická klinika"/>
    <x v="20"/>
    <s v="2111"/>
    <s v="lůžkové oddělení 42A"/>
    <s v="2111 - lůžkové oddělení 42A"/>
    <s v="50115065     ostatní ZPr - vpichovací materiál (sk.Z_530)"/>
    <x v="14"/>
    <x v="0"/>
    <n v="9.6789999999999985"/>
    <n v="40.763763059877"/>
  </r>
  <r>
    <s v="21"/>
    <s v="21"/>
    <s v="Onkologická klinika"/>
    <x v="20"/>
    <s v="2111"/>
    <s v="lůžkové oddělení 42A"/>
    <s v="2111 - lůžkové oddělení 42A"/>
    <s v="50115065     ostatní ZPr - vpichovací materiál (sk.Z_530)"/>
    <x v="14"/>
    <x v="1"/>
    <n v="23.961999999999996"/>
    <n v="9.9288707932520008"/>
  </r>
  <r>
    <s v="21"/>
    <s v="21"/>
    <s v="Onkologická klinika"/>
    <x v="20"/>
    <s v="2111"/>
    <s v="lůžkové oddělení 42A"/>
    <s v="2111 - lůžkové oddělení 42A"/>
    <s v="50115065     ostatní ZPr - vpichovací materiál (sk.Z_530)"/>
    <x v="14"/>
    <x v="2"/>
    <n v="18.421000000000003"/>
    <n v="23.708305845475"/>
  </r>
  <r>
    <s v="21"/>
    <s v="21"/>
    <s v="Onkologická klinika"/>
    <x v="20"/>
    <s v="2111"/>
    <s v="lůžkové oddělení 42A"/>
    <s v="2111 - lůžkové oddělení 42A"/>
    <s v="50115067     ostatní ZPr - rukavice (sk.Z_532)"/>
    <x v="15"/>
    <x v="0"/>
    <n v="26.091059999999999"/>
    <n v="26.516946220131999"/>
  </r>
  <r>
    <s v="21"/>
    <s v="21"/>
    <s v="Onkologická klinika"/>
    <x v="20"/>
    <s v="2111"/>
    <s v="lůžkové oddělení 42A"/>
    <s v="2111 - lůžkové oddělení 42A"/>
    <s v="50115067     ostatní ZPr - rukavice (sk.Z_532)"/>
    <x v="15"/>
    <x v="1"/>
    <n v="27.997709999999998"/>
    <n v="26.460261058977"/>
  </r>
  <r>
    <s v="21"/>
    <s v="21"/>
    <s v="Onkologická klinika"/>
    <x v="20"/>
    <s v="2111"/>
    <s v="lůžkové oddělení 42A"/>
    <s v="2111 - lůžkové oddělení 42A"/>
    <s v="50115067     ostatní ZPr - rukavice (sk.Z_532)"/>
    <x v="15"/>
    <x v="2"/>
    <n v="22.01906"/>
    <n v="27.132008577684999"/>
  </r>
  <r>
    <s v="21"/>
    <s v="21"/>
    <s v="Onkologická klinika"/>
    <x v="20"/>
    <s v="2111"/>
    <s v="lůžkové oddělení 42A"/>
    <s v="2111 - lůžkové oddělení 42A"/>
    <s v="50115069     ostatní ZPr - porty (sk.Z_534)"/>
    <x v="52"/>
    <x v="2"/>
    <n v="90.199090000000012"/>
    <n v="311.999995621837"/>
  </r>
  <r>
    <s v="21"/>
    <s v="21"/>
    <s v="Onkologická klinika"/>
    <x v="20"/>
    <s v="2111"/>
    <s v="lůžkové oddělení 42A"/>
    <s v="2111 - lůžkové oddělení 42A"/>
    <s v="50115070     ostatní ZPr - katetry (sk.Z_513)"/>
    <x v="16"/>
    <x v="0"/>
    <n v="199.22591000000003"/>
    <n v="246.02799999999999"/>
  </r>
  <r>
    <s v="21"/>
    <s v="21"/>
    <s v="Onkologická klinika"/>
    <x v="20"/>
    <s v="2111"/>
    <s v="lůžkové oddělení 42A"/>
    <s v="2111 - lůžkové oddělení 42A"/>
    <s v="50115070     ostatní ZPr - katetry (sk.Z_513)"/>
    <x v="16"/>
    <x v="1"/>
    <n v="136.10205999999999"/>
    <n v="199.22497385036701"/>
  </r>
  <r>
    <s v="21"/>
    <s v="21"/>
    <s v="Onkologická klinika"/>
    <x v="20"/>
    <s v="2111"/>
    <s v="lůžkové oddělení 42A"/>
    <s v="2111 - lůžkové oddělení 42A"/>
    <s v="50115070     ostatní ZPr - katetry (sk.Z_513)"/>
    <x v="16"/>
    <x v="2"/>
    <n v="0.26778999999999997"/>
    <n v="0"/>
  </r>
  <r>
    <s v="21"/>
    <s v="21"/>
    <s v="Onkologická klinika"/>
    <x v="20"/>
    <s v="2111"/>
    <s v="lůžkové oddělení 42A"/>
    <s v="2111 - lůžkové oddělení 42A"/>
    <s v="50115079     ostatní ZPr - intenzivní péče (sk.Z_542)"/>
    <x v="18"/>
    <x v="2"/>
    <n v="0.2132"/>
    <n v="0"/>
  </r>
  <r>
    <s v="21"/>
    <s v="21"/>
    <s v="Onkologická klinika"/>
    <x v="20"/>
    <s v="2112"/>
    <s v="lůžkové oddělení 42B"/>
    <s v="2112 - lůžkové oddělení 42B"/>
    <s v="50113     Léky a léčiva"/>
    <x v="2"/>
    <x v="0"/>
    <n v="7369.0805000000028"/>
    <n v="7522.9465931682398"/>
  </r>
  <r>
    <s v="21"/>
    <s v="21"/>
    <s v="Onkologická klinika"/>
    <x v="20"/>
    <s v="2112"/>
    <s v="lůžkové oddělení 42B"/>
    <s v="2112 - lůžkové oddělení 42B"/>
    <s v="50113     Léky a léčiva"/>
    <x v="2"/>
    <x v="1"/>
    <n v="3941.4784400000021"/>
    <n v="3810.8328564020699"/>
  </r>
  <r>
    <s v="21"/>
    <s v="21"/>
    <s v="Onkologická klinika"/>
    <x v="20"/>
    <s v="2112"/>
    <s v="lůžkové oddělení 42B"/>
    <s v="2112 - lůžkové oddělení 42B"/>
    <s v="50113     Léky a léčiva"/>
    <x v="2"/>
    <x v="2"/>
    <n v="2937.9795200000017"/>
    <n v="4009.22318251252"/>
  </r>
  <r>
    <s v="21"/>
    <s v="21"/>
    <s v="Onkologická klinika"/>
    <x v="20"/>
    <s v="2112"/>
    <s v="lůžkové oddělení 42B"/>
    <s v="2112 - lůžkové oddělení 42B"/>
    <s v="50113001     léky - paušál+TISS (LEK)"/>
    <x v="3"/>
    <x v="0"/>
    <n v="7080.3477600000024"/>
    <n v="7209.6078570703003"/>
  </r>
  <r>
    <s v="21"/>
    <s v="21"/>
    <s v="Onkologická klinika"/>
    <x v="20"/>
    <s v="2112"/>
    <s v="lůžkové oddělení 42B"/>
    <s v="2112 - lůžkové oddělení 42B"/>
    <s v="50113001     léky - paušál+TISS (LEK)"/>
    <x v="3"/>
    <x v="1"/>
    <n v="3545.2234600000015"/>
    <n v="3545.7653374924798"/>
  </r>
  <r>
    <s v="21"/>
    <s v="21"/>
    <s v="Onkologická klinika"/>
    <x v="20"/>
    <s v="2112"/>
    <s v="lůžkové oddělení 42B"/>
    <s v="2112 - lůžkové oddělení 42B"/>
    <s v="50113001     léky - paušál+TISS (LEK)"/>
    <x v="3"/>
    <x v="2"/>
    <n v="2695.7990700000005"/>
    <n v="3608.8"/>
  </r>
  <r>
    <s v="21"/>
    <s v="21"/>
    <s v="Onkologická klinika"/>
    <x v="20"/>
    <s v="2112"/>
    <s v="lůžkové oddělení 42B"/>
    <s v="2112 - lůžkové oddělení 42B"/>
    <s v="50113002     léky - parenterální výživa (LEK)"/>
    <x v="17"/>
    <x v="2"/>
    <n v="56.343890000000002"/>
    <n v="75"/>
  </r>
  <r>
    <s v="21"/>
    <s v="21"/>
    <s v="Onkologická klinika"/>
    <x v="20"/>
    <s v="2112"/>
    <s v="lůžkové oddělení 42B"/>
    <s v="2112 - lůžkové oddělení 42B"/>
    <s v="50113006     léky - enterální výživa (LEK)"/>
    <x v="4"/>
    <x v="0"/>
    <n v="158.83763999999999"/>
    <n v="185.810583314724"/>
  </r>
  <r>
    <s v="21"/>
    <s v="21"/>
    <s v="Onkologická klinika"/>
    <x v="20"/>
    <s v="2112"/>
    <s v="lůžkové oddělení 42B"/>
    <s v="2112 - lůžkové oddělení 42B"/>
    <s v="50113006     léky - enterální výživa (LEK)"/>
    <x v="4"/>
    <x v="1"/>
    <n v="148.45697000000001"/>
    <n v="172.43196703645199"/>
  </r>
  <r>
    <s v="21"/>
    <s v="21"/>
    <s v="Onkologická klinika"/>
    <x v="20"/>
    <s v="2112"/>
    <s v="lůžkové oddělení 42B"/>
    <s v="2112 - lůžkové oddělení 42B"/>
    <s v="50113006     léky - enterální výživa (LEK)"/>
    <x v="4"/>
    <x v="2"/>
    <n v="102.67590999999999"/>
    <n v="75"/>
  </r>
  <r>
    <s v="21"/>
    <s v="21"/>
    <s v="Onkologická klinika"/>
    <x v="20"/>
    <s v="2112"/>
    <s v="lůžkové oddělení 42B"/>
    <s v="2112 - lůžkové oddělení 42B"/>
    <s v="50113008     léky - krev.deriváty ZUL (TO)"/>
    <x v="5"/>
    <x v="0"/>
    <n v="8.4452400000000001"/>
    <n v="0"/>
  </r>
  <r>
    <s v="21"/>
    <s v="21"/>
    <s v="Onkologická klinika"/>
    <x v="20"/>
    <s v="2112"/>
    <s v="lůžkové oddělení 42B"/>
    <s v="2112 - lůžkové oddělení 42B"/>
    <s v="50113008     léky - krev.deriváty ZUL (TO)"/>
    <x v="5"/>
    <x v="1"/>
    <n v="49.263899999999992"/>
    <n v="8.0000702453470005"/>
  </r>
  <r>
    <s v="21"/>
    <s v="21"/>
    <s v="Onkologická klinika"/>
    <x v="20"/>
    <s v="2112"/>
    <s v="lůžkové oddělení 42B"/>
    <s v="2112 - lůžkové oddělení 42B"/>
    <s v="50113008     léky - krev.deriváty ZUL (TO)"/>
    <x v="5"/>
    <x v="2"/>
    <n v="0"/>
    <n v="47.825864074049001"/>
  </r>
  <r>
    <s v="21"/>
    <s v="21"/>
    <s v="Onkologická klinika"/>
    <x v="20"/>
    <s v="2112"/>
    <s v="lůžkové oddělení 42B"/>
    <s v="2112 - lůžkové oddělení 42B"/>
    <s v="50113013     léky (paušál) - antibiotika (LEK)"/>
    <x v="7"/>
    <x v="0"/>
    <n v="115.91990999999901"/>
    <n v="121.353175527353"/>
  </r>
  <r>
    <s v="21"/>
    <s v="21"/>
    <s v="Onkologická klinika"/>
    <x v="20"/>
    <s v="2112"/>
    <s v="lůžkové oddělení 42B"/>
    <s v="2112 - lůžkové oddělení 42B"/>
    <s v="50113013     léky (paušál) - antibiotika (LEK)"/>
    <x v="7"/>
    <x v="1"/>
    <n v="86.469350000000006"/>
    <n v="79.992309684918993"/>
  </r>
  <r>
    <s v="21"/>
    <s v="21"/>
    <s v="Onkologická klinika"/>
    <x v="20"/>
    <s v="2112"/>
    <s v="lůžkové oddělení 42B"/>
    <s v="2112 - lůžkové oddělení 42B"/>
    <s v="50113013     léky (paušál) - antibiotika (LEK)"/>
    <x v="7"/>
    <x v="2"/>
    <n v="76.441450000000003"/>
    <n v="93.846916328996997"/>
  </r>
  <r>
    <s v="21"/>
    <s v="21"/>
    <s v="Onkologická klinika"/>
    <x v="20"/>
    <s v="2112"/>
    <s v="lůžkové oddělení 42B"/>
    <s v="2112 - lůžkové oddělení 42B"/>
    <s v="50113014     léky (paušál) - antimykotika (LEK)"/>
    <x v="8"/>
    <x v="0"/>
    <n v="5.5299500000000004"/>
    <n v="4.64585844518"/>
  </r>
  <r>
    <s v="21"/>
    <s v="21"/>
    <s v="Onkologická klinika"/>
    <x v="20"/>
    <s v="2112"/>
    <s v="lůžkové oddělení 42B"/>
    <s v="2112 - lůžkové oddělení 42B"/>
    <s v="50113014     léky (paušál) - antimykotika (LEK)"/>
    <x v="8"/>
    <x v="1"/>
    <n v="15.421509999999001"/>
    <n v="4.6431719428690004"/>
  </r>
  <r>
    <s v="21"/>
    <s v="21"/>
    <s v="Onkologická klinika"/>
    <x v="20"/>
    <s v="2112"/>
    <s v="lůžkové oddělení 42B"/>
    <s v="2112 - lůžkové oddělení 42B"/>
    <s v="50113014     léky (paušál) - antimykotika (LEK)"/>
    <x v="8"/>
    <x v="2"/>
    <n v="6.3052000000000001"/>
    <n v="13.246619631250001"/>
  </r>
  <r>
    <s v="21"/>
    <s v="21"/>
    <s v="Onkologická klinika"/>
    <x v="20"/>
    <s v="2112"/>
    <s v="lůžkové oddělení 42B"/>
    <s v="2112 - lůžkové oddělení 42B"/>
    <s v="50113017     léky - dle §16 (LEK)"/>
    <x v="40"/>
    <x v="1"/>
    <n v="95.162049999999994"/>
    <n v="0"/>
  </r>
  <r>
    <s v="21"/>
    <s v="21"/>
    <s v="Onkologická klinika"/>
    <x v="20"/>
    <s v="2112"/>
    <s v="lůžkové oddělení 42B"/>
    <s v="2112 - lůžkové oddělení 42B"/>
    <s v="50113017     léky - dle §16 (LEK)"/>
    <x v="40"/>
    <x v="2"/>
    <n v="0"/>
    <n v="93.490841570222003"/>
  </r>
  <r>
    <s v="21"/>
    <s v="21"/>
    <s v="Onkologická klinika"/>
    <x v="20"/>
    <s v="2112"/>
    <s v="lůžkové oddělení 42B"/>
    <s v="2112 - lůžkové oddělení 42B"/>
    <s v="50113190     medicinální plyny"/>
    <x v="9"/>
    <x v="0"/>
    <n v="0"/>
    <n v="1.529118810687"/>
  </r>
  <r>
    <s v="21"/>
    <s v="21"/>
    <s v="Onkologická klinika"/>
    <x v="20"/>
    <s v="2112"/>
    <s v="lůžkové oddělení 42B"/>
    <s v="2112 - lůžkové oddělení 42B"/>
    <s v="50113190     medicinální plyny"/>
    <x v="9"/>
    <x v="1"/>
    <n v="1.4812000000000001"/>
    <n v="0"/>
  </r>
  <r>
    <s v="21"/>
    <s v="21"/>
    <s v="Onkologická klinika"/>
    <x v="20"/>
    <s v="2112"/>
    <s v="lůžkové oddělení 42B"/>
    <s v="2112 - lůžkové oddělení 42B"/>
    <s v="50113190     medicinální plyny"/>
    <x v="9"/>
    <x v="2"/>
    <n v="0.41399999999999998"/>
    <n v="2.012940907995"/>
  </r>
  <r>
    <s v="21"/>
    <s v="21"/>
    <s v="Onkologická klinika"/>
    <x v="20"/>
    <s v="2112"/>
    <s v="lůžkové oddělení 42B"/>
    <s v="2112 - lůžkové oddělení 42B"/>
    <s v="50115     Zdravotnické prostředky"/>
    <x v="0"/>
    <x v="0"/>
    <n v="428.55254000000008"/>
    <n v="410.80448588519198"/>
  </r>
  <r>
    <s v="21"/>
    <s v="21"/>
    <s v="Onkologická klinika"/>
    <x v="20"/>
    <s v="2112"/>
    <s v="lůžkové oddělení 42B"/>
    <s v="2112 - lůžkové oddělení 42B"/>
    <s v="50115     Zdravotnické prostředky"/>
    <x v="0"/>
    <x v="1"/>
    <n v="460.22705999999999"/>
    <n v="429.656180323706"/>
  </r>
  <r>
    <s v="21"/>
    <s v="21"/>
    <s v="Onkologická klinika"/>
    <x v="20"/>
    <s v="2112"/>
    <s v="lůžkové oddělení 42B"/>
    <s v="2112 - lůžkové oddělení 42B"/>
    <s v="50115     Zdravotnické prostředky"/>
    <x v="0"/>
    <x v="2"/>
    <n v="317.71391000000006"/>
    <n v="483.81114704748802"/>
  </r>
  <r>
    <s v="21"/>
    <s v="21"/>
    <s v="Onkologická klinika"/>
    <x v="20"/>
    <s v="2112"/>
    <s v="lůžkové oddělení 42B"/>
    <s v="2112 - lůžkové oddělení 42B"/>
    <s v="50115020     diagnostika laboratorní-LEK (sk.Z_501)"/>
    <x v="10"/>
    <x v="0"/>
    <n v="22.3826"/>
    <n v="14.417030982955"/>
  </r>
  <r>
    <s v="21"/>
    <s v="21"/>
    <s v="Onkologická klinika"/>
    <x v="20"/>
    <s v="2112"/>
    <s v="lůžkové oddělení 42B"/>
    <s v="2112 - lůžkové oddělení 42B"/>
    <s v="50115020     diagnostika laboratorní-LEK (sk.Z_501)"/>
    <x v="10"/>
    <x v="1"/>
    <n v="67.11117999999999"/>
    <n v="22.382576293427999"/>
  </r>
  <r>
    <s v="21"/>
    <s v="21"/>
    <s v="Onkologická klinika"/>
    <x v="20"/>
    <s v="2112"/>
    <s v="lůžkové oddělení 42B"/>
    <s v="2112 - lůžkové oddělení 42B"/>
    <s v="50115020     diagnostika laboratorní-LEK (sk.Z_501)"/>
    <x v="10"/>
    <x v="2"/>
    <n v="11.71738"/>
    <n v="78.496917510673995"/>
  </r>
  <r>
    <s v="21"/>
    <s v="21"/>
    <s v="Onkologická klinika"/>
    <x v="20"/>
    <s v="2112"/>
    <s v="lůžkové oddělení 42B"/>
    <s v="2112 - lůžkové oddělení 42B"/>
    <s v="50115040     laboratorní materiál (sk.Z_505)"/>
    <x v="11"/>
    <x v="0"/>
    <n v="0.27588000000000001"/>
    <n v="0.96990752671500002"/>
  </r>
  <r>
    <s v="21"/>
    <s v="21"/>
    <s v="Onkologická klinika"/>
    <x v="20"/>
    <s v="2112"/>
    <s v="lůžkové oddělení 42B"/>
    <s v="2112 - lůžkové oddělení 42B"/>
    <s v="50115040     laboratorní materiál (sk.Z_505)"/>
    <x v="11"/>
    <x v="1"/>
    <n v="0"/>
    <n v="0.27589744064299998"/>
  </r>
  <r>
    <s v="21"/>
    <s v="21"/>
    <s v="Onkologická klinika"/>
    <x v="20"/>
    <s v="2112"/>
    <s v="lůžkové oddělení 42B"/>
    <s v="2112 - lůžkové oddělení 42B"/>
    <s v="50115050     obvazový materiál (sk.Z_502)"/>
    <x v="12"/>
    <x v="0"/>
    <n v="57.256880000000002"/>
    <n v="57.864439874295002"/>
  </r>
  <r>
    <s v="21"/>
    <s v="21"/>
    <s v="Onkologická klinika"/>
    <x v="20"/>
    <s v="2112"/>
    <s v="lůžkové oddělení 42B"/>
    <s v="2112 - lůžkové oddělení 42B"/>
    <s v="50115050     obvazový materiál (sk.Z_502)"/>
    <x v="12"/>
    <x v="1"/>
    <n v="52.354790000000001"/>
    <n v="54.387087783950001"/>
  </r>
  <r>
    <s v="21"/>
    <s v="21"/>
    <s v="Onkologická klinika"/>
    <x v="20"/>
    <s v="2112"/>
    <s v="lůžkové oddělení 42B"/>
    <s v="2112 - lůžkové oddělení 42B"/>
    <s v="50115050     obvazový materiál (sk.Z_502)"/>
    <x v="12"/>
    <x v="2"/>
    <n v="42.154319999999991"/>
    <n v="51.930524821219002"/>
  </r>
  <r>
    <s v="21"/>
    <s v="21"/>
    <s v="Onkologická klinika"/>
    <x v="20"/>
    <s v="2112"/>
    <s v="lůžkové oddělení 42B"/>
    <s v="2112 - lůžkové oddělení 42B"/>
    <s v="50115060     ostatní ZPr - mimo níže uvedené (sk.Z_503)"/>
    <x v="1"/>
    <x v="0"/>
    <n v="168.91834999999998"/>
    <n v="149.78400786022399"/>
  </r>
  <r>
    <s v="21"/>
    <s v="21"/>
    <s v="Onkologická klinika"/>
    <x v="20"/>
    <s v="2112"/>
    <s v="lůžkové oddělení 42B"/>
    <s v="2112 - lůžkové oddělení 42B"/>
    <s v="50115060     ostatní ZPr - mimo níže uvedené (sk.Z_503)"/>
    <x v="1"/>
    <x v="1"/>
    <n v="186.66330000000002"/>
    <n v="174.917268659966"/>
  </r>
  <r>
    <s v="21"/>
    <s v="21"/>
    <s v="Onkologická klinika"/>
    <x v="20"/>
    <s v="2112"/>
    <s v="lůžkové oddělení 42B"/>
    <s v="2112 - lůžkové oddělení 42B"/>
    <s v="50115060     ostatní ZPr - mimo níže uvedené (sk.Z_503)"/>
    <x v="1"/>
    <x v="2"/>
    <n v="140.01282"/>
    <n v="188.08537931357799"/>
  </r>
  <r>
    <s v="21"/>
    <s v="21"/>
    <s v="Onkologická klinika"/>
    <x v="20"/>
    <s v="2112"/>
    <s v="lůžkové oddělení 42B"/>
    <s v="2112 - lůžkové oddělení 42B"/>
    <s v="50115063     ostatní ZPr - vaky, sety (sk.Z_528)"/>
    <x v="13"/>
    <x v="0"/>
    <n v="43.997039999999004"/>
    <n v="44"/>
  </r>
  <r>
    <s v="21"/>
    <s v="21"/>
    <s v="Onkologická klinika"/>
    <x v="20"/>
    <s v="2112"/>
    <s v="lůžkové oddělení 42B"/>
    <s v="2112 - lůžkové oddělení 42B"/>
    <s v="50115063     ostatní ZPr - vaky, sety (sk.Z_528)"/>
    <x v="13"/>
    <x v="1"/>
    <n v="52.455780000000004"/>
    <n v="46.100574912585003"/>
  </r>
  <r>
    <s v="21"/>
    <s v="21"/>
    <s v="Onkologická klinika"/>
    <x v="20"/>
    <s v="2112"/>
    <s v="lůžkové oddělení 42B"/>
    <s v="2112 - lůžkové oddělení 42B"/>
    <s v="50115063     ostatní ZPr - vaky, sety (sk.Z_528)"/>
    <x v="13"/>
    <x v="2"/>
    <n v="55.367049999999999"/>
    <n v="56.123172527381001"/>
  </r>
  <r>
    <s v="21"/>
    <s v="21"/>
    <s v="Onkologická klinika"/>
    <x v="20"/>
    <s v="2112"/>
    <s v="lůžkové oddělení 42B"/>
    <s v="2112 - lůžkové oddělení 42B"/>
    <s v="50115065     ostatní ZPr - vpichovací materiál (sk.Z_530)"/>
    <x v="14"/>
    <x v="0"/>
    <n v="20.779000000000003"/>
    <n v="26.193772956187001"/>
  </r>
  <r>
    <s v="21"/>
    <s v="21"/>
    <s v="Onkologická klinika"/>
    <x v="20"/>
    <s v="2112"/>
    <s v="lůžkové oddělení 42B"/>
    <s v="2112 - lůžkové oddělení 42B"/>
    <s v="50115065     ostatní ZPr - vpichovací materiál (sk.Z_530)"/>
    <x v="14"/>
    <x v="1"/>
    <n v="29.305019999999999"/>
    <n v="24.315426866008998"/>
  </r>
  <r>
    <s v="21"/>
    <s v="21"/>
    <s v="Onkologická klinika"/>
    <x v="20"/>
    <s v="2112"/>
    <s v="lůžkové oddělení 42B"/>
    <s v="2112 - lůžkové oddělení 42B"/>
    <s v="50115065     ostatní ZPr - vpichovací materiál (sk.Z_530)"/>
    <x v="14"/>
    <x v="2"/>
    <n v="14.27891"/>
    <n v="35.822058650408998"/>
  </r>
  <r>
    <s v="21"/>
    <s v="21"/>
    <s v="Onkologická klinika"/>
    <x v="20"/>
    <s v="2112"/>
    <s v="lůžkové oddělení 42B"/>
    <s v="2112 - lůžkové oddělení 42B"/>
    <s v="50115067     ostatní ZPr - rukavice (sk.Z_532)"/>
    <x v="15"/>
    <x v="0"/>
    <n v="23.672900000000002"/>
    <n v="23.687326684812"/>
  </r>
  <r>
    <s v="21"/>
    <s v="21"/>
    <s v="Onkologická klinika"/>
    <x v="20"/>
    <s v="2112"/>
    <s v="lůžkové oddělení 42B"/>
    <s v="2112 - lůžkové oddělení 42B"/>
    <s v="50115067     ostatní ZPr - rukavice (sk.Z_532)"/>
    <x v="15"/>
    <x v="1"/>
    <n v="27.237400000000001"/>
    <n v="24.007882930899001"/>
  </r>
  <r>
    <s v="21"/>
    <s v="21"/>
    <s v="Onkologická klinika"/>
    <x v="20"/>
    <s v="2112"/>
    <s v="lůžkové oddělení 42B"/>
    <s v="2112 - lůžkové oddělení 42B"/>
    <s v="50115067     ostatní ZPr - rukavice (sk.Z_532)"/>
    <x v="15"/>
    <x v="2"/>
    <n v="21.20515"/>
    <n v="28.353095515625999"/>
  </r>
  <r>
    <s v="21"/>
    <s v="21"/>
    <s v="Onkologická klinika"/>
    <x v="20"/>
    <s v="2112"/>
    <s v="lůžkové oddělení 42B"/>
    <s v="2112 - lůžkové oddělení 42B"/>
    <s v="50115069     ostatní ZPr - porty (sk.Z_534)"/>
    <x v="52"/>
    <x v="2"/>
    <n v="31.56973"/>
    <n v="44.999998708599001"/>
  </r>
  <r>
    <s v="21"/>
    <s v="21"/>
    <s v="Onkologická klinika"/>
    <x v="20"/>
    <s v="2112"/>
    <s v="lůžkové oddělení 42B"/>
    <s v="2112 - lůžkové oddělení 42B"/>
    <s v="50115070     ostatní ZPr - katetry (sk.Z_513)"/>
    <x v="16"/>
    <x v="0"/>
    <n v="91.269890000000004"/>
    <n v="93.888000000000005"/>
  </r>
  <r>
    <s v="21"/>
    <s v="21"/>
    <s v="Onkologická klinika"/>
    <x v="20"/>
    <s v="2112"/>
    <s v="lůžkové oddělení 42B"/>
    <s v="2112 - lůžkové oddělení 42B"/>
    <s v="50115070     ostatní ZPr - katetry (sk.Z_513)"/>
    <x v="16"/>
    <x v="1"/>
    <n v="45.099590000000006"/>
    <n v="83.269465436222006"/>
  </r>
  <r>
    <s v="21"/>
    <s v="21"/>
    <s v="Onkologická klinika"/>
    <x v="20"/>
    <s v="2112"/>
    <s v="lůžkové oddělení 42B"/>
    <s v="2112 - lůžkové oddělení 42B"/>
    <s v="50115070     ostatní ZPr - katetry (sk.Z_513)"/>
    <x v="16"/>
    <x v="2"/>
    <n v="1.3389500000000001"/>
    <n v="0"/>
  </r>
  <r>
    <s v="21"/>
    <s v="21"/>
    <s v="Onkologická klinika"/>
    <x v="20"/>
    <s v="2112"/>
    <s v="lůžkové oddělení 42B"/>
    <s v="2112 - lůžkové oddělení 42B"/>
    <s v="50115079     ostatní ZPr - intenzivní péče (sk.Z_542)"/>
    <x v="18"/>
    <x v="2"/>
    <n v="6.9599999999999995E-2"/>
    <n v="0"/>
  </r>
  <r>
    <s v="21"/>
    <s v="21"/>
    <s v="Onkologická klinika"/>
    <x v="20"/>
    <s v="2121"/>
    <s v="ambulance + mamol. poradna"/>
    <s v="2121 - ambulance + mamol. poradna"/>
    <s v="50113     Léky a léčiva"/>
    <x v="2"/>
    <x v="0"/>
    <n v="48178.009480000001"/>
    <n v="46714.3447283926"/>
  </r>
  <r>
    <s v="21"/>
    <s v="21"/>
    <s v="Onkologická klinika"/>
    <x v="20"/>
    <s v="2121"/>
    <s v="ambulance + mamol. poradna"/>
    <s v="2121 - ambulance + mamol. poradna"/>
    <s v="50113     Léky a léčiva"/>
    <x v="2"/>
    <x v="1"/>
    <n v="32615.753400000012"/>
    <n v="23771.4420438651"/>
  </r>
  <r>
    <s v="21"/>
    <s v="21"/>
    <s v="Onkologická klinika"/>
    <x v="20"/>
    <s v="2121"/>
    <s v="ambulance + mamol. poradna"/>
    <s v="2121 - ambulance + mamol. poradna"/>
    <s v="50113     Léky a léčiva"/>
    <x v="2"/>
    <x v="2"/>
    <n v="21653.62129000001"/>
    <n v="30726.878549577301"/>
  </r>
  <r>
    <s v="21"/>
    <s v="21"/>
    <s v="Onkologická klinika"/>
    <x v="20"/>
    <s v="2121"/>
    <s v="ambulance + mamol. poradna"/>
    <s v="2121 - ambulance + mamol. poradna"/>
    <s v="50113001     léky - paušál+TISS (LEK)"/>
    <x v="3"/>
    <x v="0"/>
    <n v="48177.472530000006"/>
    <n v="46714.3447283926"/>
  </r>
  <r>
    <s v="21"/>
    <s v="21"/>
    <s v="Onkologická klinika"/>
    <x v="20"/>
    <s v="2121"/>
    <s v="ambulance + mamol. poradna"/>
    <s v="2121 - ambulance + mamol. poradna"/>
    <s v="50113001     léky - paušál+TISS (LEK)"/>
    <x v="3"/>
    <x v="1"/>
    <n v="24325.939920000023"/>
    <n v="23770.919093803801"/>
  </r>
  <r>
    <s v="21"/>
    <s v="21"/>
    <s v="Onkologická klinika"/>
    <x v="20"/>
    <s v="2121"/>
    <s v="ambulance + mamol. poradna"/>
    <s v="2121 - ambulance + mamol. poradna"/>
    <s v="50113001     léky - paušál+TISS (LEK)"/>
    <x v="3"/>
    <x v="2"/>
    <n v="17780.40256000001"/>
    <n v="23732.754065484402"/>
  </r>
  <r>
    <s v="21"/>
    <s v="21"/>
    <s v="Onkologická klinika"/>
    <x v="20"/>
    <s v="2121"/>
    <s v="ambulance + mamol. poradna"/>
    <s v="2121 - ambulance + mamol. poradna"/>
    <s v="50113013     léky (paušál) - antibiotika (LEK)"/>
    <x v="7"/>
    <x v="0"/>
    <n v="0.16664999999999999"/>
    <n v="0"/>
  </r>
  <r>
    <s v="21"/>
    <s v="21"/>
    <s v="Onkologická klinika"/>
    <x v="20"/>
    <s v="2121"/>
    <s v="ambulance + mamol. poradna"/>
    <s v="2121 - ambulance + mamol. poradna"/>
    <s v="50113013     léky (paušál) - antibiotika (LEK)"/>
    <x v="7"/>
    <x v="1"/>
    <n v="0"/>
    <n v="0.1686762064"/>
  </r>
  <r>
    <s v="21"/>
    <s v="21"/>
    <s v="Onkologická klinika"/>
    <x v="20"/>
    <s v="2121"/>
    <s v="ambulance + mamol. poradna"/>
    <s v="2121 - ambulance + mamol. poradna"/>
    <s v="50113017     léky - dle §16 (LEK)"/>
    <x v="40"/>
    <x v="1"/>
    <n v="8289.443180000002"/>
    <n v="0"/>
  </r>
  <r>
    <s v="21"/>
    <s v="21"/>
    <s v="Onkologická klinika"/>
    <x v="20"/>
    <s v="2121"/>
    <s v="ambulance + mamol. poradna"/>
    <s v="2121 - ambulance + mamol. poradna"/>
    <s v="50113017     léky - dle §16 (LEK)"/>
    <x v="40"/>
    <x v="2"/>
    <n v="3872.8047300000026"/>
    <n v="6993.7889939415099"/>
  </r>
  <r>
    <s v="21"/>
    <s v="21"/>
    <s v="Onkologická klinika"/>
    <x v="20"/>
    <s v="2121"/>
    <s v="ambulance + mamol. poradna"/>
    <s v="2121 - ambulance + mamol. poradna"/>
    <s v="50113190     medicinální plyny"/>
    <x v="9"/>
    <x v="0"/>
    <n v="0.37030000000000002"/>
    <n v="0"/>
  </r>
  <r>
    <s v="21"/>
    <s v="21"/>
    <s v="Onkologická klinika"/>
    <x v="20"/>
    <s v="2121"/>
    <s v="ambulance + mamol. poradna"/>
    <s v="2121 - ambulance + mamol. poradna"/>
    <s v="50113190     medicinální plyny"/>
    <x v="9"/>
    <x v="1"/>
    <n v="0.37030000000000002"/>
    <n v="0.35427385491300001"/>
  </r>
  <r>
    <s v="21"/>
    <s v="21"/>
    <s v="Onkologická klinika"/>
    <x v="20"/>
    <s v="2121"/>
    <s v="ambulance + mamol. poradna"/>
    <s v="2121 - ambulance + mamol. poradna"/>
    <s v="50113190     medicinální plyny"/>
    <x v="9"/>
    <x v="2"/>
    <n v="0.41399999999999998"/>
    <n v="0.335490151332"/>
  </r>
  <r>
    <s v="21"/>
    <s v="21"/>
    <s v="Onkologická klinika"/>
    <x v="20"/>
    <s v="2121"/>
    <s v="ambulance + mamol. poradna"/>
    <s v="2121 - ambulance + mamol. poradna"/>
    <s v="50115     Zdravotnické prostředky"/>
    <x v="0"/>
    <x v="0"/>
    <n v="763.06081999999901"/>
    <n v="824.36080553343902"/>
  </r>
  <r>
    <s v="21"/>
    <s v="21"/>
    <s v="Onkologická klinika"/>
    <x v="20"/>
    <s v="2121"/>
    <s v="ambulance + mamol. poradna"/>
    <s v="2121 - ambulance + mamol. poradna"/>
    <s v="50115     Zdravotnické prostředky"/>
    <x v="0"/>
    <x v="1"/>
    <n v="712.43320000000006"/>
    <n v="762.437984108347"/>
  </r>
  <r>
    <s v="21"/>
    <s v="21"/>
    <s v="Onkologická klinika"/>
    <x v="20"/>
    <s v="2121"/>
    <s v="ambulance + mamol. poradna"/>
    <s v="2121 - ambulance + mamol. poradna"/>
    <s v="50115     Zdravotnické prostředky"/>
    <x v="0"/>
    <x v="2"/>
    <n v="546.20438999999999"/>
    <n v="746.17400680551202"/>
  </r>
  <r>
    <s v="21"/>
    <s v="21"/>
    <s v="Onkologická klinika"/>
    <x v="20"/>
    <s v="2121"/>
    <s v="ambulance + mamol. poradna"/>
    <s v="2121 - ambulance + mamol. poradna"/>
    <s v="50115020     diagnostika laboratorní-LEK (sk.Z_501)"/>
    <x v="10"/>
    <x v="0"/>
    <n v="8.9362999999999992"/>
    <n v="0"/>
  </r>
  <r>
    <s v="21"/>
    <s v="21"/>
    <s v="Onkologická klinika"/>
    <x v="20"/>
    <s v="2121"/>
    <s v="ambulance + mamol. poradna"/>
    <s v="2121 - ambulance + mamol. poradna"/>
    <s v="50115020     diagnostika laboratorní-LEK (sk.Z_501)"/>
    <x v="10"/>
    <x v="1"/>
    <n v="0.30492000000000002"/>
    <n v="8.9362905351009996"/>
  </r>
  <r>
    <s v="21"/>
    <s v="21"/>
    <s v="Onkologická klinika"/>
    <x v="20"/>
    <s v="2121"/>
    <s v="ambulance + mamol. poradna"/>
    <s v="2121 - ambulance + mamol. poradna"/>
    <s v="50115050     obvazový materiál (sk.Z_502)"/>
    <x v="12"/>
    <x v="0"/>
    <n v="32.689819999999997"/>
    <n v="31.285604534893999"/>
  </r>
  <r>
    <s v="21"/>
    <s v="21"/>
    <s v="Onkologická klinika"/>
    <x v="20"/>
    <s v="2121"/>
    <s v="ambulance + mamol. poradna"/>
    <s v="2121 - ambulance + mamol. poradna"/>
    <s v="50115050     obvazový materiál (sk.Z_502)"/>
    <x v="12"/>
    <x v="1"/>
    <n v="35.118810000000003"/>
    <n v="32.764158333007998"/>
  </r>
  <r>
    <s v="21"/>
    <s v="21"/>
    <s v="Onkologická klinika"/>
    <x v="20"/>
    <s v="2121"/>
    <s v="ambulance + mamol. poradna"/>
    <s v="2121 - ambulance + mamol. poradna"/>
    <s v="50115050     obvazový materiál (sk.Z_502)"/>
    <x v="12"/>
    <x v="2"/>
    <n v="31.739129999999996"/>
    <n v="36.235027300231003"/>
  </r>
  <r>
    <s v="21"/>
    <s v="21"/>
    <s v="Onkologická klinika"/>
    <x v="20"/>
    <s v="2121"/>
    <s v="ambulance + mamol. poradna"/>
    <s v="2121 - ambulance + mamol. poradna"/>
    <s v="50115060     ostatní ZPr - mimo níže uvedené (sk.Z_503)"/>
    <x v="1"/>
    <x v="0"/>
    <n v="442.98280999999997"/>
    <n v="498.22275556395903"/>
  </r>
  <r>
    <s v="21"/>
    <s v="21"/>
    <s v="Onkologická klinika"/>
    <x v="20"/>
    <s v="2121"/>
    <s v="ambulance + mamol. poradna"/>
    <s v="2121 - ambulance + mamol. poradna"/>
    <s v="50115060     ostatní ZPr - mimo níže uvedené (sk.Z_503)"/>
    <x v="1"/>
    <x v="1"/>
    <n v="439.52384000000001"/>
    <n v="442.97947285979001"/>
  </r>
  <r>
    <s v="21"/>
    <s v="21"/>
    <s v="Onkologická klinika"/>
    <x v="20"/>
    <s v="2121"/>
    <s v="ambulance + mamol. poradna"/>
    <s v="2121 - ambulance + mamol. poradna"/>
    <s v="50115060     ostatní ZPr - mimo níže uvedené (sk.Z_503)"/>
    <x v="1"/>
    <x v="2"/>
    <n v="337.86254000000002"/>
    <n v="447.164630612314"/>
  </r>
  <r>
    <s v="21"/>
    <s v="21"/>
    <s v="Onkologická klinika"/>
    <x v="20"/>
    <s v="2121"/>
    <s v="ambulance + mamol. poradna"/>
    <s v="2121 - ambulance + mamol. poradna"/>
    <s v="50115063     ostatní ZPr - vaky, sety (sk.Z_528)"/>
    <x v="13"/>
    <x v="0"/>
    <n v="58.12619999999901"/>
    <n v="70.810716134605002"/>
  </r>
  <r>
    <s v="21"/>
    <s v="21"/>
    <s v="Onkologická klinika"/>
    <x v="20"/>
    <s v="2121"/>
    <s v="ambulance + mamol. poradna"/>
    <s v="2121 - ambulance + mamol. poradna"/>
    <s v="50115063     ostatní ZPr - vaky, sety (sk.Z_528)"/>
    <x v="13"/>
    <x v="1"/>
    <n v="52.985270000000007"/>
    <n v="56.941842276073999"/>
  </r>
  <r>
    <s v="21"/>
    <s v="21"/>
    <s v="Onkologická klinika"/>
    <x v="20"/>
    <s v="2121"/>
    <s v="ambulance + mamol. poradna"/>
    <s v="2121 - ambulance + mamol. poradna"/>
    <s v="50115063     ostatní ZPr - vaky, sety (sk.Z_528)"/>
    <x v="13"/>
    <x v="2"/>
    <n v="40.969950000000004"/>
    <n v="72"/>
  </r>
  <r>
    <s v="21"/>
    <s v="21"/>
    <s v="Onkologická klinika"/>
    <x v="20"/>
    <s v="2121"/>
    <s v="ambulance + mamol. poradna"/>
    <s v="2121 - ambulance + mamol. poradna"/>
    <s v="50115064     ostatní ZPr - šicí materiál (sk.Z_529)"/>
    <x v="21"/>
    <x v="2"/>
    <n v="0"/>
    <n v="1.999999937004"/>
  </r>
  <r>
    <s v="21"/>
    <s v="21"/>
    <s v="Onkologická klinika"/>
    <x v="20"/>
    <s v="2121"/>
    <s v="ambulance + mamol. poradna"/>
    <s v="2121 - ambulance + mamol. poradna"/>
    <s v="50115065     ostatní ZPr - vpichovací materiál (sk.Z_530)"/>
    <x v="14"/>
    <x v="0"/>
    <n v="124.99298999999999"/>
    <n v="110.00688880263"/>
  </r>
  <r>
    <s v="21"/>
    <s v="21"/>
    <s v="Onkologická klinika"/>
    <x v="20"/>
    <s v="2121"/>
    <s v="ambulance + mamol. poradna"/>
    <s v="2121 - ambulance + mamol. poradna"/>
    <s v="50115065     ostatní ZPr - vpichovací materiál (sk.Z_530)"/>
    <x v="14"/>
    <x v="1"/>
    <n v="126.212"/>
    <n v="130.21978616705999"/>
  </r>
  <r>
    <s v="21"/>
    <s v="21"/>
    <s v="Onkologická klinika"/>
    <x v="20"/>
    <s v="2121"/>
    <s v="ambulance + mamol. poradna"/>
    <s v="2121 - ambulance + mamol. poradna"/>
    <s v="50115065     ostatní ZPr - vpichovací materiál (sk.Z_530)"/>
    <x v="14"/>
    <x v="2"/>
    <n v="90.825000000000003"/>
    <n v="125.469629677063"/>
  </r>
  <r>
    <s v="21"/>
    <s v="21"/>
    <s v="Onkologická klinika"/>
    <x v="20"/>
    <s v="2121"/>
    <s v="ambulance + mamol. poradna"/>
    <s v="2121 - ambulance + mamol. poradna"/>
    <s v="50115067     ostatní ZPr - rukavice (sk.Z_532)"/>
    <x v="15"/>
    <x v="0"/>
    <n v="18.663000000000004"/>
    <n v="21.34284049735"/>
  </r>
  <r>
    <s v="21"/>
    <s v="21"/>
    <s v="Onkologická klinika"/>
    <x v="20"/>
    <s v="2121"/>
    <s v="ambulance + mamol. poradna"/>
    <s v="2121 - ambulance + mamol. poradna"/>
    <s v="50115067     ostatní ZPr - rukavice (sk.Z_532)"/>
    <x v="15"/>
    <x v="1"/>
    <n v="17.698700000000002"/>
    <n v="18.927090434183"/>
  </r>
  <r>
    <s v="21"/>
    <s v="21"/>
    <s v="Onkologická klinika"/>
    <x v="20"/>
    <s v="2121"/>
    <s v="ambulance + mamol. poradna"/>
    <s v="2121 - ambulance + mamol. poradna"/>
    <s v="50115067     ostatní ZPr - rukavice (sk.Z_532)"/>
    <x v="15"/>
    <x v="2"/>
    <n v="13.238099999999999"/>
    <n v="18.304720570299001"/>
  </r>
  <r>
    <s v="21"/>
    <s v="21"/>
    <s v="Onkologická klinika"/>
    <x v="20"/>
    <s v="2121"/>
    <s v="ambulance + mamol. poradna"/>
    <s v="2121 - ambulance + mamol. poradna"/>
    <s v="50115069     ostatní ZPr - porty (sk.Z_534)"/>
    <x v="52"/>
    <x v="2"/>
    <n v="31.569670000000002"/>
    <n v="44.999998708599001"/>
  </r>
  <r>
    <s v="21"/>
    <s v="21"/>
    <s v="Onkologická klinika"/>
    <x v="20"/>
    <s v="2121"/>
    <s v="ambulance + mamol. poradna"/>
    <s v="2121 - ambulance + mamol. poradna"/>
    <s v="50115070     ostatní ZPr - katetry (sk.Z_513)"/>
    <x v="16"/>
    <x v="0"/>
    <n v="76.669700000000006"/>
    <n v="92.691999999999993"/>
  </r>
  <r>
    <s v="21"/>
    <s v="21"/>
    <s v="Onkologická klinika"/>
    <x v="20"/>
    <s v="2121"/>
    <s v="ambulance + mamol. poradna"/>
    <s v="2121 - ambulance + mamol. poradna"/>
    <s v="50115070     ostatní ZPr - katetry (sk.Z_513)"/>
    <x v="16"/>
    <x v="1"/>
    <n v="40.589660000000002"/>
    <n v="71.669343503128999"/>
  </r>
  <r>
    <s v="21"/>
    <s v="21"/>
    <s v="Onkologická klinika"/>
    <x v="20"/>
    <s v="2151"/>
    <s v="ozařovny-přístrojové pracoviště"/>
    <s v="2151 - ozařovny-přístrojové pracoviště"/>
    <s v="50113     Léky a léčiva"/>
    <x v="2"/>
    <x v="0"/>
    <n v="1372.7672"/>
    <n v="1967.0762495572301"/>
  </r>
  <r>
    <s v="21"/>
    <s v="21"/>
    <s v="Onkologická klinika"/>
    <x v="20"/>
    <s v="2151"/>
    <s v="ozařovny-přístrojové pracoviště"/>
    <s v="2151 - ozařovny-přístrojové pracoviště"/>
    <s v="50113     Léky a léčiva"/>
    <x v="2"/>
    <x v="1"/>
    <n v="1270.4999300000009"/>
    <n v="1371.4817609235999"/>
  </r>
  <r>
    <s v="21"/>
    <s v="21"/>
    <s v="Onkologická klinika"/>
    <x v="20"/>
    <s v="2151"/>
    <s v="ozařovny-přístrojové pracoviště"/>
    <s v="2151 - ozařovny-přístrojové pracoviště"/>
    <s v="50113     Léky a léčiva"/>
    <x v="2"/>
    <x v="2"/>
    <n v="863.27351999999996"/>
    <n v="1175.93950612665"/>
  </r>
  <r>
    <s v="21"/>
    <s v="21"/>
    <s v="Onkologická klinika"/>
    <x v="20"/>
    <s v="2151"/>
    <s v="ozařovny-přístrojové pracoviště"/>
    <s v="2151 - ozařovny-přístrojové pracoviště"/>
    <s v="50113001     léky - paušál+TISS (LEK)"/>
    <x v="3"/>
    <x v="0"/>
    <n v="1372.7672"/>
    <n v="1949.8506782673401"/>
  </r>
  <r>
    <s v="21"/>
    <s v="21"/>
    <s v="Onkologická klinika"/>
    <x v="20"/>
    <s v="2151"/>
    <s v="ozařovny-přístrojové pracoviště"/>
    <s v="2151 - ozařovny-přístrojové pracoviště"/>
    <s v="50113001     léky - paušál+TISS (LEK)"/>
    <x v="3"/>
    <x v="1"/>
    <n v="1252.1357200000009"/>
    <n v="1371.4817609235999"/>
  </r>
  <r>
    <s v="21"/>
    <s v="21"/>
    <s v="Onkologická klinika"/>
    <x v="20"/>
    <s v="2151"/>
    <s v="ozařovny-přístrojové pracoviště"/>
    <s v="2151 - ozařovny-přístrojové pracoviště"/>
    <s v="50113001     léky - paušál+TISS (LEK)"/>
    <x v="3"/>
    <x v="2"/>
    <n v="862.85951999999997"/>
    <n v="1159.24453590916"/>
  </r>
  <r>
    <s v="21"/>
    <s v="21"/>
    <s v="Onkologická klinika"/>
    <x v="20"/>
    <s v="2151"/>
    <s v="ozařovny-přístrojové pracoviště"/>
    <s v="2151 - ozařovny-přístrojové pracoviště"/>
    <s v="50113013     léky (paušál) - antibiotika (LEK)"/>
    <x v="7"/>
    <x v="0"/>
    <n v="0"/>
    <n v="0.128708534323"/>
  </r>
  <r>
    <s v="21"/>
    <s v="21"/>
    <s v="Onkologická klinika"/>
    <x v="20"/>
    <s v="2151"/>
    <s v="ozařovny-přístrojové pracoviště"/>
    <s v="2151 - ozařovny-přístrojové pracoviště"/>
    <s v="50113190     medicinální plyny"/>
    <x v="9"/>
    <x v="0"/>
    <n v="0"/>
    <n v="17.096862755568001"/>
  </r>
  <r>
    <s v="21"/>
    <s v="21"/>
    <s v="Onkologická klinika"/>
    <x v="20"/>
    <s v="2151"/>
    <s v="ozařovny-přístrojové pracoviště"/>
    <s v="2151 - ozařovny-přístrojové pracoviště"/>
    <s v="50113190     medicinální plyny"/>
    <x v="9"/>
    <x v="1"/>
    <n v="18.36421"/>
    <n v="0"/>
  </r>
  <r>
    <s v="21"/>
    <s v="21"/>
    <s v="Onkologická klinika"/>
    <x v="20"/>
    <s v="2151"/>
    <s v="ozařovny-přístrojové pracoviště"/>
    <s v="2151 - ozařovny-přístrojové pracoviště"/>
    <s v="50113190     medicinální plyny"/>
    <x v="9"/>
    <x v="2"/>
    <n v="0.41399999999999998"/>
    <n v="16.694970217489999"/>
  </r>
  <r>
    <s v="21"/>
    <s v="21"/>
    <s v="Onkologická klinika"/>
    <x v="20"/>
    <s v="2151"/>
    <s v="ozařovny-přístrojové pracoviště"/>
    <s v="2151 - ozařovny-přístrojové pracoviště"/>
    <s v="50115     Zdravotnické prostředky"/>
    <x v="0"/>
    <x v="0"/>
    <n v="61.042809999998994"/>
    <n v="74.701968510965997"/>
  </r>
  <r>
    <s v="21"/>
    <s v="21"/>
    <s v="Onkologická klinika"/>
    <x v="20"/>
    <s v="2151"/>
    <s v="ozařovny-přístrojové pracoviště"/>
    <s v="2151 - ozařovny-přístrojové pracoviště"/>
    <s v="50115     Zdravotnické prostředky"/>
    <x v="0"/>
    <x v="1"/>
    <n v="109.79888"/>
    <n v="66.049257727680001"/>
  </r>
  <r>
    <s v="21"/>
    <s v="21"/>
    <s v="Onkologická klinika"/>
    <x v="20"/>
    <s v="2151"/>
    <s v="ozařovny-přístrojové pracoviště"/>
    <s v="2151 - ozařovny-přístrojové pracoviště"/>
    <s v="50115     Zdravotnické prostředky"/>
    <x v="0"/>
    <x v="2"/>
    <n v="45.477430000000005"/>
    <n v="96.541410483483006"/>
  </r>
  <r>
    <s v="21"/>
    <s v="21"/>
    <s v="Onkologická klinika"/>
    <x v="20"/>
    <s v="2151"/>
    <s v="ozařovny-přístrojové pracoviště"/>
    <s v="2151 - ozařovny-přístrojové pracoviště"/>
    <s v="50115010     RTG materiál, filmy a chemikálie (sk.Z_504)"/>
    <x v="57"/>
    <x v="0"/>
    <n v="4.4515600000000006"/>
    <n v="7.6558864918629999"/>
  </r>
  <r>
    <s v="21"/>
    <s v="21"/>
    <s v="Onkologická klinika"/>
    <x v="20"/>
    <s v="2151"/>
    <s v="ozařovny-přístrojové pracoviště"/>
    <s v="2151 - ozařovny-přístrojové pracoviště"/>
    <s v="50115010     RTG materiál, filmy a chemikálie (sk.Z_504)"/>
    <x v="57"/>
    <x v="1"/>
    <n v="0"/>
    <n v="4.4518056676080002"/>
  </r>
  <r>
    <s v="21"/>
    <s v="21"/>
    <s v="Onkologická klinika"/>
    <x v="20"/>
    <s v="2151"/>
    <s v="ozařovny-přístrojové pracoviště"/>
    <s v="2151 - ozařovny-přístrojové pracoviště"/>
    <s v="50115050     obvazový materiál (sk.Z_502)"/>
    <x v="12"/>
    <x v="0"/>
    <n v="2.8912"/>
    <n v="3.2146846373279998"/>
  </r>
  <r>
    <s v="21"/>
    <s v="21"/>
    <s v="Onkologická klinika"/>
    <x v="20"/>
    <s v="2151"/>
    <s v="ozařovny-přístrojové pracoviště"/>
    <s v="2151 - ozařovny-přístrojové pracoviště"/>
    <s v="50115050     obvazový materiál (sk.Z_502)"/>
    <x v="12"/>
    <x v="1"/>
    <n v="2.5013799999999997"/>
    <n v="2.8977747375899998"/>
  </r>
  <r>
    <s v="21"/>
    <s v="21"/>
    <s v="Onkologická klinika"/>
    <x v="20"/>
    <s v="2151"/>
    <s v="ozařovny-přístrojové pracoviště"/>
    <s v="2151 - ozařovny-přístrojové pracoviště"/>
    <s v="50115050     obvazový materiál (sk.Z_502)"/>
    <x v="12"/>
    <x v="2"/>
    <n v="1.7238899999999999"/>
    <n v="6.0724578103880003"/>
  </r>
  <r>
    <s v="21"/>
    <s v="21"/>
    <s v="Onkologická klinika"/>
    <x v="20"/>
    <s v="2151"/>
    <s v="ozařovny-přístrojové pracoviště"/>
    <s v="2151 - ozařovny-přístrojové pracoviště"/>
    <s v="50115060     ostatní ZPr - mimo níže uvedené (sk.Z_503)"/>
    <x v="1"/>
    <x v="0"/>
    <n v="53.700049999998996"/>
    <n v="62.999839998909998"/>
  </r>
  <r>
    <s v="21"/>
    <s v="21"/>
    <s v="Onkologická klinika"/>
    <x v="20"/>
    <s v="2151"/>
    <s v="ozařovny-přístrojové pracoviště"/>
    <s v="2151 - ozařovny-přístrojové pracoviště"/>
    <s v="50115060     ostatní ZPr - mimo níže uvedené (sk.Z_503)"/>
    <x v="1"/>
    <x v="1"/>
    <n v="107.2975"/>
    <n v="58.699677322481001"/>
  </r>
  <r>
    <s v="21"/>
    <s v="21"/>
    <s v="Onkologická klinika"/>
    <x v="20"/>
    <s v="2151"/>
    <s v="ozařovny-přístrojové pracoviště"/>
    <s v="2151 - ozařovny-přístrojové pracoviště"/>
    <s v="50115060     ostatní ZPr - mimo níže uvedené (sk.Z_503)"/>
    <x v="1"/>
    <x v="2"/>
    <n v="22.064840000000004"/>
    <n v="84.468952673095004"/>
  </r>
  <r>
    <s v="21"/>
    <s v="21"/>
    <s v="Onkologická klinika"/>
    <x v="20"/>
    <s v="2151"/>
    <s v="ozařovny-přístrojové pracoviště"/>
    <s v="2151 - ozařovny-přístrojové pracoviště"/>
    <s v="50115067     ostatní ZPr - rukavice (sk.Z_532)"/>
    <x v="15"/>
    <x v="0"/>
    <n v="0"/>
    <n v="0.83155738286299996"/>
  </r>
  <r>
    <s v="21"/>
    <s v="21"/>
    <s v="Onkologická klinika"/>
    <x v="20"/>
    <s v="2151"/>
    <s v="ozařovny-přístrojové pracoviště"/>
    <s v="2151 - ozařovny-přístrojové pracoviště"/>
    <s v="50115067     ostatní ZPr - rukavice (sk.Z_532)"/>
    <x v="15"/>
    <x v="2"/>
    <n v="0.43480000000000002"/>
    <n v="6"/>
  </r>
  <r>
    <s v="21"/>
    <s v="21"/>
    <s v="Onkologická klinika"/>
    <x v="20"/>
    <s v="2151"/>
    <s v="ozařovny-přístrojové pracoviště"/>
    <s v="2151 - ozařovny-přístrojové pracoviště"/>
    <s v="50115079     ostatní ZPr - intenzivní péče (sk.Z_542)"/>
    <x v="18"/>
    <x v="2"/>
    <n v="21.253900000000002"/>
    <n v="0"/>
  </r>
  <r>
    <s v="21"/>
    <s v="21"/>
    <s v="Onkologická klinika"/>
    <x v="20"/>
    <s v="2152"/>
    <s v="radiační onkologie - brachyterapie"/>
    <s v="2152 - radiační onkologie - brachyterapie"/>
    <s v="50113     Léky a léčiva"/>
    <x v="2"/>
    <x v="0"/>
    <n v="10.373709999999999"/>
    <n v="11.488044256027001"/>
  </r>
  <r>
    <s v="21"/>
    <s v="21"/>
    <s v="Onkologická klinika"/>
    <x v="20"/>
    <s v="2152"/>
    <s v="radiační onkologie - brachyterapie"/>
    <s v="2152 - radiační onkologie - brachyterapie"/>
    <s v="50113     Léky a léčiva"/>
    <x v="2"/>
    <x v="1"/>
    <n v="10.452080000000002"/>
    <n v="10.348316808473999"/>
  </r>
  <r>
    <s v="21"/>
    <s v="21"/>
    <s v="Onkologická klinika"/>
    <x v="20"/>
    <s v="2152"/>
    <s v="radiační onkologie - brachyterapie"/>
    <s v="2152 - radiační onkologie - brachyterapie"/>
    <s v="50113     Léky a léčiva"/>
    <x v="2"/>
    <x v="2"/>
    <n v="13.136849999999999"/>
    <n v="8.6432209258229999"/>
  </r>
  <r>
    <s v="21"/>
    <s v="21"/>
    <s v="Onkologická klinika"/>
    <x v="20"/>
    <s v="2152"/>
    <s v="radiační onkologie - brachyterapie"/>
    <s v="2152 - radiační onkologie - brachyterapie"/>
    <s v="50113001     léky - paušál+TISS (LEK)"/>
    <x v="3"/>
    <x v="0"/>
    <n v="10.003410000000002"/>
    <n v="11.036235750646"/>
  </r>
  <r>
    <s v="21"/>
    <s v="21"/>
    <s v="Onkologická klinika"/>
    <x v="20"/>
    <s v="2152"/>
    <s v="radiační onkologie - brachyterapie"/>
    <s v="2152 - radiační onkologie - brachyterapie"/>
    <s v="50113001     léky - paušál+TISS (LEK)"/>
    <x v="3"/>
    <x v="1"/>
    <n v="9.8564800000000012"/>
    <n v="9.9940429535609994"/>
  </r>
  <r>
    <s v="21"/>
    <s v="21"/>
    <s v="Onkologická klinika"/>
    <x v="20"/>
    <s v="2152"/>
    <s v="radiační onkologie - brachyterapie"/>
    <s v="2152 - radiační onkologie - brachyterapie"/>
    <s v="50113001     léky - paušál+TISS (LEK)"/>
    <x v="3"/>
    <x v="2"/>
    <n v="11.047499999999999"/>
    <n v="8.0735054411470006"/>
  </r>
  <r>
    <s v="21"/>
    <s v="21"/>
    <s v="Onkologická klinika"/>
    <x v="20"/>
    <s v="2152"/>
    <s v="radiační onkologie - brachyterapie"/>
    <s v="2152 - radiační onkologie - brachyterapie"/>
    <s v="50113009     léky - RTG diagnostika ZUL (LEK)"/>
    <x v="22"/>
    <x v="1"/>
    <n v="0.59559999999999991"/>
    <n v="0"/>
  </r>
  <r>
    <s v="21"/>
    <s v="21"/>
    <s v="Onkologická klinika"/>
    <x v="20"/>
    <s v="2152"/>
    <s v="radiační onkologie - brachyterapie"/>
    <s v="2152 - radiační onkologie - brachyterapie"/>
    <s v="50113009     léky - RTG diagnostika ZUL (LEK)"/>
    <x v="22"/>
    <x v="2"/>
    <n v="2.08935"/>
    <n v="0.56971548467599997"/>
  </r>
  <r>
    <s v="21"/>
    <s v="21"/>
    <s v="Onkologická klinika"/>
    <x v="20"/>
    <s v="2152"/>
    <s v="radiační onkologie - brachyterapie"/>
    <s v="2152 - radiační onkologie - brachyterapie"/>
    <s v="50113013     léky (paušál) - antibiotika (LEK)"/>
    <x v="7"/>
    <x v="0"/>
    <n v="0"/>
    <n v="6.9528807632000006E-2"/>
  </r>
  <r>
    <s v="21"/>
    <s v="21"/>
    <s v="Onkologická klinika"/>
    <x v="20"/>
    <s v="2152"/>
    <s v="radiační onkologie - brachyterapie"/>
    <s v="2152 - radiační onkologie - brachyterapie"/>
    <s v="50113190     medicinální plyny"/>
    <x v="9"/>
    <x v="0"/>
    <n v="0.37030000000000002"/>
    <n v="0.38227969774800002"/>
  </r>
  <r>
    <s v="21"/>
    <s v="21"/>
    <s v="Onkologická klinika"/>
    <x v="20"/>
    <s v="2152"/>
    <s v="radiační onkologie - brachyterapie"/>
    <s v="2152 - radiační onkologie - brachyterapie"/>
    <s v="50113190     medicinální plyny"/>
    <x v="9"/>
    <x v="1"/>
    <n v="0"/>
    <n v="0.35427385491300001"/>
  </r>
  <r>
    <s v="21"/>
    <s v="21"/>
    <s v="Onkologická klinika"/>
    <x v="20"/>
    <s v="2152"/>
    <s v="radiační onkologie - brachyterapie"/>
    <s v="2152 - radiační onkologie - brachyterapie"/>
    <s v="50115     Zdravotnické prostředky"/>
    <x v="0"/>
    <x v="0"/>
    <n v="28.157309999999999"/>
    <n v="64.879085555163002"/>
  </r>
  <r>
    <s v="21"/>
    <s v="21"/>
    <s v="Onkologická klinika"/>
    <x v="20"/>
    <s v="2152"/>
    <s v="radiační onkologie - brachyterapie"/>
    <s v="2152 - radiační onkologie - brachyterapie"/>
    <s v="50115     Zdravotnické prostředky"/>
    <x v="0"/>
    <x v="1"/>
    <n v="21.373260000000002"/>
    <n v="25.264158540633002"/>
  </r>
  <r>
    <s v="21"/>
    <s v="21"/>
    <s v="Onkologická klinika"/>
    <x v="20"/>
    <s v="2152"/>
    <s v="radiační onkologie - brachyterapie"/>
    <s v="2152 - radiační onkologie - brachyterapie"/>
    <s v="50115     Zdravotnické prostředky"/>
    <x v="0"/>
    <x v="2"/>
    <n v="21.838550000000001"/>
    <n v="16.192268539158"/>
  </r>
  <r>
    <s v="21"/>
    <s v="21"/>
    <s v="Onkologická klinika"/>
    <x v="20"/>
    <s v="2152"/>
    <s v="radiační onkologie - brachyterapie"/>
    <s v="2152 - radiační onkologie - brachyterapie"/>
    <s v="50115010     RTG materiál, filmy a chemikálie (sk.Z_504)"/>
    <x v="57"/>
    <x v="0"/>
    <n v="0"/>
    <n v="12.991928479732"/>
  </r>
  <r>
    <s v="21"/>
    <s v="21"/>
    <s v="Onkologická klinika"/>
    <x v="20"/>
    <s v="2152"/>
    <s v="radiační onkologie - brachyterapie"/>
    <s v="2152 - radiační onkologie - brachyterapie"/>
    <s v="50115040     laboratorní materiál (sk.Z_505)"/>
    <x v="11"/>
    <x v="2"/>
    <n v="6.5339999999999995E-2"/>
    <n v="0"/>
  </r>
  <r>
    <s v="21"/>
    <s v="21"/>
    <s v="Onkologická klinika"/>
    <x v="20"/>
    <s v="2152"/>
    <s v="radiační onkologie - brachyterapie"/>
    <s v="2152 - radiační onkologie - brachyterapie"/>
    <s v="50115050     obvazový materiál (sk.Z_502)"/>
    <x v="12"/>
    <x v="0"/>
    <n v="17.829070000000002"/>
    <n v="23.580468142906"/>
  </r>
  <r>
    <s v="21"/>
    <s v="21"/>
    <s v="Onkologická klinika"/>
    <x v="20"/>
    <s v="2152"/>
    <s v="radiační onkologie - brachyterapie"/>
    <s v="2152 - radiační onkologie - brachyterapie"/>
    <s v="50115050     obvazový materiál (sk.Z_502)"/>
    <x v="12"/>
    <x v="1"/>
    <n v="14.464100000000002"/>
    <n v="15.869615299603"/>
  </r>
  <r>
    <s v="21"/>
    <s v="21"/>
    <s v="Onkologická klinika"/>
    <x v="20"/>
    <s v="2152"/>
    <s v="radiační onkologie - brachyterapie"/>
    <s v="2152 - radiační onkologie - brachyterapie"/>
    <s v="50115050     obvazový materiál (sk.Z_502)"/>
    <x v="12"/>
    <x v="2"/>
    <n v="13.19561"/>
    <n v="11.449949816088001"/>
  </r>
  <r>
    <s v="21"/>
    <s v="21"/>
    <s v="Onkologická klinika"/>
    <x v="20"/>
    <s v="2152"/>
    <s v="radiační onkologie - brachyterapie"/>
    <s v="2152 - radiační onkologie - brachyterapie"/>
    <s v="50115060     ostatní ZPr - mimo níže uvedené (sk.Z_503)"/>
    <x v="1"/>
    <x v="0"/>
    <n v="5.289459999999"/>
    <n v="12.54426326572"/>
  </r>
  <r>
    <s v="21"/>
    <s v="21"/>
    <s v="Onkologická klinika"/>
    <x v="20"/>
    <s v="2152"/>
    <s v="radiační onkologie - brachyterapie"/>
    <s v="2152 - radiační onkologie - brachyterapie"/>
    <s v="50115060     ostatní ZPr - mimo níže uvedené (sk.Z_503)"/>
    <x v="1"/>
    <x v="1"/>
    <n v="3.5451600000000001"/>
    <n v="4.2894201526979998"/>
  </r>
  <r>
    <s v="21"/>
    <s v="21"/>
    <s v="Onkologická klinika"/>
    <x v="20"/>
    <s v="2152"/>
    <s v="radiační onkologie - brachyterapie"/>
    <s v="2152 - radiační onkologie - brachyterapie"/>
    <s v="50115060     ostatní ZPr - mimo níže uvedené (sk.Z_503)"/>
    <x v="1"/>
    <x v="2"/>
    <n v="2.6928000000000001"/>
    <n v="2.5321457804960001"/>
  </r>
  <r>
    <s v="21"/>
    <s v="21"/>
    <s v="Onkologická klinika"/>
    <x v="20"/>
    <s v="2152"/>
    <s v="radiační onkologie - brachyterapie"/>
    <s v="2152 - radiační onkologie - brachyterapie"/>
    <s v="50115063     ostatní ZPr - vaky, sety (sk.Z_528)"/>
    <x v="13"/>
    <x v="0"/>
    <n v="0.16320000000000001"/>
    <n v="0"/>
  </r>
  <r>
    <s v="21"/>
    <s v="21"/>
    <s v="Onkologická klinika"/>
    <x v="20"/>
    <s v="2152"/>
    <s v="radiační onkologie - brachyterapie"/>
    <s v="2152 - radiační onkologie - brachyterapie"/>
    <s v="50115063     ostatní ZPr - vaky, sety (sk.Z_528)"/>
    <x v="13"/>
    <x v="1"/>
    <n v="0"/>
    <n v="0.15987469780300001"/>
  </r>
  <r>
    <s v="21"/>
    <s v="21"/>
    <s v="Onkologická klinika"/>
    <x v="20"/>
    <s v="2152"/>
    <s v="radiační onkologie - brachyterapie"/>
    <s v="2152 - radiační onkologie - brachyterapie"/>
    <s v="50115065     ostatní ZPr - vpichovací materiál (sk.Z_530)"/>
    <x v="14"/>
    <x v="0"/>
    <n v="5.7999999999999996E-2"/>
    <n v="11"/>
  </r>
  <r>
    <s v="21"/>
    <s v="21"/>
    <s v="Onkologická klinika"/>
    <x v="20"/>
    <s v="2152"/>
    <s v="radiační onkologie - brachyterapie"/>
    <s v="2152 - radiační onkologie - brachyterapie"/>
    <s v="50115065     ostatní ZPr - vpichovací materiál (sk.Z_530)"/>
    <x v="14"/>
    <x v="1"/>
    <n v="0"/>
    <n v="5.9497314391999997E-2"/>
  </r>
  <r>
    <s v="21"/>
    <s v="21"/>
    <s v="Onkologická klinika"/>
    <x v="20"/>
    <s v="2152"/>
    <s v="radiační onkologie - brachyterapie"/>
    <s v="2152 - radiační onkologie - brachyterapie"/>
    <s v="50115067     ostatní ZPr - rukavice (sk.Z_532)"/>
    <x v="15"/>
    <x v="0"/>
    <n v="4.8175800000000004"/>
    <n v="4.7624256668029998"/>
  </r>
  <r>
    <s v="21"/>
    <s v="21"/>
    <s v="Onkologická klinika"/>
    <x v="20"/>
    <s v="2152"/>
    <s v="radiační onkologie - brachyterapie"/>
    <s v="2152 - radiační onkologie - brachyterapie"/>
    <s v="50115067     ostatní ZPr - rukavice (sk.Z_532)"/>
    <x v="15"/>
    <x v="1"/>
    <n v="3.3640000000000003"/>
    <n v="4.8857510761349996"/>
  </r>
  <r>
    <s v="21"/>
    <s v="21"/>
    <s v="Onkologická klinika"/>
    <x v="20"/>
    <s v="2152"/>
    <s v="radiační onkologie - brachyterapie"/>
    <s v="2152 - radiační onkologie - brachyterapie"/>
    <s v="50115067     ostatní ZPr - rukavice (sk.Z_532)"/>
    <x v="15"/>
    <x v="2"/>
    <n v="5.8847999999999994"/>
    <n v="2.2101729425730001"/>
  </r>
  <r>
    <s v="21"/>
    <s v="21"/>
    <s v="Onkologická klinika"/>
    <x v="20"/>
    <s v="2194"/>
    <s v="centrum  - onkologie"/>
    <s v="2194 - centrum  - onkologie"/>
    <s v="50113     Léky a léčiva"/>
    <x v="2"/>
    <x v="0"/>
    <n v="136983.97836000004"/>
    <n v="137272.99999999299"/>
  </r>
  <r>
    <s v="21"/>
    <s v="21"/>
    <s v="Onkologická klinika"/>
    <x v="20"/>
    <s v="2194"/>
    <s v="centrum  - onkologie"/>
    <s v="2194 - centrum  - onkologie"/>
    <s v="50113     Léky a léčiva"/>
    <x v="2"/>
    <x v="1"/>
    <n v="166512.97672000012"/>
    <n v="159999.99999999799"/>
  </r>
  <r>
    <s v="21"/>
    <s v="21"/>
    <s v="Onkologická klinika"/>
    <x v="20"/>
    <s v="2194"/>
    <s v="centrum  - onkologie"/>
    <s v="2194 - centrum  - onkologie"/>
    <s v="50113     Léky a léčiva"/>
    <x v="2"/>
    <x v="2"/>
    <n v="152253.19144999998"/>
    <n v="205000.41667259799"/>
  </r>
  <r>
    <s v="21"/>
    <s v="21"/>
    <s v="Onkologická klinika"/>
    <x v="20"/>
    <s v="2194"/>
    <s v="centrum  - onkologie"/>
    <s v="2194 - centrum  - onkologie"/>
    <s v="50113016     léky - spotřeba v centrech (LEK)"/>
    <x v="39"/>
    <x v="0"/>
    <n v="136983.97836000004"/>
    <n v="137272.99999999299"/>
  </r>
  <r>
    <s v="21"/>
    <s v="21"/>
    <s v="Onkologická klinika"/>
    <x v="20"/>
    <s v="2194"/>
    <s v="centrum  - onkologie"/>
    <s v="2194 - centrum  - onkologie"/>
    <s v="50113016     léky - spotřeba v centrech (LEK)"/>
    <x v="39"/>
    <x v="1"/>
    <n v="166512.97672000012"/>
    <n v="159999.99999999799"/>
  </r>
  <r>
    <s v="21"/>
    <s v="21"/>
    <s v="Onkologická klinika"/>
    <x v="20"/>
    <s v="2194"/>
    <s v="centrum  - onkologie"/>
    <s v="2194 - centrum  - onkologie"/>
    <s v="50113016     léky - spotřeba v centrech (LEK)"/>
    <x v="39"/>
    <x v="2"/>
    <n v="152253.19144999998"/>
    <n v="205000.41667259799"/>
  </r>
  <r>
    <s v="22"/>
    <s v="22"/>
    <s v="Klinika nukleární medicíny"/>
    <x v="21"/>
    <s v="2211"/>
    <s v="lůžkové oddělení 40"/>
    <s v="2211 - lůžkové oddělení 40"/>
    <s v="50113     Léky a léčiva"/>
    <x v="2"/>
    <x v="0"/>
    <n v="1046.1353399999989"/>
    <n v="1237.59126962407"/>
  </r>
  <r>
    <s v="22"/>
    <s v="22"/>
    <s v="Klinika nukleární medicíny"/>
    <x v="21"/>
    <s v="2211"/>
    <s v="lůžkové oddělení 40"/>
    <s v="2211 - lůžkové oddělení 40"/>
    <s v="50113     Léky a léčiva"/>
    <x v="2"/>
    <x v="1"/>
    <n v="1031.0524700000001"/>
    <n v="1076.45351881598"/>
  </r>
  <r>
    <s v="22"/>
    <s v="22"/>
    <s v="Klinika nukleární medicíny"/>
    <x v="21"/>
    <s v="2211"/>
    <s v="lůžkové oddělení 40"/>
    <s v="2211 - lůžkové oddělení 40"/>
    <s v="50113     Léky a léčiva"/>
    <x v="2"/>
    <x v="2"/>
    <n v="618.38547000000005"/>
    <n v="1001.56916007163"/>
  </r>
  <r>
    <s v="22"/>
    <s v="22"/>
    <s v="Klinika nukleární medicíny"/>
    <x v="21"/>
    <s v="2211"/>
    <s v="lůžkové oddělení 40"/>
    <s v="2211 - lůžkové oddělení 40"/>
    <s v="50113001     léky - paušál+TISS (LEK)"/>
    <x v="3"/>
    <x v="0"/>
    <n v="27.994739999998998"/>
    <n v="41.131331584329999"/>
  </r>
  <r>
    <s v="22"/>
    <s v="22"/>
    <s v="Klinika nukleární medicíny"/>
    <x v="21"/>
    <s v="2211"/>
    <s v="lůžkové oddělení 40"/>
    <s v="2211 - lůžkové oddělení 40"/>
    <s v="50113001     léky - paušál+TISS (LEK)"/>
    <x v="3"/>
    <x v="1"/>
    <n v="15.612620000000001"/>
    <n v="28.015945754015998"/>
  </r>
  <r>
    <s v="22"/>
    <s v="22"/>
    <s v="Klinika nukleární medicíny"/>
    <x v="21"/>
    <s v="2211"/>
    <s v="lůžkové oddělení 40"/>
    <s v="2211 - lůžkové oddělení 40"/>
    <s v="50113001     léky - paušál+TISS (LEK)"/>
    <x v="3"/>
    <x v="2"/>
    <n v="11.11027"/>
    <n v="19.776372440934001"/>
  </r>
  <r>
    <s v="22"/>
    <s v="22"/>
    <s v="Klinika nukleární medicíny"/>
    <x v="21"/>
    <s v="2211"/>
    <s v="lůžkové oddělení 40"/>
    <s v="2211 - lůžkové oddělení 40"/>
    <s v="50113005     léky - radiofarmaka (KNM)"/>
    <x v="58"/>
    <x v="0"/>
    <n v="1017.619999999999"/>
    <n v="1196.3353598696001"/>
  </r>
  <r>
    <s v="22"/>
    <s v="22"/>
    <s v="Klinika nukleární medicíny"/>
    <x v="21"/>
    <s v="2211"/>
    <s v="lůžkové oddělení 40"/>
    <s v="2211 - lůžkové oddělení 40"/>
    <s v="50113005     léky - radiofarmaka (KNM)"/>
    <x v="58"/>
    <x v="1"/>
    <n v="1014.45725"/>
    <n v="1047.91064337068"/>
  </r>
  <r>
    <s v="22"/>
    <s v="22"/>
    <s v="Klinika nukleární medicíny"/>
    <x v="21"/>
    <s v="2211"/>
    <s v="lůžkové oddělení 40"/>
    <s v="2211 - lůžkové oddělení 40"/>
    <s v="50113005     léky - radiofarmaka (KNM)"/>
    <x v="58"/>
    <x v="2"/>
    <n v="606.86120000000005"/>
    <n v="980.83629385228005"/>
  </r>
  <r>
    <s v="22"/>
    <s v="22"/>
    <s v="Klinika nukleární medicíny"/>
    <x v="21"/>
    <s v="2211"/>
    <s v="lůžkové oddělení 40"/>
    <s v="2211 - lůžkové oddělení 40"/>
    <s v="50113013     léky (paušál) - antibiotika (LEK)"/>
    <x v="7"/>
    <x v="0"/>
    <n v="0.52059999999999995"/>
    <n v="2.3095754031999999E-2"/>
  </r>
  <r>
    <s v="22"/>
    <s v="22"/>
    <s v="Klinika nukleární medicíny"/>
    <x v="21"/>
    <s v="2211"/>
    <s v="lůžkové oddělení 40"/>
    <s v="2211 - lůžkové oddělení 40"/>
    <s v="50113013     léky (paušál) - antibiotika (LEK)"/>
    <x v="7"/>
    <x v="1"/>
    <n v="0.77957999999999994"/>
    <n v="0.52692969128300005"/>
  </r>
  <r>
    <s v="22"/>
    <s v="22"/>
    <s v="Klinika nukleární medicíny"/>
    <x v="21"/>
    <s v="2211"/>
    <s v="lůžkové oddělení 40"/>
    <s v="2211 - lůžkové oddělení 40"/>
    <s v="50113013     léky (paušál) - antibiotika (LEK)"/>
    <x v="7"/>
    <x v="2"/>
    <n v="0"/>
    <n v="0.95649377841299998"/>
  </r>
  <r>
    <s v="22"/>
    <s v="22"/>
    <s v="Klinika nukleární medicíny"/>
    <x v="21"/>
    <s v="2211"/>
    <s v="lůžkové oddělení 40"/>
    <s v="2211 - lůžkové oddělení 40"/>
    <s v="50113014     léky (paušál) - antimykotika (LEK)"/>
    <x v="8"/>
    <x v="0"/>
    <n v="0"/>
    <n v="0.101482416112"/>
  </r>
  <r>
    <s v="22"/>
    <s v="22"/>
    <s v="Klinika nukleární medicíny"/>
    <x v="21"/>
    <s v="2211"/>
    <s v="lůžkové oddělení 40"/>
    <s v="2211 - lůžkové oddělení 40"/>
    <s v="50113014     léky (paušál) - antimykotika (LEK)"/>
    <x v="8"/>
    <x v="1"/>
    <n v="0.20302000000000001"/>
    <n v="0"/>
  </r>
  <r>
    <s v="22"/>
    <s v="22"/>
    <s v="Klinika nukleární medicíny"/>
    <x v="21"/>
    <s v="2211"/>
    <s v="lůžkové oddělení 40"/>
    <s v="2211 - lůžkové oddělení 40"/>
    <s v="50113190     medicinální plyny"/>
    <x v="9"/>
    <x v="2"/>
    <n v="0.41399999999999998"/>
    <n v="0"/>
  </r>
  <r>
    <s v="22"/>
    <s v="22"/>
    <s v="Klinika nukleární medicíny"/>
    <x v="21"/>
    <s v="2211"/>
    <s v="lůžkové oddělení 40"/>
    <s v="2211 - lůžkové oddělení 40"/>
    <s v="50115     Zdravotnické prostředky"/>
    <x v="0"/>
    <x v="0"/>
    <n v="26.468959999999999"/>
    <n v="26.613331420653001"/>
  </r>
  <r>
    <s v="22"/>
    <s v="22"/>
    <s v="Klinika nukleární medicíny"/>
    <x v="21"/>
    <s v="2211"/>
    <s v="lůžkové oddělení 40"/>
    <s v="2211 - lůžkové oddělení 40"/>
    <s v="50115     Zdravotnické prostředky"/>
    <x v="0"/>
    <x v="1"/>
    <n v="28.474499999999999"/>
    <n v="26.598649482620999"/>
  </r>
  <r>
    <s v="22"/>
    <s v="22"/>
    <s v="Klinika nukleární medicíny"/>
    <x v="21"/>
    <s v="2211"/>
    <s v="lůžkové oddělení 40"/>
    <s v="2211 - lůžkové oddělení 40"/>
    <s v="50115     Zdravotnické prostředky"/>
    <x v="0"/>
    <x v="2"/>
    <n v="16.305980000000002"/>
    <n v="27.110278683141001"/>
  </r>
  <r>
    <s v="22"/>
    <s v="22"/>
    <s v="Klinika nukleární medicíny"/>
    <x v="21"/>
    <s v="2211"/>
    <s v="lůžkové oddělení 40"/>
    <s v="2211 - lůžkové oddělení 40"/>
    <s v="50115050     obvazový materiál (sk.Z_502)"/>
    <x v="12"/>
    <x v="0"/>
    <n v="3.2419599999999997"/>
    <n v="3.667134021266"/>
  </r>
  <r>
    <s v="22"/>
    <s v="22"/>
    <s v="Klinika nukleární medicíny"/>
    <x v="21"/>
    <s v="2211"/>
    <s v="lůžkové oddělení 40"/>
    <s v="2211 - lůžkové oddělení 40"/>
    <s v="50115050     obvazový materiál (sk.Z_502)"/>
    <x v="12"/>
    <x v="1"/>
    <n v="2.0944199999999999"/>
    <n v="3.2493323838819999"/>
  </r>
  <r>
    <s v="22"/>
    <s v="22"/>
    <s v="Klinika nukleární medicíny"/>
    <x v="21"/>
    <s v="2211"/>
    <s v="lůžkové oddělení 40"/>
    <s v="2211 - lůžkové oddělení 40"/>
    <s v="50115050     obvazový materiál (sk.Z_502)"/>
    <x v="12"/>
    <x v="2"/>
    <n v="1.0627800000000001"/>
    <n v="1.4190785582950001"/>
  </r>
  <r>
    <s v="22"/>
    <s v="22"/>
    <s v="Klinika nukleární medicíny"/>
    <x v="21"/>
    <s v="2211"/>
    <s v="lůžkové oddělení 40"/>
    <s v="2211 - lůžkové oddělení 40"/>
    <s v="50115060     ostatní ZPr - mimo níže uvedené (sk.Z_503)"/>
    <x v="1"/>
    <x v="0"/>
    <n v="15.090999999999998"/>
    <n v="12.616692836199"/>
  </r>
  <r>
    <s v="22"/>
    <s v="22"/>
    <s v="Klinika nukleární medicíny"/>
    <x v="21"/>
    <s v="2211"/>
    <s v="lůžkové oddělení 40"/>
    <s v="2211 - lůžkové oddělení 40"/>
    <s v="50115060     ostatní ZPr - mimo níže uvedené (sk.Z_503)"/>
    <x v="1"/>
    <x v="1"/>
    <n v="14.743080000000001"/>
    <n v="15.090886314363001"/>
  </r>
  <r>
    <s v="22"/>
    <s v="22"/>
    <s v="Klinika nukleární medicíny"/>
    <x v="21"/>
    <s v="2211"/>
    <s v="lůžkové oddělení 40"/>
    <s v="2211 - lůžkové oddělení 40"/>
    <s v="50115060     ostatní ZPr - mimo níže uvedené (sk.Z_503)"/>
    <x v="1"/>
    <x v="2"/>
    <n v="6.7391999999999994"/>
    <n v="16.799310974893"/>
  </r>
  <r>
    <s v="22"/>
    <s v="22"/>
    <s v="Klinika nukleární medicíny"/>
    <x v="21"/>
    <s v="2211"/>
    <s v="lůžkové oddělení 40"/>
    <s v="2211 - lůžkové oddělení 40"/>
    <s v="50115065     ostatní ZPr - vpichovací materiál (sk.Z_530)"/>
    <x v="14"/>
    <x v="0"/>
    <n v="0.626"/>
    <n v="1"/>
  </r>
  <r>
    <s v="22"/>
    <s v="22"/>
    <s v="Klinika nukleární medicíny"/>
    <x v="21"/>
    <s v="2211"/>
    <s v="lůžkové oddělení 40"/>
    <s v="2211 - lůžkové oddělení 40"/>
    <s v="50115065     ostatní ZPr - vpichovací materiál (sk.Z_530)"/>
    <x v="14"/>
    <x v="1"/>
    <n v="2.7840000000000003"/>
    <n v="0.64216066913600001"/>
  </r>
  <r>
    <s v="22"/>
    <s v="22"/>
    <s v="Klinika nukleární medicíny"/>
    <x v="21"/>
    <s v="2211"/>
    <s v="lůžkové oddělení 40"/>
    <s v="2211 - lůžkové oddělení 40"/>
    <s v="50115065     ostatní ZPr - vpichovací materiál (sk.Z_530)"/>
    <x v="14"/>
    <x v="2"/>
    <n v="3.774"/>
    <n v="2.618320528216"/>
  </r>
  <r>
    <s v="22"/>
    <s v="22"/>
    <s v="Klinika nukleární medicíny"/>
    <x v="21"/>
    <s v="2211"/>
    <s v="lůžkové oddělení 40"/>
    <s v="2211 - lůžkové oddělení 40"/>
    <s v="50115067     ostatní ZPr - rukavice (sk.Z_532)"/>
    <x v="15"/>
    <x v="0"/>
    <n v="7.51"/>
    <n v="9.3295045631869993"/>
  </r>
  <r>
    <s v="22"/>
    <s v="22"/>
    <s v="Klinika nukleární medicíny"/>
    <x v="21"/>
    <s v="2211"/>
    <s v="lůžkové oddělení 40"/>
    <s v="2211 - lůžkové oddělení 40"/>
    <s v="50115067     ostatní ZPr - rukavice (sk.Z_532)"/>
    <x v="15"/>
    <x v="1"/>
    <n v="8.8529999999999998"/>
    <n v="7.6162701152389998"/>
  </r>
  <r>
    <s v="22"/>
    <s v="22"/>
    <s v="Klinika nukleární medicíny"/>
    <x v="21"/>
    <s v="2211"/>
    <s v="lůžkové oddělení 40"/>
    <s v="2211 - lůžkové oddělení 40"/>
    <s v="50115067     ostatní ZPr - rukavice (sk.Z_532)"/>
    <x v="15"/>
    <x v="2"/>
    <n v="4.7299999999999995"/>
    <n v="6.2735686217350004"/>
  </r>
  <r>
    <s v="22"/>
    <s v="22"/>
    <s v="Klinika nukleární medicíny"/>
    <x v="21"/>
    <s v="2221"/>
    <s v="ambulance"/>
    <s v="2221 - ambulance"/>
    <s v="50113     Léky a léčiva"/>
    <x v="2"/>
    <x v="0"/>
    <n v="6510.4252200000037"/>
    <n v="6275.4638255557402"/>
  </r>
  <r>
    <s v="22"/>
    <s v="22"/>
    <s v="Klinika nukleární medicíny"/>
    <x v="21"/>
    <s v="2221"/>
    <s v="ambulance"/>
    <s v="2221 - ambulance"/>
    <s v="50113     Léky a léčiva"/>
    <x v="2"/>
    <x v="1"/>
    <n v="6292.569770000001"/>
    <n v="6703.2820428574396"/>
  </r>
  <r>
    <s v="22"/>
    <s v="22"/>
    <s v="Klinika nukleární medicíny"/>
    <x v="21"/>
    <s v="2221"/>
    <s v="ambulance"/>
    <s v="2221 - ambulance"/>
    <s v="50113     Léky a léčiva"/>
    <x v="2"/>
    <x v="2"/>
    <n v="4798.5549400000018"/>
    <n v="5781.7830592816899"/>
  </r>
  <r>
    <s v="22"/>
    <s v="22"/>
    <s v="Klinika nukleární medicíny"/>
    <x v="21"/>
    <s v="2221"/>
    <s v="ambulance"/>
    <s v="2221 - ambulance"/>
    <s v="50113001     léky - paušál+TISS (LEK)"/>
    <x v="3"/>
    <x v="0"/>
    <n v="32.182069999999001"/>
    <n v="32.984527183687"/>
  </r>
  <r>
    <s v="22"/>
    <s v="22"/>
    <s v="Klinika nukleární medicíny"/>
    <x v="21"/>
    <s v="2221"/>
    <s v="ambulance"/>
    <s v="2221 - ambulance"/>
    <s v="50113001     léky - paušál+TISS (LEK)"/>
    <x v="3"/>
    <x v="1"/>
    <n v="17.519970000000001"/>
    <n v="32.206447617372"/>
  </r>
  <r>
    <s v="22"/>
    <s v="22"/>
    <s v="Klinika nukleární medicíny"/>
    <x v="21"/>
    <s v="2221"/>
    <s v="ambulance"/>
    <s v="2221 - ambulance"/>
    <s v="50113001     léky - paušál+TISS (LEK)"/>
    <x v="3"/>
    <x v="2"/>
    <n v="17.36964"/>
    <n v="20.899197563520001"/>
  </r>
  <r>
    <s v="22"/>
    <s v="22"/>
    <s v="Klinika nukleární medicíny"/>
    <x v="21"/>
    <s v="2221"/>
    <s v="ambulance"/>
    <s v="2221 - ambulance"/>
    <s v="50113005     léky - radiofarmaka (KNM)"/>
    <x v="58"/>
    <x v="0"/>
    <n v="6478.2431500000039"/>
    <n v="6242.4792983720499"/>
  </r>
  <r>
    <s v="22"/>
    <s v="22"/>
    <s v="Klinika nukleární medicíny"/>
    <x v="21"/>
    <s v="2221"/>
    <s v="ambulance"/>
    <s v="2221 - ambulance"/>
    <s v="50113005     léky - radiofarmaka (KNM)"/>
    <x v="58"/>
    <x v="1"/>
    <n v="6275.0498000000007"/>
    <n v="6671.0755952400596"/>
  </r>
  <r>
    <s v="22"/>
    <s v="22"/>
    <s v="Klinika nukleární medicíny"/>
    <x v="21"/>
    <s v="2221"/>
    <s v="ambulance"/>
    <s v="2221 - ambulance"/>
    <s v="50113005     léky - radiofarmaka (KNM)"/>
    <x v="58"/>
    <x v="2"/>
    <n v="4616.5813000000007"/>
    <n v="5760.88386171817"/>
  </r>
  <r>
    <s v="22"/>
    <s v="22"/>
    <s v="Klinika nukleární medicíny"/>
    <x v="21"/>
    <s v="2221"/>
    <s v="ambulance"/>
    <s v="2221 - ambulance"/>
    <s v="50113009     léky - RTG diagnostika ZUL (LEK)"/>
    <x v="22"/>
    <x v="2"/>
    <n v="164.60400000000001"/>
    <n v="0"/>
  </r>
  <r>
    <s v="22"/>
    <s v="22"/>
    <s v="Klinika nukleární medicíny"/>
    <x v="21"/>
    <s v="2221"/>
    <s v="ambulance"/>
    <s v="2221 - ambulance"/>
    <s v="50115     Zdravotnické prostředky"/>
    <x v="0"/>
    <x v="0"/>
    <n v="113.80366000000001"/>
    <n v="113.549196029379"/>
  </r>
  <r>
    <s v="22"/>
    <s v="22"/>
    <s v="Klinika nukleární medicíny"/>
    <x v="21"/>
    <s v="2221"/>
    <s v="ambulance"/>
    <s v="2221 - ambulance"/>
    <s v="50115     Zdravotnické prostředky"/>
    <x v="0"/>
    <x v="1"/>
    <n v="112.86901999999999"/>
    <n v="114.048126270116"/>
  </r>
  <r>
    <s v="22"/>
    <s v="22"/>
    <s v="Klinika nukleární medicíny"/>
    <x v="21"/>
    <s v="2221"/>
    <s v="ambulance"/>
    <s v="2221 - ambulance"/>
    <s v="50115     Zdravotnické prostředky"/>
    <x v="0"/>
    <x v="2"/>
    <n v="102.17328999999999"/>
    <n v="139.02368153273099"/>
  </r>
  <r>
    <s v="22"/>
    <s v="22"/>
    <s v="Klinika nukleární medicíny"/>
    <x v="21"/>
    <s v="2221"/>
    <s v="ambulance"/>
    <s v="2221 - ambulance"/>
    <s v="50115050     obvazový materiál (sk.Z_502)"/>
    <x v="12"/>
    <x v="0"/>
    <n v="4.2616999999990002"/>
    <n v="5.2472994656839997"/>
  </r>
  <r>
    <s v="22"/>
    <s v="22"/>
    <s v="Klinika nukleární medicíny"/>
    <x v="21"/>
    <s v="2221"/>
    <s v="ambulance"/>
    <s v="2221 - ambulance"/>
    <s v="50115050     obvazový materiál (sk.Z_502)"/>
    <x v="12"/>
    <x v="1"/>
    <n v="3.7911200000000003"/>
    <n v="4.2713913251209998"/>
  </r>
  <r>
    <s v="22"/>
    <s v="22"/>
    <s v="Klinika nukleární medicíny"/>
    <x v="21"/>
    <s v="2221"/>
    <s v="ambulance"/>
    <s v="2221 - ambulance"/>
    <s v="50115050     obvazový materiál (sk.Z_502)"/>
    <x v="12"/>
    <x v="2"/>
    <n v="4.1554500000000001"/>
    <n v="3.194991272122"/>
  </r>
  <r>
    <s v="22"/>
    <s v="22"/>
    <s v="Klinika nukleární medicíny"/>
    <x v="21"/>
    <s v="2221"/>
    <s v="ambulance"/>
    <s v="2221 - ambulance"/>
    <s v="50115060     ostatní ZPr - mimo níže uvedené (sk.Z_503)"/>
    <x v="1"/>
    <x v="0"/>
    <n v="94.009389999999996"/>
    <n v="91.349919688609006"/>
  </r>
  <r>
    <s v="22"/>
    <s v="22"/>
    <s v="Klinika nukleární medicíny"/>
    <x v="21"/>
    <s v="2221"/>
    <s v="ambulance"/>
    <s v="2221 - ambulance"/>
    <s v="50115060     ostatní ZPr - mimo níže uvedené (sk.Z_503)"/>
    <x v="1"/>
    <x v="1"/>
    <n v="90.909099999999995"/>
    <n v="94.008681795282996"/>
  </r>
  <r>
    <s v="22"/>
    <s v="22"/>
    <s v="Klinika nukleární medicíny"/>
    <x v="21"/>
    <s v="2221"/>
    <s v="ambulance"/>
    <s v="2221 - ambulance"/>
    <s v="50115060     ostatní ZPr - mimo níže uvedené (sk.Z_503)"/>
    <x v="1"/>
    <x v="2"/>
    <n v="83.369740000000007"/>
    <n v="118.33084926086499"/>
  </r>
  <r>
    <s v="22"/>
    <s v="22"/>
    <s v="Klinika nukleární medicíny"/>
    <x v="21"/>
    <s v="2221"/>
    <s v="ambulance"/>
    <s v="2221 - ambulance"/>
    <s v="50115065     ostatní ZPr - vpichovací materiál (sk.Z_530)"/>
    <x v="14"/>
    <x v="0"/>
    <n v="1.345"/>
    <n v="1.9003117212839999"/>
  </r>
  <r>
    <s v="22"/>
    <s v="22"/>
    <s v="Klinika nukleární medicíny"/>
    <x v="21"/>
    <s v="2221"/>
    <s v="ambulance"/>
    <s v="2221 - ambulance"/>
    <s v="50115065     ostatní ZPr - vpichovací materiál (sk.Z_530)"/>
    <x v="14"/>
    <x v="1"/>
    <n v="2.41"/>
    <n v="1.3797222044549999"/>
  </r>
  <r>
    <s v="22"/>
    <s v="22"/>
    <s v="Klinika nukleární medicíny"/>
    <x v="21"/>
    <s v="2221"/>
    <s v="ambulance"/>
    <s v="2221 - ambulance"/>
    <s v="50115065     ostatní ZPr - vpichovací materiál (sk.Z_530)"/>
    <x v="14"/>
    <x v="2"/>
    <n v="1.22"/>
    <n v="1.502862548083"/>
  </r>
  <r>
    <s v="22"/>
    <s v="22"/>
    <s v="Klinika nukleární medicíny"/>
    <x v="21"/>
    <s v="2221"/>
    <s v="ambulance"/>
    <s v="2221 - ambulance"/>
    <s v="50115067     ostatní ZPr - rukavice (sk.Z_532)"/>
    <x v="15"/>
    <x v="0"/>
    <n v="14.187569999999999"/>
    <n v="15.0516651538"/>
  </r>
  <r>
    <s v="22"/>
    <s v="22"/>
    <s v="Klinika nukleární medicíny"/>
    <x v="21"/>
    <s v="2221"/>
    <s v="ambulance"/>
    <s v="2221 - ambulance"/>
    <s v="50115067     ostatní ZPr - rukavice (sk.Z_532)"/>
    <x v="15"/>
    <x v="1"/>
    <n v="15.758800000000004"/>
    <n v="14.388330945254999"/>
  </r>
  <r>
    <s v="22"/>
    <s v="22"/>
    <s v="Klinika nukleární medicíny"/>
    <x v="21"/>
    <s v="2221"/>
    <s v="ambulance"/>
    <s v="2221 - ambulance"/>
    <s v="50115067     ostatní ZPr - rukavice (sk.Z_532)"/>
    <x v="15"/>
    <x v="2"/>
    <n v="13.428100000000001"/>
    <n v="15.994978451661"/>
  </r>
  <r>
    <s v="22"/>
    <s v="22"/>
    <s v="Klinika nukleární medicíny"/>
    <x v="21"/>
    <s v="2241"/>
    <s v="laboratoř-SVLS"/>
    <s v="2241 - laboratoř-SVLS"/>
    <s v="50113     Léky a léčiva"/>
    <x v="2"/>
    <x v="0"/>
    <n v="1.9695300000000002"/>
    <n v="3.6718903120749999"/>
  </r>
  <r>
    <s v="22"/>
    <s v="22"/>
    <s v="Klinika nukleární medicíny"/>
    <x v="21"/>
    <s v="2241"/>
    <s v="laboratoř-SVLS"/>
    <s v="2241 - laboratoř-SVLS"/>
    <s v="50113     Léky a léčiva"/>
    <x v="2"/>
    <x v="1"/>
    <n v="0.77740000000000009"/>
    <n v="1.971021900575"/>
  </r>
  <r>
    <s v="22"/>
    <s v="22"/>
    <s v="Klinika nukleární medicíny"/>
    <x v="21"/>
    <s v="2241"/>
    <s v="laboratoř-SVLS"/>
    <s v="2241 - laboratoř-SVLS"/>
    <s v="50113     Léky a léčiva"/>
    <x v="2"/>
    <x v="2"/>
    <n v="0.11323"/>
    <n v="1.2103220331360001"/>
  </r>
  <r>
    <s v="22"/>
    <s v="22"/>
    <s v="Klinika nukleární medicíny"/>
    <x v="21"/>
    <s v="2241"/>
    <s v="laboratoř-SVLS"/>
    <s v="2241 - laboratoř-SVLS"/>
    <s v="50113001     léky - paušál+TISS (LEK)"/>
    <x v="3"/>
    <x v="0"/>
    <n v="1.9695300000000002"/>
    <n v="3.6718903120749999"/>
  </r>
  <r>
    <s v="22"/>
    <s v="22"/>
    <s v="Klinika nukleární medicíny"/>
    <x v="21"/>
    <s v="2241"/>
    <s v="laboratoř-SVLS"/>
    <s v="2241 - laboratoř-SVLS"/>
    <s v="50113001     léky - paušál+TISS (LEK)"/>
    <x v="3"/>
    <x v="1"/>
    <n v="0.77740000000000009"/>
    <n v="1.971021900575"/>
  </r>
  <r>
    <s v="22"/>
    <s v="22"/>
    <s v="Klinika nukleární medicíny"/>
    <x v="21"/>
    <s v="2241"/>
    <s v="laboratoř-SVLS"/>
    <s v="2241 - laboratoř-SVLS"/>
    <s v="50113001     léky - paušál+TISS (LEK)"/>
    <x v="3"/>
    <x v="2"/>
    <n v="0.11323"/>
    <n v="1.2103220331360001"/>
  </r>
  <r>
    <s v="22"/>
    <s v="22"/>
    <s v="Klinika nukleární medicíny"/>
    <x v="21"/>
    <s v="2241"/>
    <s v="laboratoř-SVLS"/>
    <s v="2241 - laboratoř-SVLS"/>
    <s v="50115     Zdravotnické prostředky"/>
    <x v="0"/>
    <x v="0"/>
    <n v="22.124079999999999"/>
    <n v="24.488585930315999"/>
  </r>
  <r>
    <s v="22"/>
    <s v="22"/>
    <s v="Klinika nukleární medicíny"/>
    <x v="21"/>
    <s v="2241"/>
    <s v="laboratoř-SVLS"/>
    <s v="2241 - laboratoř-SVLS"/>
    <s v="50115     Zdravotnické prostředky"/>
    <x v="0"/>
    <x v="1"/>
    <n v="20.772620000000003"/>
    <n v="22.312816805741001"/>
  </r>
  <r>
    <s v="22"/>
    <s v="22"/>
    <s v="Klinika nukleární medicíny"/>
    <x v="21"/>
    <s v="2241"/>
    <s v="laboratoř-SVLS"/>
    <s v="2241 - laboratoř-SVLS"/>
    <s v="50115     Zdravotnické prostředky"/>
    <x v="0"/>
    <x v="2"/>
    <n v="12.482510000000001"/>
    <n v="20.705095227478001"/>
  </r>
  <r>
    <s v="22"/>
    <s v="22"/>
    <s v="Klinika nukleární medicíny"/>
    <x v="21"/>
    <s v="2241"/>
    <s v="laboratoř-SVLS"/>
    <s v="2241 - laboratoř-SVLS"/>
    <s v="50115020     diagnostika laboratorní-LEK (sk.Z_501)"/>
    <x v="10"/>
    <x v="0"/>
    <n v="0.29160999999999998"/>
    <n v="0.91849790972599998"/>
  </r>
  <r>
    <s v="22"/>
    <s v="22"/>
    <s v="Klinika nukleární medicíny"/>
    <x v="21"/>
    <s v="2241"/>
    <s v="laboratoř-SVLS"/>
    <s v="2241 - laboratoř-SVLS"/>
    <s v="50115020     diagnostika laboratorní-LEK (sk.Z_501)"/>
    <x v="10"/>
    <x v="1"/>
    <n v="0.99486999999999992"/>
    <n v="0.29160969114000002"/>
  </r>
  <r>
    <s v="22"/>
    <s v="22"/>
    <s v="Klinika nukleární medicíny"/>
    <x v="21"/>
    <s v="2241"/>
    <s v="laboratoř-SVLS"/>
    <s v="2241 - laboratoř-SVLS"/>
    <s v="50115020     diagnostika laboratorní-LEK (sk.Z_501)"/>
    <x v="10"/>
    <x v="2"/>
    <n v="0"/>
    <n v="0.99999996850200001"/>
  </r>
  <r>
    <s v="22"/>
    <s v="22"/>
    <s v="Klinika nukleární medicíny"/>
    <x v="21"/>
    <s v="2241"/>
    <s v="laboratoř-SVLS"/>
    <s v="2241 - laboratoř-SVLS"/>
    <s v="50115040     laboratorní materiál (sk.Z_505)"/>
    <x v="11"/>
    <x v="1"/>
    <n v="0.76122999999999996"/>
    <n v="1"/>
  </r>
  <r>
    <s v="22"/>
    <s v="22"/>
    <s v="Klinika nukleární medicíny"/>
    <x v="21"/>
    <s v="2241"/>
    <s v="laboratoř-SVLS"/>
    <s v="2241 - laboratoř-SVLS"/>
    <s v="50115040     laboratorní materiál (sk.Z_505)"/>
    <x v="11"/>
    <x v="2"/>
    <n v="0.36299999999999999"/>
    <n v="0.76122997602300002"/>
  </r>
  <r>
    <s v="22"/>
    <s v="22"/>
    <s v="Klinika nukleární medicíny"/>
    <x v="21"/>
    <s v="2241"/>
    <s v="laboratoř-SVLS"/>
    <s v="2241 - laboratoř-SVLS"/>
    <s v="50115050     obvazový materiál (sk.Z_502)"/>
    <x v="12"/>
    <x v="0"/>
    <n v="2.0823999999999998"/>
    <n v="2.0988969858059998"/>
  </r>
  <r>
    <s v="22"/>
    <s v="22"/>
    <s v="Klinika nukleární medicíny"/>
    <x v="21"/>
    <s v="2241"/>
    <s v="laboratoř-SVLS"/>
    <s v="2241 - laboratoř-SVLS"/>
    <s v="50115050     obvazový materiál (sk.Z_502)"/>
    <x v="12"/>
    <x v="1"/>
    <n v="0.33295999999999998"/>
    <n v="2.0871354847669998"/>
  </r>
  <r>
    <s v="22"/>
    <s v="22"/>
    <s v="Klinika nukleární medicíny"/>
    <x v="21"/>
    <s v="2241"/>
    <s v="laboratoř-SVLS"/>
    <s v="2241 - laboratoř-SVLS"/>
    <s v="50115050     obvazový materiál (sk.Z_502)"/>
    <x v="12"/>
    <x v="2"/>
    <n v="2.1738"/>
    <n v="7.7926093234000002E-2"/>
  </r>
  <r>
    <s v="22"/>
    <s v="22"/>
    <s v="Klinika nukleární medicíny"/>
    <x v="21"/>
    <s v="2241"/>
    <s v="laboratoř-SVLS"/>
    <s v="2241 - laboratoř-SVLS"/>
    <s v="50115060     ostatní ZPr - mimo níže uvedené (sk.Z_503)"/>
    <x v="1"/>
    <x v="0"/>
    <n v="10.022120000000001"/>
    <n v="12.349951838742999"/>
  </r>
  <r>
    <s v="22"/>
    <s v="22"/>
    <s v="Klinika nukleární medicíny"/>
    <x v="21"/>
    <s v="2241"/>
    <s v="laboratoř-SVLS"/>
    <s v="2241 - laboratoř-SVLS"/>
    <s v="50115060     ostatní ZPr - mimo níže uvedené (sk.Z_503)"/>
    <x v="1"/>
    <x v="1"/>
    <n v="7.3934299999999995"/>
    <n v="9.0220508726049999"/>
  </r>
  <r>
    <s v="22"/>
    <s v="22"/>
    <s v="Klinika nukleární medicíny"/>
    <x v="21"/>
    <s v="2241"/>
    <s v="laboratoř-SVLS"/>
    <s v="2241 - laboratoř-SVLS"/>
    <s v="50115060     ostatní ZPr - mimo níže uvedené (sk.Z_503)"/>
    <x v="1"/>
    <x v="2"/>
    <n v="2.722"/>
    <n v="7.4875086536140003"/>
  </r>
  <r>
    <s v="22"/>
    <s v="22"/>
    <s v="Klinika nukleární medicíny"/>
    <x v="21"/>
    <s v="2241"/>
    <s v="laboratoř-SVLS"/>
    <s v="2241 - laboratoř-SVLS"/>
    <s v="50115065     ostatní ZPr - vpichovací materiál (sk.Z_530)"/>
    <x v="14"/>
    <x v="0"/>
    <n v="3.9789499999989997"/>
    <n v="0.95009885243000003"/>
  </r>
  <r>
    <s v="22"/>
    <s v="22"/>
    <s v="Klinika nukleární medicíny"/>
    <x v="21"/>
    <s v="2241"/>
    <s v="laboratoř-SVLS"/>
    <s v="2241 - laboratoř-SVLS"/>
    <s v="50115065     ostatní ZPr - vpichovací materiál (sk.Z_530)"/>
    <x v="14"/>
    <x v="1"/>
    <n v="3.0694900000000001"/>
    <n v="4.0816696397159999"/>
  </r>
  <r>
    <s v="22"/>
    <s v="22"/>
    <s v="Klinika nukleární medicíny"/>
    <x v="21"/>
    <s v="2241"/>
    <s v="laboratoř-SVLS"/>
    <s v="2241 - laboratoř-SVLS"/>
    <s v="50115065     ostatní ZPr - vpichovací materiál (sk.Z_530)"/>
    <x v="14"/>
    <x v="2"/>
    <n v="1.23"/>
    <n v="1.375954155134"/>
  </r>
  <r>
    <s v="22"/>
    <s v="22"/>
    <s v="Klinika nukleární medicíny"/>
    <x v="21"/>
    <s v="2241"/>
    <s v="laboratoř-SVLS"/>
    <s v="2241 - laboratoř-SVLS"/>
    <s v="50115067     ostatní ZPr - rukavice (sk.Z_532)"/>
    <x v="15"/>
    <x v="0"/>
    <n v="5.7489999999990005"/>
    <n v="8.1711403436090002"/>
  </r>
  <r>
    <s v="22"/>
    <s v="22"/>
    <s v="Klinika nukleární medicíny"/>
    <x v="21"/>
    <s v="2241"/>
    <s v="laboratoř-SVLS"/>
    <s v="2241 - laboratoř-SVLS"/>
    <s v="50115067     ostatní ZPr - rukavice (sk.Z_532)"/>
    <x v="15"/>
    <x v="1"/>
    <n v="8.2206399999999995"/>
    <n v="5.8303511175110003"/>
  </r>
  <r>
    <s v="22"/>
    <s v="22"/>
    <s v="Klinika nukleární medicíny"/>
    <x v="21"/>
    <s v="2241"/>
    <s v="laboratoř-SVLS"/>
    <s v="2241 - laboratoř-SVLS"/>
    <s v="50115067     ostatní ZPr - rukavice (sk.Z_532)"/>
    <x v="15"/>
    <x v="2"/>
    <n v="5.9937099999999992"/>
    <n v="10.002476380971"/>
  </r>
  <r>
    <s v="22"/>
    <s v="22"/>
    <s v="Klinika nukleární medicíny"/>
    <x v="21"/>
    <s v="2251"/>
    <s v="přístr.pracoviště - PET "/>
    <s v="2251 - přístr.pracoviště - PET "/>
    <s v="50113     Léky a léčiva"/>
    <x v="2"/>
    <x v="0"/>
    <n v="31229.635020000005"/>
    <n v="36003.6356382347"/>
  </r>
  <r>
    <s v="22"/>
    <s v="22"/>
    <s v="Klinika nukleární medicíny"/>
    <x v="21"/>
    <s v="2251"/>
    <s v="přístr.pracoviště - PET "/>
    <s v="2251 - přístr.pracoviště - PET "/>
    <s v="50113     Léky a léčiva"/>
    <x v="2"/>
    <x v="1"/>
    <n v="27439.521210000014"/>
    <n v="32030.675647078198"/>
  </r>
  <r>
    <s v="22"/>
    <s v="22"/>
    <s v="Klinika nukleární medicíny"/>
    <x v="21"/>
    <s v="2251"/>
    <s v="přístr.pracoviště - PET "/>
    <s v="2251 - přístr.pracoviště - PET "/>
    <s v="50113     Léky a léčiva"/>
    <x v="2"/>
    <x v="2"/>
    <n v="18272.106380000008"/>
    <n v="27808.461345257801"/>
  </r>
  <r>
    <s v="22"/>
    <s v="22"/>
    <s v="Klinika nukleární medicíny"/>
    <x v="21"/>
    <s v="2251"/>
    <s v="přístr.pracoviště - PET "/>
    <s v="2251 - přístr.pracoviště - PET "/>
    <s v="50113001     léky - paušál+TISS (LEK)"/>
    <x v="3"/>
    <x v="0"/>
    <n v="133.74036000000001"/>
    <n v="130.949109612516"/>
  </r>
  <r>
    <s v="22"/>
    <s v="22"/>
    <s v="Klinika nukleární medicíny"/>
    <x v="21"/>
    <s v="2251"/>
    <s v="přístr.pracoviště - PET "/>
    <s v="2251 - přístr.pracoviště - PET "/>
    <s v="50113001     léky - paušál+TISS (LEK)"/>
    <x v="3"/>
    <x v="1"/>
    <n v="89.910550000000001"/>
    <n v="133.84166707326699"/>
  </r>
  <r>
    <s v="22"/>
    <s v="22"/>
    <s v="Klinika nukleární medicíny"/>
    <x v="21"/>
    <s v="2251"/>
    <s v="přístr.pracoviště - PET "/>
    <s v="2251 - přístr.pracoviště - PET "/>
    <s v="50113001     léky - paušál+TISS (LEK)"/>
    <x v="3"/>
    <x v="2"/>
    <n v="41.722479999999997"/>
    <n v="145.59278850032601"/>
  </r>
  <r>
    <s v="22"/>
    <s v="22"/>
    <s v="Klinika nukleární medicíny"/>
    <x v="21"/>
    <s v="2251"/>
    <s v="přístr.pracoviště - PET "/>
    <s v="2251 - přístr.pracoviště - PET "/>
    <s v="50113005     léky - radiofarmaka (KNM)"/>
    <x v="58"/>
    <x v="0"/>
    <n v="27463.529840000007"/>
    <n v="31741.185341758399"/>
  </r>
  <r>
    <s v="22"/>
    <s v="22"/>
    <s v="Klinika nukleární medicíny"/>
    <x v="21"/>
    <s v="2251"/>
    <s v="přístr.pracoviště - PET "/>
    <s v="2251 - přístr.pracoviště - PET "/>
    <s v="50113005     léky - radiofarmaka (KNM)"/>
    <x v="58"/>
    <x v="1"/>
    <n v="23741.215000000011"/>
    <n v="28280.9202548951"/>
  </r>
  <r>
    <s v="22"/>
    <s v="22"/>
    <s v="Klinika nukleární medicíny"/>
    <x v="21"/>
    <s v="2251"/>
    <s v="přístr.pracoviště - PET "/>
    <s v="2251 - přístr.pracoviště - PET "/>
    <s v="50113005     léky - radiofarmaka (KNM)"/>
    <x v="58"/>
    <x v="2"/>
    <n v="15443.714999999998"/>
    <n v="23388.713678002601"/>
  </r>
  <r>
    <s v="22"/>
    <s v="22"/>
    <s v="Klinika nukleární medicíny"/>
    <x v="21"/>
    <s v="2251"/>
    <s v="přístr.pracoviště - PET "/>
    <s v="2251 - přístr.pracoviště - PET "/>
    <s v="50113006     léky - enterální výživa (LEK)"/>
    <x v="4"/>
    <x v="0"/>
    <n v="0"/>
    <n v="103.66775782872899"/>
  </r>
  <r>
    <s v="22"/>
    <s v="22"/>
    <s v="Klinika nukleární medicíny"/>
    <x v="21"/>
    <s v="2251"/>
    <s v="přístr.pracoviště - PET "/>
    <s v="2251 - přístr.pracoviště - PET "/>
    <s v="50113006     léky - enterální výživa (LEK)"/>
    <x v="4"/>
    <x v="1"/>
    <n v="0"/>
    <n v="13.999999999999"/>
  </r>
  <r>
    <s v="22"/>
    <s v="22"/>
    <s v="Klinika nukleární medicíny"/>
    <x v="21"/>
    <s v="2251"/>
    <s v="přístr.pracoviště - PET "/>
    <s v="2251 - přístr.pracoviště - PET "/>
    <s v="50113009     léky - RTG diagnostika ZUL (LEK)"/>
    <x v="22"/>
    <x v="0"/>
    <n v="3632.3648199999989"/>
    <n v="4027.8334290350799"/>
  </r>
  <r>
    <s v="22"/>
    <s v="22"/>
    <s v="Klinika nukleární medicíny"/>
    <x v="21"/>
    <s v="2251"/>
    <s v="přístr.pracoviště - PET "/>
    <s v="2251 - přístr.pracoviště - PET "/>
    <s v="50113009     léky - RTG diagnostika ZUL (LEK)"/>
    <x v="22"/>
    <x v="1"/>
    <n v="3608.395660000001"/>
    <n v="3601.91372510983"/>
  </r>
  <r>
    <s v="22"/>
    <s v="22"/>
    <s v="Klinika nukleární medicíny"/>
    <x v="21"/>
    <s v="2251"/>
    <s v="přístr.pracoviště - PET "/>
    <s v="2251 - přístr.pracoviště - PET "/>
    <s v="50113009     léky - RTG diagnostika ZUL (LEK)"/>
    <x v="22"/>
    <x v="2"/>
    <n v="2786.668900000001"/>
    <n v="4274.15487875491"/>
  </r>
  <r>
    <s v="22"/>
    <s v="22"/>
    <s v="Klinika nukleární medicíny"/>
    <x v="21"/>
    <s v="2251"/>
    <s v="přístr.pracoviště - PET "/>
    <s v="2251 - přístr.pracoviště - PET "/>
    <s v="50115     Zdravotnické prostředky"/>
    <x v="0"/>
    <x v="0"/>
    <n v="1351.5926800000011"/>
    <n v="1372.4321635930701"/>
  </r>
  <r>
    <s v="22"/>
    <s v="22"/>
    <s v="Klinika nukleární medicíny"/>
    <x v="21"/>
    <s v="2251"/>
    <s v="přístr.pracoviště - PET "/>
    <s v="2251 - přístr.pracoviště - PET "/>
    <s v="50115     Zdravotnické prostředky"/>
    <x v="0"/>
    <x v="1"/>
    <n v="1327.9272099999998"/>
    <n v="1351.5056235376401"/>
  </r>
  <r>
    <s v="22"/>
    <s v="22"/>
    <s v="Klinika nukleární medicíny"/>
    <x v="21"/>
    <s v="2251"/>
    <s v="přístr.pracoviště - PET "/>
    <s v="2251 - přístr.pracoviště - PET "/>
    <s v="50115     Zdravotnické prostředky"/>
    <x v="0"/>
    <x v="2"/>
    <n v="874.01320999999984"/>
    <n v="1324.9221269398299"/>
  </r>
  <r>
    <s v="22"/>
    <s v="22"/>
    <s v="Klinika nukleární medicíny"/>
    <x v="21"/>
    <s v="2251"/>
    <s v="přístr.pracoviště - PET "/>
    <s v="2251 - přístr.pracoviště - PET "/>
    <s v="50115020     diagnostika laboratorní-LEK (sk.Z_501)"/>
    <x v="10"/>
    <x v="0"/>
    <n v="0"/>
    <n v="17.451916284766"/>
  </r>
  <r>
    <s v="22"/>
    <s v="22"/>
    <s v="Klinika nukleární medicíny"/>
    <x v="21"/>
    <s v="2251"/>
    <s v="přístr.pracoviště - PET "/>
    <s v="2251 - přístr.pracoviště - PET "/>
    <s v="50115050     obvazový materiál (sk.Z_502)"/>
    <x v="12"/>
    <x v="0"/>
    <n v="16.733620000000002"/>
    <n v="16.791517893457002"/>
  </r>
  <r>
    <s v="22"/>
    <s v="22"/>
    <s v="Klinika nukleární medicíny"/>
    <x v="21"/>
    <s v="2251"/>
    <s v="přístr.pracoviště - PET "/>
    <s v="2251 - přístr.pracoviště - PET "/>
    <s v="50115050     obvazový materiál (sk.Z_502)"/>
    <x v="12"/>
    <x v="1"/>
    <n v="13.866109999999999"/>
    <n v="16.771673113047999"/>
  </r>
  <r>
    <s v="22"/>
    <s v="22"/>
    <s v="Klinika nukleární medicíny"/>
    <x v="21"/>
    <s v="2251"/>
    <s v="přístr.pracoviště - PET "/>
    <s v="2251 - přístr.pracoviště - PET "/>
    <s v="50115050     obvazový materiál (sk.Z_502)"/>
    <x v="12"/>
    <x v="2"/>
    <n v="13.21706"/>
    <n v="21.308003257410999"/>
  </r>
  <r>
    <s v="22"/>
    <s v="22"/>
    <s v="Klinika nukleární medicíny"/>
    <x v="21"/>
    <s v="2251"/>
    <s v="přístr.pracoviště - PET "/>
    <s v="2251 - přístr.pracoviště - PET "/>
    <s v="50115060     ostatní ZPr - mimo níže uvedené (sk.Z_503)"/>
    <x v="1"/>
    <x v="0"/>
    <n v="1278.4219400000009"/>
    <n v="1283.7347851956199"/>
  </r>
  <r>
    <s v="22"/>
    <s v="22"/>
    <s v="Klinika nukleární medicíny"/>
    <x v="21"/>
    <s v="2251"/>
    <s v="přístr.pracoviště - PET "/>
    <s v="2251 - přístr.pracoviště - PET "/>
    <s v="50115060     ostatní ZPr - mimo níže uvedené (sk.Z_503)"/>
    <x v="1"/>
    <x v="1"/>
    <n v="1284.9216800000002"/>
    <n v="1280.41304843948"/>
  </r>
  <r>
    <s v="22"/>
    <s v="22"/>
    <s v="Klinika nukleární medicíny"/>
    <x v="21"/>
    <s v="2251"/>
    <s v="přístr.pracoviště - PET "/>
    <s v="2251 - přístr.pracoviště - PET "/>
    <s v="50115060     ostatní ZPr - mimo níže uvedené (sk.Z_503)"/>
    <x v="1"/>
    <x v="2"/>
    <n v="841.88770999999997"/>
    <n v="1272.38228654156"/>
  </r>
  <r>
    <s v="22"/>
    <s v="22"/>
    <s v="Klinika nukleární medicíny"/>
    <x v="21"/>
    <s v="2251"/>
    <s v="přístr.pracoviště - PET "/>
    <s v="2251 - přístr.pracoviště - PET "/>
    <s v="50115063     ostatní ZPr - vaky, sety (sk.Z_528)"/>
    <x v="13"/>
    <x v="0"/>
    <n v="26.928599999999999"/>
    <n v="25"/>
  </r>
  <r>
    <s v="22"/>
    <s v="22"/>
    <s v="Klinika nukleární medicíny"/>
    <x v="21"/>
    <s v="2251"/>
    <s v="přístr.pracoviště - PET "/>
    <s v="2251 - přístr.pracoviště - PET "/>
    <s v="50115063     ostatní ZPr - vaky, sety (sk.Z_528)"/>
    <x v="13"/>
    <x v="1"/>
    <n v="0"/>
    <n v="24.379913989051001"/>
  </r>
  <r>
    <s v="22"/>
    <s v="22"/>
    <s v="Klinika nukleární medicíny"/>
    <x v="21"/>
    <s v="2251"/>
    <s v="přístr.pracoviště - PET "/>
    <s v="2251 - přístr.pracoviště - PET "/>
    <s v="50115065     ostatní ZPr - vpichovací materiál (sk.Z_530)"/>
    <x v="14"/>
    <x v="0"/>
    <n v="1.2779999999989999"/>
    <n v="0.95009885243000003"/>
  </r>
  <r>
    <s v="22"/>
    <s v="22"/>
    <s v="Klinika nukleární medicíny"/>
    <x v="21"/>
    <s v="2251"/>
    <s v="přístr.pracoviště - PET "/>
    <s v="2251 - přístr.pracoviště - PET "/>
    <s v="50115065     ostatní ZPr - vpichovací materiál (sk.Z_530)"/>
    <x v="14"/>
    <x v="1"/>
    <n v="1.5"/>
    <n v="1.3109925481739999"/>
  </r>
  <r>
    <s v="22"/>
    <s v="22"/>
    <s v="Klinika nukleární medicíny"/>
    <x v="21"/>
    <s v="2251"/>
    <s v="přístr.pracoviště - PET "/>
    <s v="2251 - přístr.pracoviště - PET "/>
    <s v="50115065     ostatní ZPr - vpichovací materiál (sk.Z_530)"/>
    <x v="14"/>
    <x v="2"/>
    <n v="1.17"/>
    <n v="1.502862548083"/>
  </r>
  <r>
    <s v="22"/>
    <s v="22"/>
    <s v="Klinika nukleární medicíny"/>
    <x v="21"/>
    <s v="2251"/>
    <s v="přístr.pracoviště - PET "/>
    <s v="2251 - přístr.pracoviště - PET "/>
    <s v="50115067     ostatní ZPr - rukavice (sk.Z_532)"/>
    <x v="15"/>
    <x v="0"/>
    <n v="28.230520000000006"/>
    <n v="28.503845366798"/>
  </r>
  <r>
    <s v="22"/>
    <s v="22"/>
    <s v="Klinika nukleární medicíny"/>
    <x v="21"/>
    <s v="2251"/>
    <s v="přístr.pracoviště - PET "/>
    <s v="2251 - přístr.pracoviště - PET "/>
    <s v="50115067     ostatní ZPr - rukavice (sk.Z_532)"/>
    <x v="15"/>
    <x v="1"/>
    <n v="27.639419999999994"/>
    <n v="28.629995447892"/>
  </r>
  <r>
    <s v="22"/>
    <s v="22"/>
    <s v="Klinika nukleární medicíny"/>
    <x v="21"/>
    <s v="2251"/>
    <s v="přístr.pracoviště - PET "/>
    <s v="2251 - přístr.pracoviště - PET "/>
    <s v="50115067     ostatní ZPr - rukavice (sk.Z_532)"/>
    <x v="15"/>
    <x v="2"/>
    <n v="17.738440000000001"/>
    <n v="29.728974592781999"/>
  </r>
  <r>
    <s v="22"/>
    <s v="22"/>
    <s v="Klinika nukleární medicíny"/>
    <x v="21"/>
    <s v="2294"/>
    <s v="centrum - KNM"/>
    <s v="2294 - centrum - KNM"/>
    <s v="50113     Léky a léčiva"/>
    <x v="2"/>
    <x v="1"/>
    <n v="1943.8442200000025"/>
    <n v="2000"/>
  </r>
  <r>
    <s v="22"/>
    <s v="22"/>
    <s v="Klinika nukleární medicíny"/>
    <x v="21"/>
    <s v="2294"/>
    <s v="centrum - KNM"/>
    <s v="2294 - centrum - KNM"/>
    <s v="50113     Léky a léčiva"/>
    <x v="2"/>
    <x v="2"/>
    <n v="974.72220999999979"/>
    <n v="2869.5640475467198"/>
  </r>
  <r>
    <s v="22"/>
    <s v="22"/>
    <s v="Klinika nukleární medicíny"/>
    <x v="21"/>
    <s v="2294"/>
    <s v="centrum - KNM"/>
    <s v="2294 - centrum - KNM"/>
    <s v="50113016     léky - spotřeba v centrech (LEK)"/>
    <x v="39"/>
    <x v="1"/>
    <n v="1943.8442200000025"/>
    <n v="2000"/>
  </r>
  <r>
    <s v="22"/>
    <s v="22"/>
    <s v="Klinika nukleární medicíny"/>
    <x v="21"/>
    <s v="2294"/>
    <s v="centrum - KNM"/>
    <s v="2294 - centrum - KNM"/>
    <s v="50113016     léky - spotřeba v centrech (LEK)"/>
    <x v="39"/>
    <x v="2"/>
    <n v="974.72220999999979"/>
    <n v="2869.5640475467198"/>
  </r>
  <r>
    <s v="24"/>
    <s v="24"/>
    <s v="Klinika zubního lékařství"/>
    <x v="22"/>
    <s v="2406"/>
    <s v="IOP - Mod.tech.vyb.v oblasti prevence nozokomiál.infek."/>
    <s v="2406 - IOP - Mod.tech.vyb.v oblasti prevence nozokomiál.infek."/>
    <s v="50115     Zdravotnické prostředky"/>
    <x v="0"/>
    <x v="0"/>
    <n v="0"/>
    <n v="5.7007690733240004"/>
  </r>
  <r>
    <s v="24"/>
    <s v="24"/>
    <s v="Klinika zubního lékařství"/>
    <x v="22"/>
    <s v="2406"/>
    <s v="IOP - Mod.tech.vyb.v oblasti prevence nozokomiál.infek."/>
    <s v="2406 - IOP - Mod.tech.vyb.v oblasti prevence nozokomiál.infek."/>
    <s v="50115067     ostatní ZPr - rukavice (sk.Z_532)"/>
    <x v="15"/>
    <x v="0"/>
    <n v="0"/>
    <n v="5.7007690733240004"/>
  </r>
  <r>
    <s v="24"/>
    <s v="24"/>
    <s v="Klinika zubního lékařství"/>
    <x v="22"/>
    <s v="2421"/>
    <s v="ambulance "/>
    <s v="2421 - ambulance "/>
    <s v="50113     Léky a léčiva"/>
    <x v="2"/>
    <x v="0"/>
    <n v="276.32427000000001"/>
    <n v="249.99974177060599"/>
  </r>
  <r>
    <s v="24"/>
    <s v="24"/>
    <s v="Klinika zubního lékařství"/>
    <x v="22"/>
    <s v="2421"/>
    <s v="ambulance "/>
    <s v="2421 - ambulance "/>
    <s v="50113     Léky a léčiva"/>
    <x v="2"/>
    <x v="1"/>
    <n v="294.83588000000003"/>
    <n v="275.76606941463501"/>
  </r>
  <r>
    <s v="24"/>
    <s v="24"/>
    <s v="Klinika zubního lékařství"/>
    <x v="22"/>
    <s v="2421"/>
    <s v="ambulance "/>
    <s v="2421 - ambulance "/>
    <s v="50113     Léky a léčiva"/>
    <x v="2"/>
    <x v="2"/>
    <n v="235.8963"/>
    <n v="305.37575845912698"/>
  </r>
  <r>
    <s v="24"/>
    <s v="24"/>
    <s v="Klinika zubního lékařství"/>
    <x v="22"/>
    <s v="2421"/>
    <s v="ambulance "/>
    <s v="2421 - ambulance "/>
    <s v="50113001     léky - paušál+TISS (LEK)"/>
    <x v="3"/>
    <x v="0"/>
    <n v="254.01763"/>
    <n v="244.33301712349299"/>
  </r>
  <r>
    <s v="24"/>
    <s v="24"/>
    <s v="Klinika zubního lékařství"/>
    <x v="22"/>
    <s v="2421"/>
    <s v="ambulance "/>
    <s v="2421 - ambulance "/>
    <s v="50113001     léky - paušál+TISS (LEK)"/>
    <x v="3"/>
    <x v="1"/>
    <n v="249.32192000000001"/>
    <n v="254.21004598163501"/>
  </r>
  <r>
    <s v="24"/>
    <s v="24"/>
    <s v="Klinika zubního lékařství"/>
    <x v="22"/>
    <s v="2421"/>
    <s v="ambulance "/>
    <s v="2421 - ambulance "/>
    <s v="50113001     léky - paušál+TISS (LEK)"/>
    <x v="3"/>
    <x v="2"/>
    <n v="195.77706000000001"/>
    <n v="255.99999193662001"/>
  </r>
  <r>
    <s v="24"/>
    <s v="24"/>
    <s v="Klinika zubního lékařství"/>
    <x v="22"/>
    <s v="2421"/>
    <s v="ambulance "/>
    <s v="2421 - ambulance "/>
    <s v="50113013     léky (paušál) - antibiotika (LEK)"/>
    <x v="7"/>
    <x v="0"/>
    <n v="3.8744400000000003"/>
    <n v="5.6667246471119999"/>
  </r>
  <r>
    <s v="24"/>
    <s v="24"/>
    <s v="Klinika zubního lékařství"/>
    <x v="22"/>
    <s v="2421"/>
    <s v="ambulance "/>
    <s v="2421 - ambulance "/>
    <s v="50113013     léky (paušál) - antibiotika (LEK)"/>
    <x v="7"/>
    <x v="1"/>
    <n v="1.69896"/>
    <n v="3.9215472014869999"/>
  </r>
  <r>
    <s v="24"/>
    <s v="24"/>
    <s v="Klinika zubního lékařství"/>
    <x v="22"/>
    <s v="2421"/>
    <s v="ambulance "/>
    <s v="2421 - ambulance "/>
    <s v="50113013     léky (paušál) - antibiotika (LEK)"/>
    <x v="7"/>
    <x v="2"/>
    <n v="1.45109"/>
    <n v="1.2833468323720001"/>
  </r>
  <r>
    <s v="24"/>
    <s v="24"/>
    <s v="Klinika zubního lékařství"/>
    <x v="22"/>
    <s v="2421"/>
    <s v="ambulance "/>
    <s v="2421 - ambulance "/>
    <s v="50113014     léky (paušál) - antimykotika (LEK)"/>
    <x v="8"/>
    <x v="2"/>
    <n v="0.10105"/>
    <n v="0"/>
  </r>
  <r>
    <s v="24"/>
    <s v="24"/>
    <s v="Klinika zubního lékařství"/>
    <x v="22"/>
    <s v="2421"/>
    <s v="ambulance "/>
    <s v="2421 - ambulance "/>
    <s v="50113190     medicinální plyny"/>
    <x v="9"/>
    <x v="0"/>
    <n v="18.432200000000002"/>
    <n v="0"/>
  </r>
  <r>
    <s v="24"/>
    <s v="24"/>
    <s v="Klinika zubního lékařství"/>
    <x v="22"/>
    <s v="2421"/>
    <s v="ambulance "/>
    <s v="2421 - ambulance "/>
    <s v="50113190     medicinální plyny"/>
    <x v="9"/>
    <x v="1"/>
    <n v="43.815000000000005"/>
    <n v="17.634476231511002"/>
  </r>
  <r>
    <s v="24"/>
    <s v="24"/>
    <s v="Klinika zubního lékařství"/>
    <x v="22"/>
    <s v="2421"/>
    <s v="ambulance "/>
    <s v="2421 - ambulance "/>
    <s v="50113190     medicinální plyny"/>
    <x v="9"/>
    <x v="2"/>
    <n v="38.567099999999996"/>
    <n v="48.092419690134001"/>
  </r>
  <r>
    <s v="24"/>
    <s v="24"/>
    <s v="Klinika zubního lékařství"/>
    <x v="22"/>
    <s v="2421"/>
    <s v="ambulance "/>
    <s v="2421 - ambulance "/>
    <s v="50115     Zdravotnické prostředky"/>
    <x v="0"/>
    <x v="0"/>
    <n v="3834.3476900000019"/>
    <n v="4069.2760741895199"/>
  </r>
  <r>
    <s v="24"/>
    <s v="24"/>
    <s v="Klinika zubního lékařství"/>
    <x v="22"/>
    <s v="2421"/>
    <s v="ambulance "/>
    <s v="2421 - ambulance "/>
    <s v="50115     Zdravotnické prostředky"/>
    <x v="0"/>
    <x v="1"/>
    <n v="3858.9077300000008"/>
    <n v="3908.1860427184201"/>
  </r>
  <r>
    <s v="24"/>
    <s v="24"/>
    <s v="Klinika zubního lékařství"/>
    <x v="22"/>
    <s v="2421"/>
    <s v="ambulance "/>
    <s v="2421 - ambulance "/>
    <s v="50115     Zdravotnické prostředky"/>
    <x v="0"/>
    <x v="2"/>
    <n v="2717.1592000000014"/>
    <n v="3887.7751075444999"/>
  </r>
  <r>
    <s v="24"/>
    <s v="24"/>
    <s v="Klinika zubního lékařství"/>
    <x v="22"/>
    <s v="2421"/>
    <s v="ambulance "/>
    <s v="2421 - ambulance "/>
    <s v="50115004     implant.umělé těl.náhr.-kovové (s.Z_506)"/>
    <x v="25"/>
    <x v="0"/>
    <n v="2.4112099999999996"/>
    <n v="38.760671652893002"/>
  </r>
  <r>
    <s v="24"/>
    <s v="24"/>
    <s v="Klinika zubního lékařství"/>
    <x v="22"/>
    <s v="2421"/>
    <s v="ambulance "/>
    <s v="2421 - ambulance "/>
    <s v="50115004     implant.umělé těl.náhr.-kovové (s.Z_506)"/>
    <x v="25"/>
    <x v="1"/>
    <n v="0"/>
    <n v="2.9999989231200002"/>
  </r>
  <r>
    <s v="24"/>
    <s v="24"/>
    <s v="Klinika zubního lékařství"/>
    <x v="22"/>
    <s v="2421"/>
    <s v="ambulance "/>
    <s v="2421 - ambulance "/>
    <s v="50115020     diagnostika laboratorní-LEK (sk.Z_501)"/>
    <x v="10"/>
    <x v="0"/>
    <n v="0.22645999999999999"/>
    <n v="0.91849790972099998"/>
  </r>
  <r>
    <s v="24"/>
    <s v="24"/>
    <s v="Klinika zubního lékařství"/>
    <x v="22"/>
    <s v="2421"/>
    <s v="ambulance "/>
    <s v="2421 - ambulance "/>
    <s v="50115020     diagnostika laboratorní-LEK (sk.Z_501)"/>
    <x v="10"/>
    <x v="1"/>
    <n v="0"/>
    <n v="0.22645976014399999"/>
  </r>
  <r>
    <s v="24"/>
    <s v="24"/>
    <s v="Klinika zubního lékařství"/>
    <x v="22"/>
    <s v="2421"/>
    <s v="ambulance "/>
    <s v="2421 - ambulance "/>
    <s v="50115040     laboratorní materiál (sk.Z_505)"/>
    <x v="11"/>
    <x v="0"/>
    <n v="0.38769999999999999"/>
    <n v="3.3538915592479999"/>
  </r>
  <r>
    <s v="24"/>
    <s v="24"/>
    <s v="Klinika zubního lékařství"/>
    <x v="22"/>
    <s v="2421"/>
    <s v="ambulance "/>
    <s v="2421 - ambulance "/>
    <s v="50115040     laboratorní materiál (sk.Z_505)"/>
    <x v="11"/>
    <x v="1"/>
    <n v="0.77522999999999997"/>
    <n v="1.3877245097040001"/>
  </r>
  <r>
    <s v="24"/>
    <s v="24"/>
    <s v="Klinika zubního lékařství"/>
    <x v="22"/>
    <s v="2421"/>
    <s v="ambulance "/>
    <s v="2421 - ambulance "/>
    <s v="50115040     laboratorní materiál (sk.Z_505)"/>
    <x v="11"/>
    <x v="2"/>
    <n v="0"/>
    <n v="0.77522997558200002"/>
  </r>
  <r>
    <s v="24"/>
    <s v="24"/>
    <s v="Klinika zubního lékařství"/>
    <x v="22"/>
    <s v="2421"/>
    <s v="ambulance "/>
    <s v="2421 - ambulance "/>
    <s v="50115050     obvazový materiál (sk.Z_502)"/>
    <x v="12"/>
    <x v="0"/>
    <n v="53.079820000000005"/>
    <n v="51.353321477169999"/>
  </r>
  <r>
    <s v="24"/>
    <s v="24"/>
    <s v="Klinika zubního lékařství"/>
    <x v="22"/>
    <s v="2421"/>
    <s v="ambulance "/>
    <s v="2421 - ambulance "/>
    <s v="50115050     obvazový materiál (sk.Z_502)"/>
    <x v="12"/>
    <x v="1"/>
    <n v="58.391559999999998"/>
    <n v="54.200525703906003"/>
  </r>
  <r>
    <s v="24"/>
    <s v="24"/>
    <s v="Klinika zubního lékařství"/>
    <x v="22"/>
    <s v="2421"/>
    <s v="ambulance "/>
    <s v="2421 - ambulance "/>
    <s v="50115050     obvazový materiál (sk.Z_502)"/>
    <x v="12"/>
    <x v="2"/>
    <n v="49.016609999998991"/>
    <n v="60.999998078647003"/>
  </r>
  <r>
    <s v="24"/>
    <s v="24"/>
    <s v="Klinika zubního lékařství"/>
    <x v="22"/>
    <s v="2421"/>
    <s v="ambulance "/>
    <s v="2421 - ambulance "/>
    <s v="50115060     ostatní ZPr - mimo níže uvedené (sk.Z_503)"/>
    <x v="1"/>
    <x v="0"/>
    <n v="72.822600000000008"/>
    <n v="83.924903477293995"/>
  </r>
  <r>
    <s v="24"/>
    <s v="24"/>
    <s v="Klinika zubního lékařství"/>
    <x v="22"/>
    <s v="2421"/>
    <s v="ambulance "/>
    <s v="2421 - ambulance "/>
    <s v="50115060     ostatní ZPr - mimo níže uvedené (sk.Z_503)"/>
    <x v="1"/>
    <x v="1"/>
    <n v="83.550460000000001"/>
    <n v="74.822096011097997"/>
  </r>
  <r>
    <s v="24"/>
    <s v="24"/>
    <s v="Klinika zubního lékařství"/>
    <x v="22"/>
    <s v="2421"/>
    <s v="ambulance "/>
    <s v="2421 - ambulance "/>
    <s v="50115060     ostatní ZPr - mimo níže uvedené (sk.Z_503)"/>
    <x v="1"/>
    <x v="2"/>
    <n v="50.012759999999993"/>
    <n v="87.999997228213005"/>
  </r>
  <r>
    <s v="24"/>
    <s v="24"/>
    <s v="Klinika zubního lékařství"/>
    <x v="22"/>
    <s v="2421"/>
    <s v="ambulance "/>
    <s v="2421 - ambulance "/>
    <s v="50115064     ostatní ZPr - šicí materiál (sk.Z_529)"/>
    <x v="21"/>
    <x v="0"/>
    <n v="75.05543999999999"/>
    <n v="92.408015352977998"/>
  </r>
  <r>
    <s v="24"/>
    <s v="24"/>
    <s v="Klinika zubního lékařství"/>
    <x v="22"/>
    <s v="2421"/>
    <s v="ambulance "/>
    <s v="2421 - ambulance "/>
    <s v="50115064     ostatní ZPr - šicí materiál (sk.Z_529)"/>
    <x v="21"/>
    <x v="1"/>
    <n v="73.231430000000003"/>
    <n v="71.585487819205994"/>
  </r>
  <r>
    <s v="24"/>
    <s v="24"/>
    <s v="Klinika zubního lékařství"/>
    <x v="22"/>
    <s v="2421"/>
    <s v="ambulance "/>
    <s v="2421 - ambulance "/>
    <s v="50115064     ostatní ZPr - šicí materiál (sk.Z_529)"/>
    <x v="21"/>
    <x v="2"/>
    <n v="52.126620000000003"/>
    <n v="74.999997637681005"/>
  </r>
  <r>
    <s v="24"/>
    <s v="24"/>
    <s v="Klinika zubního lékařství"/>
    <x v="22"/>
    <s v="2421"/>
    <s v="ambulance "/>
    <s v="2421 - ambulance "/>
    <s v="50115065     ostatní ZPr - vpichovací materiál (sk.Z_530)"/>
    <x v="14"/>
    <x v="0"/>
    <n v="5.8429999999989999"/>
    <n v="9.0263001500409992"/>
  </r>
  <r>
    <s v="24"/>
    <s v="24"/>
    <s v="Klinika zubního lékařství"/>
    <x v="22"/>
    <s v="2421"/>
    <s v="ambulance "/>
    <s v="2421 - ambulance "/>
    <s v="50115065     ostatní ZPr - vpichovací materiál (sk.Z_530)"/>
    <x v="14"/>
    <x v="1"/>
    <n v="5.9203900000000012"/>
    <n v="5.9938415171989998"/>
  </r>
  <r>
    <s v="24"/>
    <s v="24"/>
    <s v="Klinika zubního lékařství"/>
    <x v="22"/>
    <s v="2421"/>
    <s v="ambulance "/>
    <s v="2421 - ambulance "/>
    <s v="50115065     ostatní ZPr - vpichovací materiál (sk.Z_530)"/>
    <x v="14"/>
    <x v="2"/>
    <n v="4.3887999999999998"/>
    <n v="5.9999998110139998"/>
  </r>
  <r>
    <s v="24"/>
    <s v="24"/>
    <s v="Klinika zubního lékařství"/>
    <x v="22"/>
    <s v="2421"/>
    <s v="ambulance "/>
    <s v="2421 - ambulance "/>
    <s v="50115067     ostatní ZPr - rukavice (sk.Z_532)"/>
    <x v="15"/>
    <x v="0"/>
    <n v="158.78915000000001"/>
    <n v="155.026305539372"/>
  </r>
  <r>
    <s v="24"/>
    <s v="24"/>
    <s v="Klinika zubního lékařství"/>
    <x v="22"/>
    <s v="2421"/>
    <s v="ambulance "/>
    <s v="2421 - ambulance "/>
    <s v="50115067     ostatní ZPr - rukavice (sk.Z_532)"/>
    <x v="15"/>
    <x v="1"/>
    <n v="181.35648999999998"/>
    <n v="165.03610098861901"/>
  </r>
  <r>
    <s v="24"/>
    <s v="24"/>
    <s v="Klinika zubního lékařství"/>
    <x v="22"/>
    <s v="2421"/>
    <s v="ambulance "/>
    <s v="2421 - ambulance "/>
    <s v="50115067     ostatní ZPr - rukavice (sk.Z_532)"/>
    <x v="15"/>
    <x v="2"/>
    <n v="133.51475000000002"/>
    <n v="178.999994361934"/>
  </r>
  <r>
    <s v="24"/>
    <s v="24"/>
    <s v="Klinika zubního lékařství"/>
    <x v="22"/>
    <s v="2421"/>
    <s v="ambulance "/>
    <s v="2421 - ambulance "/>
    <s v="50115070     ostatní ZPr - katetry (sk.Z_513)"/>
    <x v="16"/>
    <x v="0"/>
    <n v="0"/>
    <n v="1.3080463177899999"/>
  </r>
  <r>
    <s v="24"/>
    <s v="24"/>
    <s v="Klinika zubního lékařství"/>
    <x v="22"/>
    <s v="2421"/>
    <s v="ambulance "/>
    <s v="2421 - ambulance "/>
    <s v="50115079     ostatní ZPr - intenzivní péče (sk.Z_542)"/>
    <x v="18"/>
    <x v="2"/>
    <n v="7.4749999999999997E-2"/>
    <n v="0"/>
  </r>
  <r>
    <s v="24"/>
    <s v="24"/>
    <s v="Klinika zubního lékařství"/>
    <x v="22"/>
    <s v="2421"/>
    <s v="ambulance "/>
    <s v="2421 - ambulance "/>
    <s v="50115090     ostatní ZPr - zubolékařský materiál (sk.Z_509)"/>
    <x v="51"/>
    <x v="0"/>
    <n v="3465.7323100000012"/>
    <n v="3633.1961207530098"/>
  </r>
  <r>
    <s v="24"/>
    <s v="24"/>
    <s v="Klinika zubního lékařství"/>
    <x v="22"/>
    <s v="2421"/>
    <s v="ambulance "/>
    <s v="2421 - ambulance "/>
    <s v="50115090     ostatní ZPr - zubolékařský materiál (sk.Z_509)"/>
    <x v="51"/>
    <x v="1"/>
    <n v="3455.6821700000005"/>
    <n v="3531.9338074854199"/>
  </r>
  <r>
    <s v="24"/>
    <s v="24"/>
    <s v="Klinika zubního lékařství"/>
    <x v="22"/>
    <s v="2421"/>
    <s v="ambulance "/>
    <s v="2421 - ambulance "/>
    <s v="50115090     ostatní ZPr - zubolékařský materiál (sk.Z_509)"/>
    <x v="51"/>
    <x v="2"/>
    <n v="2428.0249100000001"/>
    <n v="3477.99989045143"/>
  </r>
  <r>
    <s v="25"/>
    <s v="25"/>
    <s v="Klinika ústní,čelistní a obličejové chirurgie"/>
    <x v="23"/>
    <s v="2501"/>
    <s v="vedení klinického pracoviště"/>
    <s v="2501 - vedení klinického pracoviště"/>
    <s v="50113     Léky a léčiva"/>
    <x v="2"/>
    <x v="0"/>
    <n v="0"/>
    <n v="0.13485809789200001"/>
  </r>
  <r>
    <s v="25"/>
    <s v="25"/>
    <s v="Klinika ústní,čelistní a obličejové chirurgie"/>
    <x v="23"/>
    <s v="2501"/>
    <s v="vedení klinického pracoviště"/>
    <s v="2501 - vedení klinického pracoviště"/>
    <s v="50113001     léky - paušál+TISS (LEK)"/>
    <x v="3"/>
    <x v="0"/>
    <n v="0"/>
    <n v="0.13485809789200001"/>
  </r>
  <r>
    <s v="25"/>
    <s v="25"/>
    <s v="Klinika ústní,čelistní a obličejové chirurgie"/>
    <x v="23"/>
    <s v="2511"/>
    <s v="lůžkové oddělení 33"/>
    <s v="2511 - lůžkové oddělení 33"/>
    <s v="50113     Léky a léčiva"/>
    <x v="2"/>
    <x v="0"/>
    <n v="857.56133999999997"/>
    <n v="424.64803801074999"/>
  </r>
  <r>
    <s v="25"/>
    <s v="25"/>
    <s v="Klinika ústní,čelistní a obličejové chirurgie"/>
    <x v="23"/>
    <s v="2511"/>
    <s v="lůžkové oddělení 33"/>
    <s v="2511 - lůžkové oddělení 33"/>
    <s v="50113     Léky a léčiva"/>
    <x v="2"/>
    <x v="1"/>
    <n v="517.96182999999996"/>
    <n v="553.09984767402204"/>
  </r>
  <r>
    <s v="25"/>
    <s v="25"/>
    <s v="Klinika ústní,čelistní a obličejové chirurgie"/>
    <x v="23"/>
    <s v="2511"/>
    <s v="lůžkové oddělení 33"/>
    <s v="2511 - lůžkové oddělení 33"/>
    <s v="50113     Léky a léčiva"/>
    <x v="2"/>
    <x v="2"/>
    <n v="572.00694999999996"/>
    <n v="697.70195823462097"/>
  </r>
  <r>
    <s v="25"/>
    <s v="25"/>
    <s v="Klinika ústní,čelistní a obličejové chirurgie"/>
    <x v="23"/>
    <s v="2511"/>
    <s v="lůžkové oddělení 33"/>
    <s v="2511 - lůžkové oddělení 33"/>
    <s v="50113001     léky - paušál+TISS (LEK)"/>
    <x v="3"/>
    <x v="0"/>
    <n v="203.53714000000002"/>
    <n v="204.850027320165"/>
  </r>
  <r>
    <s v="25"/>
    <s v="25"/>
    <s v="Klinika ústní,čelistní a obličejové chirurgie"/>
    <x v="23"/>
    <s v="2511"/>
    <s v="lůžkové oddělení 33"/>
    <s v="2511 - lůžkové oddělení 33"/>
    <s v="50113001     léky - paušál+TISS (LEK)"/>
    <x v="3"/>
    <x v="1"/>
    <n v="168.43707000000001"/>
    <n v="207.98837669192"/>
  </r>
  <r>
    <s v="25"/>
    <s v="25"/>
    <s v="Klinika ústní,čelistní a obličejové chirurgie"/>
    <x v="23"/>
    <s v="2511"/>
    <s v="lůžkové oddělení 33"/>
    <s v="2511 - lůžkové oddělení 33"/>
    <s v="50113001     léky - paušál+TISS (LEK)"/>
    <x v="3"/>
    <x v="2"/>
    <n v="214.70962"/>
    <n v="261.99999329101598"/>
  </r>
  <r>
    <s v="25"/>
    <s v="25"/>
    <s v="Klinika ústní,čelistní a obličejové chirurgie"/>
    <x v="23"/>
    <s v="2511"/>
    <s v="lůžkové oddělení 33"/>
    <s v="2511 - lůžkové oddělení 33"/>
    <s v="50113002     léky - parenterální výživa (LEK)"/>
    <x v="17"/>
    <x v="2"/>
    <n v="1.8372599999999999"/>
    <n v="2"/>
  </r>
  <r>
    <s v="25"/>
    <s v="25"/>
    <s v="Klinika ústní,čelistní a obličejové chirurgie"/>
    <x v="23"/>
    <s v="2511"/>
    <s v="lůžkové oddělení 33"/>
    <s v="2511 - lůžkové oddělení 33"/>
    <s v="50113006     léky - enterální výživa (LEK)"/>
    <x v="4"/>
    <x v="0"/>
    <n v="35.77026"/>
    <n v="15.491485606792001"/>
  </r>
  <r>
    <s v="25"/>
    <s v="25"/>
    <s v="Klinika ústní,čelistní a obličejové chirurgie"/>
    <x v="23"/>
    <s v="2511"/>
    <s v="lůžkové oddělení 33"/>
    <s v="2511 - lůžkové oddělení 33"/>
    <s v="50113006     léky - enterální výživa (LEK)"/>
    <x v="4"/>
    <x v="1"/>
    <n v="105.09923000000001"/>
    <n v="97.716818699797003"/>
  </r>
  <r>
    <s v="25"/>
    <s v="25"/>
    <s v="Klinika ústní,čelistní a obličejové chirurgie"/>
    <x v="23"/>
    <s v="2511"/>
    <s v="lůžkové oddělení 33"/>
    <s v="2511 - lůžkové oddělení 33"/>
    <s v="50113006     léky - enterální výživa (LEK)"/>
    <x v="4"/>
    <x v="2"/>
    <n v="45.412590000000002"/>
    <n v="100"/>
  </r>
  <r>
    <s v="25"/>
    <s v="25"/>
    <s v="Klinika ústní,čelistní a obličejové chirurgie"/>
    <x v="23"/>
    <s v="2511"/>
    <s v="lůžkové oddělení 33"/>
    <s v="2511 - lůžkové oddělení 33"/>
    <s v="50113008     léky - krev.deriváty ZUL (TO)"/>
    <x v="5"/>
    <x v="0"/>
    <n v="1.40754"/>
    <n v="0"/>
  </r>
  <r>
    <s v="25"/>
    <s v="25"/>
    <s v="Klinika ústní,čelistní a obličejové chirurgie"/>
    <x v="23"/>
    <s v="2511"/>
    <s v="lůžkové oddělení 33"/>
    <s v="2511 - lůžkové oddělení 33"/>
    <s v="50113008     léky - krev.deriváty ZUL (TO)"/>
    <x v="5"/>
    <x v="1"/>
    <n v="34.085999999999999"/>
    <n v="1.4070134381499999"/>
  </r>
  <r>
    <s v="25"/>
    <s v="25"/>
    <s v="Klinika ústní,čelistní a obličejové chirurgie"/>
    <x v="23"/>
    <s v="2511"/>
    <s v="lůžkové oddělení 33"/>
    <s v="2511 - lůžkové oddělení 33"/>
    <s v="50113008     léky - krev.deriváty ZUL (TO)"/>
    <x v="5"/>
    <x v="2"/>
    <n v="30.992599999999999"/>
    <n v="34.434622133315003"/>
  </r>
  <r>
    <s v="25"/>
    <s v="25"/>
    <s v="Klinika ústní,čelistní a obličejové chirurgie"/>
    <x v="23"/>
    <s v="2511"/>
    <s v="lůžkové oddělení 33"/>
    <s v="2511 - lůžkové oddělení 33"/>
    <s v="50113011     léky - hemofilici ZUL (TO)"/>
    <x v="6"/>
    <x v="0"/>
    <n v="442.20069000000001"/>
    <n v="39.999583895983001"/>
  </r>
  <r>
    <s v="25"/>
    <s v="25"/>
    <s v="Klinika ústní,čelistní a obličejové chirurgie"/>
    <x v="23"/>
    <s v="2511"/>
    <s v="lůžkové oddělení 33"/>
    <s v="2511 - lůžkové oddělení 33"/>
    <s v="50113011     léky - hemofilici ZUL (TO)"/>
    <x v="6"/>
    <x v="1"/>
    <n v="13.33797"/>
    <n v="50"/>
  </r>
  <r>
    <s v="25"/>
    <s v="25"/>
    <s v="Klinika ústní,čelistní a obličejové chirurgie"/>
    <x v="23"/>
    <s v="2511"/>
    <s v="lůžkové oddělení 33"/>
    <s v="2511 - lůžkové oddělení 33"/>
    <s v="50113011     léky - hemofilici ZUL (TO)"/>
    <x v="6"/>
    <x v="2"/>
    <n v="90.292699999999996"/>
    <n v="18.999999401545999"/>
  </r>
  <r>
    <s v="25"/>
    <s v="25"/>
    <s v="Klinika ústní,čelistní a obličejové chirurgie"/>
    <x v="23"/>
    <s v="2511"/>
    <s v="lůžkové oddělení 33"/>
    <s v="2511 - lůžkové oddělení 33"/>
    <s v="50113013     léky (paušál) - antibiotika (LEK)"/>
    <x v="7"/>
    <x v="0"/>
    <n v="169.79612"/>
    <n v="157.01525484624301"/>
  </r>
  <r>
    <s v="25"/>
    <s v="25"/>
    <s v="Klinika ústní,čelistní a obličejové chirurgie"/>
    <x v="23"/>
    <s v="2511"/>
    <s v="lůžkové oddělení 33"/>
    <s v="2511 - lůžkové oddělení 33"/>
    <s v="50113013     léky (paušál) - antibiotika (LEK)"/>
    <x v="7"/>
    <x v="1"/>
    <n v="186.64929000000001"/>
    <n v="193.98750323799501"/>
  </r>
  <r>
    <s v="25"/>
    <s v="25"/>
    <s v="Klinika ústní,čelistní a obličejové chirurgie"/>
    <x v="23"/>
    <s v="2511"/>
    <s v="lůžkové oddělení 33"/>
    <s v="2511 - lůžkové oddělení 33"/>
    <s v="50113013     léky (paušál) - antibiotika (LEK)"/>
    <x v="7"/>
    <x v="2"/>
    <n v="124.15011"/>
    <n v="264.16695619823003"/>
  </r>
  <r>
    <s v="25"/>
    <s v="25"/>
    <s v="Klinika ústní,čelistní a obličejové chirurgie"/>
    <x v="23"/>
    <s v="2511"/>
    <s v="lůžkové oddělení 33"/>
    <s v="2511 - lůžkové oddělení 33"/>
    <s v="50113014     léky (paušál) - antimykotika (LEK)"/>
    <x v="8"/>
    <x v="0"/>
    <n v="4.849589999999"/>
    <n v="3.9934664777890001"/>
  </r>
  <r>
    <s v="25"/>
    <s v="25"/>
    <s v="Klinika ústní,čelistní a obličejové chirurgie"/>
    <x v="23"/>
    <s v="2511"/>
    <s v="lůžkové oddělení 33"/>
    <s v="2511 - lůžkové oddělení 33"/>
    <s v="50113014     léky (paušál) - antimykotika (LEK)"/>
    <x v="8"/>
    <x v="1"/>
    <n v="8.4386700000000001"/>
    <n v="2.0001356061590001"/>
  </r>
  <r>
    <s v="25"/>
    <s v="25"/>
    <s v="Klinika ústní,čelistní a obličejové chirurgie"/>
    <x v="23"/>
    <s v="2511"/>
    <s v="lůžkové oddělení 33"/>
    <s v="2511 - lůžkové oddělení 33"/>
    <s v="50113014     léky (paušál) - antimykotika (LEK)"/>
    <x v="8"/>
    <x v="2"/>
    <n v="64.612070000000003"/>
    <n v="12.652186963146001"/>
  </r>
  <r>
    <s v="25"/>
    <s v="25"/>
    <s v="Klinika ústní,čelistní a obličejové chirurgie"/>
    <x v="23"/>
    <s v="2511"/>
    <s v="lůžkové oddělení 33"/>
    <s v="2511 - lůžkové oddělení 33"/>
    <s v="50113190     medicinální plyny"/>
    <x v="9"/>
    <x v="0"/>
    <n v="0"/>
    <n v="3.2982198637760001"/>
  </r>
  <r>
    <s v="25"/>
    <s v="25"/>
    <s v="Klinika ústní,čelistní a obličejové chirurgie"/>
    <x v="23"/>
    <s v="2511"/>
    <s v="lůžkové oddělení 33"/>
    <s v="2511 - lůžkové oddělení 33"/>
    <s v="50113190     medicinální plyny"/>
    <x v="9"/>
    <x v="1"/>
    <n v="1.9136"/>
    <n v="0"/>
  </r>
  <r>
    <s v="25"/>
    <s v="25"/>
    <s v="Klinika ústní,čelistní a obličejové chirurgie"/>
    <x v="23"/>
    <s v="2511"/>
    <s v="lůžkové oddělení 33"/>
    <s v="2511 - lůžkové oddělení 33"/>
    <s v="50113190     medicinální plyny"/>
    <x v="9"/>
    <x v="2"/>
    <n v="0"/>
    <n v="3.4482002473670001"/>
  </r>
  <r>
    <s v="25"/>
    <s v="25"/>
    <s v="Klinika ústní,čelistní a obličejové chirurgie"/>
    <x v="23"/>
    <s v="2511"/>
    <s v="lůžkové oddělení 33"/>
    <s v="2511 - lůžkové oddělení 33"/>
    <s v="50115     Zdravotnické prostředky"/>
    <x v="0"/>
    <x v="0"/>
    <n v="609.41354999999999"/>
    <n v="133.811875538219"/>
  </r>
  <r>
    <s v="25"/>
    <s v="25"/>
    <s v="Klinika ústní,čelistní a obličejové chirurgie"/>
    <x v="23"/>
    <s v="2511"/>
    <s v="lůžkové oddělení 33"/>
    <s v="2511 - lůžkové oddělení 33"/>
    <s v="50115     Zdravotnické prostředky"/>
    <x v="0"/>
    <x v="1"/>
    <n v="234.27969999999999"/>
    <n v="226.777824258463"/>
  </r>
  <r>
    <s v="25"/>
    <s v="25"/>
    <s v="Klinika ústní,čelistní a obličejové chirurgie"/>
    <x v="23"/>
    <s v="2511"/>
    <s v="lůžkové oddělení 33"/>
    <s v="2511 - lůžkové oddělení 33"/>
    <s v="50115     Zdravotnické prostředky"/>
    <x v="0"/>
    <x v="2"/>
    <n v="150.24866"/>
    <n v="223.66747068087801"/>
  </r>
  <r>
    <s v="25"/>
    <s v="25"/>
    <s v="Klinika ústní,čelistní a obličejové chirurgie"/>
    <x v="23"/>
    <s v="2511"/>
    <s v="lůžkové oddělení 33"/>
    <s v="2511 - lůžkové oddělení 33"/>
    <s v="50115020     diagnostika laboratorní-LEK (sk.Z_501)"/>
    <x v="10"/>
    <x v="0"/>
    <n v="0.43134"/>
    <n v="0"/>
  </r>
  <r>
    <s v="25"/>
    <s v="25"/>
    <s v="Klinika ústní,čelistní a obličejové chirurgie"/>
    <x v="23"/>
    <s v="2511"/>
    <s v="lůžkové oddělení 33"/>
    <s v="2511 - lůžkové oddělení 33"/>
    <s v="50115020     diagnostika laboratorní-LEK (sk.Z_501)"/>
    <x v="10"/>
    <x v="1"/>
    <n v="0.71020000000000005"/>
    <n v="1.431339543145"/>
  </r>
  <r>
    <s v="25"/>
    <s v="25"/>
    <s v="Klinika ústní,čelistní a obličejové chirurgie"/>
    <x v="23"/>
    <s v="2511"/>
    <s v="lůžkové oddělení 33"/>
    <s v="2511 - lůžkové oddělení 33"/>
    <s v="50115020     diagnostika laboratorní-LEK (sk.Z_501)"/>
    <x v="10"/>
    <x v="2"/>
    <n v="0.27888000000000002"/>
    <n v="1.267919960063"/>
  </r>
  <r>
    <s v="25"/>
    <s v="25"/>
    <s v="Klinika ústní,čelistní a obličejové chirurgie"/>
    <x v="23"/>
    <s v="2511"/>
    <s v="lůžkové oddělení 33"/>
    <s v="2511 - lůžkové oddělení 33"/>
    <s v="50115050     obvazový materiál (sk.Z_502)"/>
    <x v="12"/>
    <x v="0"/>
    <n v="31.128720000000001"/>
    <n v="15.630062815051"/>
  </r>
  <r>
    <s v="25"/>
    <s v="25"/>
    <s v="Klinika ústní,čelistní a obličejové chirurgie"/>
    <x v="23"/>
    <s v="2511"/>
    <s v="lůžkové oddělení 33"/>
    <s v="2511 - lůžkové oddělení 33"/>
    <s v="50115050     obvazový materiál (sk.Z_502)"/>
    <x v="12"/>
    <x v="1"/>
    <n v="39.359650000000002"/>
    <n v="33.199511541905999"/>
  </r>
  <r>
    <s v="25"/>
    <s v="25"/>
    <s v="Klinika ústní,čelistní a obličejové chirurgie"/>
    <x v="23"/>
    <s v="2511"/>
    <s v="lůžkové oddělení 33"/>
    <s v="2511 - lůžkové oddělení 33"/>
    <s v="50115050     obvazový materiál (sk.Z_502)"/>
    <x v="12"/>
    <x v="2"/>
    <n v="24.347719999999999"/>
    <n v="33.094416257924003"/>
  </r>
  <r>
    <s v="25"/>
    <s v="25"/>
    <s v="Klinika ústní,čelistní a obličejové chirurgie"/>
    <x v="23"/>
    <s v="2511"/>
    <s v="lůžkové oddělení 33"/>
    <s v="2511 - lůžkové oddělení 33"/>
    <s v="50115060     ostatní ZPr - mimo níže uvedené (sk.Z_503)"/>
    <x v="1"/>
    <x v="0"/>
    <n v="499.36246999999895"/>
    <n v="53.348711627547999"/>
  </r>
  <r>
    <s v="25"/>
    <s v="25"/>
    <s v="Klinika ústní,čelistní a obličejové chirurgie"/>
    <x v="23"/>
    <s v="2511"/>
    <s v="lůžkové oddělení 33"/>
    <s v="2511 - lůžkové oddělení 33"/>
    <s v="50115060     ostatní ZPr - mimo níže uvedené (sk.Z_503)"/>
    <x v="1"/>
    <x v="1"/>
    <n v="99.138360000000006"/>
    <n v="112.385304741767"/>
  </r>
  <r>
    <s v="25"/>
    <s v="25"/>
    <s v="Klinika ústní,čelistní a obličejové chirurgie"/>
    <x v="23"/>
    <s v="2511"/>
    <s v="lůžkové oddělení 33"/>
    <s v="2511 - lůžkové oddělení 33"/>
    <s v="50115060     ostatní ZPr - mimo níže uvedené (sk.Z_503)"/>
    <x v="1"/>
    <x v="2"/>
    <n v="47.368650000000002"/>
    <n v="97.661275523659995"/>
  </r>
  <r>
    <s v="25"/>
    <s v="25"/>
    <s v="Klinika ústní,čelistní a obličejové chirurgie"/>
    <x v="23"/>
    <s v="2511"/>
    <s v="lůžkové oddělení 33"/>
    <s v="2511 - lůžkové oddělení 33"/>
    <s v="50115063     ostatní ZPr - vaky, sety (sk.Z_528)"/>
    <x v="13"/>
    <x v="0"/>
    <n v="23.844000000000001"/>
    <n v="19.54579536516"/>
  </r>
  <r>
    <s v="25"/>
    <s v="25"/>
    <s v="Klinika ústní,čelistní a obličejové chirurgie"/>
    <x v="23"/>
    <s v="2511"/>
    <s v="lůžkové oddělení 33"/>
    <s v="2511 - lůžkové oddělení 33"/>
    <s v="50115063     ostatní ZPr - vaky, sety (sk.Z_528)"/>
    <x v="13"/>
    <x v="1"/>
    <n v="30.853999999999999"/>
    <n v="23.358163568763999"/>
  </r>
  <r>
    <s v="25"/>
    <s v="25"/>
    <s v="Klinika ústní,čelistní a obličejové chirurgie"/>
    <x v="23"/>
    <s v="2511"/>
    <s v="lůžkové oddělení 33"/>
    <s v="2511 - lůžkové oddělení 33"/>
    <s v="50115063     ostatní ZPr - vaky, sety (sk.Z_528)"/>
    <x v="13"/>
    <x v="2"/>
    <n v="27.842500000000001"/>
    <n v="23.999999244057999"/>
  </r>
  <r>
    <s v="25"/>
    <s v="25"/>
    <s v="Klinika ústní,čelistní a obličejové chirurgie"/>
    <x v="23"/>
    <s v="2511"/>
    <s v="lůžkové oddělení 33"/>
    <s v="2511 - lůžkové oddělení 33"/>
    <s v="50115064     ostatní ZPr - šicí materiál (sk.Z_529)"/>
    <x v="21"/>
    <x v="0"/>
    <n v="30.629149999999999"/>
    <n v="29.272779685820002"/>
  </r>
  <r>
    <s v="25"/>
    <s v="25"/>
    <s v="Klinika ústní,čelistní a obličejové chirurgie"/>
    <x v="23"/>
    <s v="2511"/>
    <s v="lůžkové oddělení 33"/>
    <s v="2511 - lůžkové oddělení 33"/>
    <s v="50115064     ostatní ZPr - šicí materiál (sk.Z_529)"/>
    <x v="21"/>
    <x v="1"/>
    <n v="37.493589999999998"/>
    <n v="31.029374385592"/>
  </r>
  <r>
    <s v="25"/>
    <s v="25"/>
    <s v="Klinika ústní,čelistní a obličejové chirurgie"/>
    <x v="23"/>
    <s v="2511"/>
    <s v="lůžkové oddělení 33"/>
    <s v="2511 - lůžkové oddělení 33"/>
    <s v="50115064     ostatní ZPr - šicí materiál (sk.Z_529)"/>
    <x v="21"/>
    <x v="2"/>
    <n v="27.504069999999999"/>
    <n v="39.65131173983"/>
  </r>
  <r>
    <s v="25"/>
    <s v="25"/>
    <s v="Klinika ústní,čelistní a obličejové chirurgie"/>
    <x v="23"/>
    <s v="2511"/>
    <s v="lůžkové oddělení 33"/>
    <s v="2511 - lůžkové oddělení 33"/>
    <s v="50115065     ostatní ZPr - vpichovací materiál (sk.Z_530)"/>
    <x v="14"/>
    <x v="0"/>
    <n v="1.6234499999999998"/>
    <n v="0.95009885242400005"/>
  </r>
  <r>
    <s v="25"/>
    <s v="25"/>
    <s v="Klinika ústní,čelistní a obličejové chirurgie"/>
    <x v="23"/>
    <s v="2511"/>
    <s v="lůžkové oddělení 33"/>
    <s v="2511 - lůžkové oddělení 33"/>
    <s v="50115065     ostatní ZPr - vpichovací materiál (sk.Z_530)"/>
    <x v="14"/>
    <x v="1"/>
    <n v="2.6472600000000002"/>
    <n v="1.6653606043289999"/>
  </r>
  <r>
    <s v="25"/>
    <s v="25"/>
    <s v="Klinika ústní,čelistní a obličejové chirurgie"/>
    <x v="23"/>
    <s v="2511"/>
    <s v="lůžkové oddělení 33"/>
    <s v="2511 - lůžkové oddělení 33"/>
    <s v="50115065     ostatní ZPr - vpichovací materiál (sk.Z_530)"/>
    <x v="14"/>
    <x v="2"/>
    <n v="2.9379999999999997"/>
    <n v="2.0888577562670001"/>
  </r>
  <r>
    <s v="25"/>
    <s v="25"/>
    <s v="Klinika ústní,čelistní a obličejové chirurgie"/>
    <x v="23"/>
    <s v="2511"/>
    <s v="lůžkové oddělení 33"/>
    <s v="2511 - lůžkové oddělení 33"/>
    <s v="50115067     ostatní ZPr - rukavice (sk.Z_532)"/>
    <x v="15"/>
    <x v="0"/>
    <n v="19.311810000000001"/>
    <n v="15.064427192213"/>
  </r>
  <r>
    <s v="25"/>
    <s v="25"/>
    <s v="Klinika ústní,čelistní a obličejové chirurgie"/>
    <x v="23"/>
    <s v="2511"/>
    <s v="lůžkové oddělení 33"/>
    <s v="2511 - lůžkové oddělení 33"/>
    <s v="50115067     ostatní ZPr - rukavice (sk.Z_532)"/>
    <x v="15"/>
    <x v="1"/>
    <n v="22.743070000000003"/>
    <n v="20.585082484893"/>
  </r>
  <r>
    <s v="25"/>
    <s v="25"/>
    <s v="Klinika ústní,čelistní a obličejové chirurgie"/>
    <x v="23"/>
    <s v="2511"/>
    <s v="lůžkové oddělení 33"/>
    <s v="2511 - lůžkové oddělení 33"/>
    <s v="50115067     ostatní ZPr - rukavice (sk.Z_532)"/>
    <x v="15"/>
    <x v="2"/>
    <n v="18.619489999999999"/>
    <n v="24.101486390129999"/>
  </r>
  <r>
    <s v="25"/>
    <s v="25"/>
    <s v="Klinika ústní,čelistní a obličejové chirurgie"/>
    <x v="23"/>
    <s v="2511"/>
    <s v="lůžkové oddělení 33"/>
    <s v="2511 - lůžkové oddělení 33"/>
    <s v="50115070     ostatní ZPr - katetry (sk.Z_513)"/>
    <x v="16"/>
    <x v="0"/>
    <n v="1.1375299999999999"/>
    <n v="0"/>
  </r>
  <r>
    <s v="25"/>
    <s v="25"/>
    <s v="Klinika ústní,čelistní a obličejové chirurgie"/>
    <x v="23"/>
    <s v="2511"/>
    <s v="lůžkové oddělení 33"/>
    <s v="2511 - lůžkové oddělení 33"/>
    <s v="50115070     ostatní ZPr - katetry (sk.Z_513)"/>
    <x v="16"/>
    <x v="1"/>
    <n v="0.53556999999999999"/>
    <n v="1.13752465482"/>
  </r>
  <r>
    <s v="25"/>
    <s v="25"/>
    <s v="Klinika ústní,čelistní a obličejové chirurgie"/>
    <x v="23"/>
    <s v="2511"/>
    <s v="lůžkové oddělení 33"/>
    <s v="2511 - lůžkové oddělení 33"/>
    <s v="50115070     ostatní ZPr - katetry (sk.Z_513)"/>
    <x v="16"/>
    <x v="2"/>
    <n v="1.0711499999999998"/>
    <n v="0.69468296249700001"/>
  </r>
  <r>
    <s v="25"/>
    <s v="25"/>
    <s v="Klinika ústní,čelistní a obličejové chirurgie"/>
    <x v="23"/>
    <s v="2511"/>
    <s v="lůžkové oddělení 33"/>
    <s v="2511 - lůžkové oddělení 33"/>
    <s v="50115079     ostatní ZPr - intenzivní péče (sk.Z_542)"/>
    <x v="18"/>
    <x v="2"/>
    <n v="0.2782"/>
    <n v="0"/>
  </r>
  <r>
    <s v="25"/>
    <s v="25"/>
    <s v="Klinika ústní,čelistní a obličejové chirurgie"/>
    <x v="23"/>
    <s v="2511"/>
    <s v="lůžkové oddělení 33"/>
    <s v="2511 - lůžkové oddělení 33"/>
    <s v="50115090     ostatní ZPr - zubolékařský materiál (sk.Z_509)"/>
    <x v="51"/>
    <x v="0"/>
    <n v="1.9450799999999999"/>
    <n v="0"/>
  </r>
  <r>
    <s v="25"/>
    <s v="25"/>
    <s v="Klinika ústní,čelistní a obličejové chirurgie"/>
    <x v="23"/>
    <s v="2511"/>
    <s v="lůžkové oddělení 33"/>
    <s v="2511 - lůžkové oddělení 33"/>
    <s v="50115090     ostatní ZPr - zubolékařský materiál (sk.Z_509)"/>
    <x v="51"/>
    <x v="1"/>
    <n v="0.79800000000000004"/>
    <n v="1.986162733242"/>
  </r>
  <r>
    <s v="25"/>
    <s v="25"/>
    <s v="Klinika ústní,čelistní a obličejové chirurgie"/>
    <x v="23"/>
    <s v="2511"/>
    <s v="lůžkové oddělení 33"/>
    <s v="2511 - lůžkové oddělení 33"/>
    <s v="50115090     ostatní ZPr - zubolékařský materiál (sk.Z_509)"/>
    <x v="51"/>
    <x v="2"/>
    <n v="0"/>
    <n v="1.107520846446"/>
  </r>
  <r>
    <s v="25"/>
    <s v="25"/>
    <s v="Klinika ústní,čelistní a obličejové chirurgie"/>
    <x v="23"/>
    <s v="2521"/>
    <s v="ambulance"/>
    <s v="2521 - ambulance"/>
    <s v="50113     Léky a léčiva"/>
    <x v="2"/>
    <x v="0"/>
    <n v="172.42234999999999"/>
    <n v="171.853915775198"/>
  </r>
  <r>
    <s v="25"/>
    <s v="25"/>
    <s v="Klinika ústní,čelistní a obličejové chirurgie"/>
    <x v="23"/>
    <s v="2521"/>
    <s v="ambulance"/>
    <s v="2521 - ambulance"/>
    <s v="50113     Léky a léčiva"/>
    <x v="2"/>
    <x v="1"/>
    <n v="226.27778999999998"/>
    <n v="224.61078334446799"/>
  </r>
  <r>
    <s v="25"/>
    <s v="25"/>
    <s v="Klinika ústní,čelistní a obličejové chirurgie"/>
    <x v="23"/>
    <s v="2521"/>
    <s v="ambulance"/>
    <s v="2521 - ambulance"/>
    <s v="50113     Léky a léčiva"/>
    <x v="2"/>
    <x v="2"/>
    <n v="166.71184"/>
    <n v="211.296121631049"/>
  </r>
  <r>
    <s v="25"/>
    <s v="25"/>
    <s v="Klinika ústní,čelistní a obličejové chirurgie"/>
    <x v="23"/>
    <s v="2521"/>
    <s v="ambulance"/>
    <s v="2521 - ambulance"/>
    <s v="50113001     léky - paušál+TISS (LEK)"/>
    <x v="3"/>
    <x v="0"/>
    <n v="167.34939000000003"/>
    <n v="165.95276273347201"/>
  </r>
  <r>
    <s v="25"/>
    <s v="25"/>
    <s v="Klinika ústní,čelistní a obličejové chirurgie"/>
    <x v="23"/>
    <s v="2521"/>
    <s v="ambulance"/>
    <s v="2521 - ambulance"/>
    <s v="50113001     léky - paušál+TISS (LEK)"/>
    <x v="3"/>
    <x v="1"/>
    <n v="223.42565999999999"/>
    <n v="219.476143992391"/>
  </r>
  <r>
    <s v="25"/>
    <s v="25"/>
    <s v="Klinika ústní,čelistní a obličejové chirurgie"/>
    <x v="23"/>
    <s v="2521"/>
    <s v="ambulance"/>
    <s v="2521 - ambulance"/>
    <s v="50113001     léky - paušál+TISS (LEK)"/>
    <x v="3"/>
    <x v="2"/>
    <n v="162.55815000000001"/>
    <n v="208.04114155096801"/>
  </r>
  <r>
    <s v="25"/>
    <s v="25"/>
    <s v="Klinika ústní,čelistní a obličejové chirurgie"/>
    <x v="23"/>
    <s v="2521"/>
    <s v="ambulance"/>
    <s v="2521 - ambulance"/>
    <s v="50113013     léky (paušál) - antibiotika (LEK)"/>
    <x v="7"/>
    <x v="0"/>
    <n v="5.072959999999"/>
    <n v="4.9273705979139999"/>
  </r>
  <r>
    <s v="25"/>
    <s v="25"/>
    <s v="Klinika ústní,čelistní a obličejové chirurgie"/>
    <x v="23"/>
    <s v="2521"/>
    <s v="ambulance"/>
    <s v="2521 - ambulance"/>
    <s v="50113013     léky (paušál) - antibiotika (LEK)"/>
    <x v="7"/>
    <x v="1"/>
    <n v="2.8521300000000003"/>
    <n v="5.1346393520760003"/>
  </r>
  <r>
    <s v="25"/>
    <s v="25"/>
    <s v="Klinika ústní,čelistní a obličejové chirurgie"/>
    <x v="23"/>
    <s v="2521"/>
    <s v="ambulance"/>
    <s v="2521 - ambulance"/>
    <s v="50113013     léky (paušál) - antibiotika (LEK)"/>
    <x v="7"/>
    <x v="2"/>
    <n v="2.0951900000000001"/>
    <n v="3.2549800800809998"/>
  </r>
  <r>
    <s v="25"/>
    <s v="25"/>
    <s v="Klinika ústní,čelistní a obličejové chirurgie"/>
    <x v="23"/>
    <s v="2521"/>
    <s v="ambulance"/>
    <s v="2521 - ambulance"/>
    <s v="50113190     medicinální plyny"/>
    <x v="9"/>
    <x v="0"/>
    <n v="0"/>
    <n v="0.97378244381199996"/>
  </r>
  <r>
    <s v="25"/>
    <s v="25"/>
    <s v="Klinika ústní,čelistní a obličejové chirurgie"/>
    <x v="23"/>
    <s v="2521"/>
    <s v="ambulance"/>
    <s v="2521 - ambulance"/>
    <s v="50113190     medicinální plyny"/>
    <x v="9"/>
    <x v="2"/>
    <n v="2.0585"/>
    <n v="0"/>
  </r>
  <r>
    <s v="25"/>
    <s v="25"/>
    <s v="Klinika ústní,čelistní a obličejové chirurgie"/>
    <x v="23"/>
    <s v="2521"/>
    <s v="ambulance"/>
    <s v="2521 - ambulance"/>
    <s v="50115     Zdravotnické prostředky"/>
    <x v="0"/>
    <x v="0"/>
    <n v="1220.652879999999"/>
    <n v="1018.34547808049"/>
  </r>
  <r>
    <s v="25"/>
    <s v="25"/>
    <s v="Klinika ústní,čelistní a obličejové chirurgie"/>
    <x v="23"/>
    <s v="2521"/>
    <s v="ambulance"/>
    <s v="2521 - ambulance"/>
    <s v="50115     Zdravotnické prostředky"/>
    <x v="0"/>
    <x v="1"/>
    <n v="905.40758000000005"/>
    <n v="825.88337140337205"/>
  </r>
  <r>
    <s v="25"/>
    <s v="25"/>
    <s v="Klinika ústní,čelistní a obličejové chirurgie"/>
    <x v="23"/>
    <s v="2521"/>
    <s v="ambulance"/>
    <s v="2521 - ambulance"/>
    <s v="50115     Zdravotnické prostředky"/>
    <x v="0"/>
    <x v="2"/>
    <n v="388.24309999999997"/>
    <n v="893.72447669087205"/>
  </r>
  <r>
    <s v="25"/>
    <s v="25"/>
    <s v="Klinika ústní,čelistní a obličejové chirurgie"/>
    <x v="23"/>
    <s v="2521"/>
    <s v="ambulance"/>
    <s v="2521 - ambulance"/>
    <s v="50115004     implant.umělé těl.náhr.-kovové (s.Z_506)"/>
    <x v="25"/>
    <x v="0"/>
    <n v="0"/>
    <n v="1.67022218104"/>
  </r>
  <r>
    <s v="25"/>
    <s v="25"/>
    <s v="Klinika ústní,čelistní a obličejové chirurgie"/>
    <x v="23"/>
    <s v="2521"/>
    <s v="ambulance"/>
    <s v="2521 - ambulance"/>
    <s v="50115007     implant.dentální - samoplátci (sk.Z_526)"/>
    <x v="59"/>
    <x v="0"/>
    <n v="0"/>
    <n v="165.54011888943401"/>
  </r>
  <r>
    <s v="25"/>
    <s v="25"/>
    <s v="Klinika ústní,čelistní a obličejové chirurgie"/>
    <x v="23"/>
    <s v="2521"/>
    <s v="ambulance"/>
    <s v="2521 - ambulance"/>
    <s v="50115007     implant.dentální - samoplátci (sk.Z_526)"/>
    <x v="59"/>
    <x v="1"/>
    <n v="267.00245000000001"/>
    <n v="0"/>
  </r>
  <r>
    <s v="25"/>
    <s v="25"/>
    <s v="Klinika ústní,čelistní a obličejové chirurgie"/>
    <x v="23"/>
    <s v="2521"/>
    <s v="ambulance"/>
    <s v="2521 - ambulance"/>
    <s v="50115007     implant.dentální - samoplátci (sk.Z_526)"/>
    <x v="59"/>
    <x v="2"/>
    <n v="121.90891999999999"/>
    <n v="301.99999048773202"/>
  </r>
  <r>
    <s v="25"/>
    <s v="25"/>
    <s v="Klinika ústní,čelistní a obličejové chirurgie"/>
    <x v="23"/>
    <s v="2521"/>
    <s v="ambulance"/>
    <s v="2521 - ambulance"/>
    <s v="50115010     RTG materiál, filmy a chemikálie (sk.Z_504)"/>
    <x v="57"/>
    <x v="0"/>
    <n v="21.466249999999"/>
    <n v="54.949720042056001"/>
  </r>
  <r>
    <s v="25"/>
    <s v="25"/>
    <s v="Klinika ústní,čelistní a obličejové chirurgie"/>
    <x v="23"/>
    <s v="2521"/>
    <s v="ambulance"/>
    <s v="2521 - ambulance"/>
    <s v="50115010     RTG materiál, filmy a chemikálie (sk.Z_504)"/>
    <x v="57"/>
    <x v="1"/>
    <n v="9.9040400000000002"/>
    <n v="21.467434654883"/>
  </r>
  <r>
    <s v="25"/>
    <s v="25"/>
    <s v="Klinika ústní,čelistní a obličejové chirurgie"/>
    <x v="23"/>
    <s v="2521"/>
    <s v="ambulance"/>
    <s v="2521 - ambulance"/>
    <s v="50115010     RTG materiál, filmy a chemikálie (sk.Z_504)"/>
    <x v="57"/>
    <x v="2"/>
    <n v="0.94899999999999995"/>
    <n v="10.999999653526"/>
  </r>
  <r>
    <s v="25"/>
    <s v="25"/>
    <s v="Klinika ústní,čelistní a obličejové chirurgie"/>
    <x v="23"/>
    <s v="2521"/>
    <s v="ambulance"/>
    <s v="2521 - ambulance"/>
    <s v="50115020     diagnostika laboratorní-LEK (sk.Z_501)"/>
    <x v="10"/>
    <x v="0"/>
    <n v="0"/>
    <n v="0.91849790972099998"/>
  </r>
  <r>
    <s v="25"/>
    <s v="25"/>
    <s v="Klinika ústní,čelistní a obličejové chirurgie"/>
    <x v="23"/>
    <s v="2521"/>
    <s v="ambulance"/>
    <s v="2521 - ambulance"/>
    <s v="50115050     obvazový materiál (sk.Z_502)"/>
    <x v="12"/>
    <x v="0"/>
    <n v="45.383359999998994"/>
    <n v="43.956908913249002"/>
  </r>
  <r>
    <s v="25"/>
    <s v="25"/>
    <s v="Klinika ústní,čelistní a obličejové chirurgie"/>
    <x v="23"/>
    <s v="2521"/>
    <s v="ambulance"/>
    <s v="2521 - ambulance"/>
    <s v="50115050     obvazový materiál (sk.Z_502)"/>
    <x v="12"/>
    <x v="1"/>
    <n v="55.568170000000002"/>
    <n v="45.48656409622"/>
  </r>
  <r>
    <s v="25"/>
    <s v="25"/>
    <s v="Klinika ústní,čelistní a obličejové chirurgie"/>
    <x v="23"/>
    <s v="2521"/>
    <s v="ambulance"/>
    <s v="2521 - ambulance"/>
    <s v="50115050     obvazový materiál (sk.Z_502)"/>
    <x v="12"/>
    <x v="2"/>
    <n v="36.964259999999996"/>
    <n v="50.639376562015997"/>
  </r>
  <r>
    <s v="25"/>
    <s v="25"/>
    <s v="Klinika ústní,čelistní a obličejové chirurgie"/>
    <x v="23"/>
    <s v="2521"/>
    <s v="ambulance"/>
    <s v="2521 - ambulance"/>
    <s v="50115060     ostatní ZPr - mimo níže uvedené (sk.Z_503)"/>
    <x v="1"/>
    <x v="0"/>
    <n v="514.26963000000001"/>
    <n v="38.196028336337001"/>
  </r>
  <r>
    <s v="25"/>
    <s v="25"/>
    <s v="Klinika ústní,čelistní a obličejové chirurgie"/>
    <x v="23"/>
    <s v="2521"/>
    <s v="ambulance"/>
    <s v="2521 - ambulance"/>
    <s v="50115060     ostatní ZPr - mimo níže uvedené (sk.Z_503)"/>
    <x v="1"/>
    <x v="1"/>
    <n v="60.560250000000003"/>
    <n v="108.740140807629"/>
  </r>
  <r>
    <s v="25"/>
    <s v="25"/>
    <s v="Klinika ústní,čelistní a obličejové chirurgie"/>
    <x v="23"/>
    <s v="2521"/>
    <s v="ambulance"/>
    <s v="2521 - ambulance"/>
    <s v="50115060     ostatní ZPr - mimo níže uvedené (sk.Z_503)"/>
    <x v="1"/>
    <x v="2"/>
    <n v="14.63158"/>
    <n v="45.736245275354001"/>
  </r>
  <r>
    <s v="25"/>
    <s v="25"/>
    <s v="Klinika ústní,čelistní a obličejové chirurgie"/>
    <x v="23"/>
    <s v="2521"/>
    <s v="ambulance"/>
    <s v="2521 - ambulance"/>
    <s v="50115064     ostatní ZPr - šicí materiál (sk.Z_529)"/>
    <x v="21"/>
    <x v="0"/>
    <n v="66.061499999999"/>
    <n v="56.051014294921004"/>
  </r>
  <r>
    <s v="25"/>
    <s v="25"/>
    <s v="Klinika ústní,čelistní a obličejové chirurgie"/>
    <x v="23"/>
    <s v="2521"/>
    <s v="ambulance"/>
    <s v="2521 - ambulance"/>
    <s v="50115064     ostatní ZPr - šicí materiál (sk.Z_529)"/>
    <x v="21"/>
    <x v="1"/>
    <n v="71.737679999999983"/>
    <n v="64.768000974306005"/>
  </r>
  <r>
    <s v="25"/>
    <s v="25"/>
    <s v="Klinika ústní,čelistní a obličejové chirurgie"/>
    <x v="23"/>
    <s v="2521"/>
    <s v="ambulance"/>
    <s v="2521 - ambulance"/>
    <s v="50115064     ostatní ZPr - šicí materiál (sk.Z_529)"/>
    <x v="21"/>
    <x v="2"/>
    <n v="50.74756"/>
    <n v="75.303382835742994"/>
  </r>
  <r>
    <s v="25"/>
    <s v="25"/>
    <s v="Klinika ústní,čelistní a obličejové chirurgie"/>
    <x v="23"/>
    <s v="2521"/>
    <s v="ambulance"/>
    <s v="2521 - ambulance"/>
    <s v="50115065     ostatní ZPr - vpichovací materiál (sk.Z_530)"/>
    <x v="14"/>
    <x v="0"/>
    <n v="1.5509999999990001"/>
    <n v="0.95009885242400005"/>
  </r>
  <r>
    <s v="25"/>
    <s v="25"/>
    <s v="Klinika ústní,čelistní a obličejové chirurgie"/>
    <x v="23"/>
    <s v="2521"/>
    <s v="ambulance"/>
    <s v="2521 - ambulance"/>
    <s v="50115065     ostatní ZPr - vpichovací materiál (sk.Z_530)"/>
    <x v="14"/>
    <x v="1"/>
    <n v="2.2369999999999997"/>
    <n v="1.5910402521260001"/>
  </r>
  <r>
    <s v="25"/>
    <s v="25"/>
    <s v="Klinika ústní,čelistní a obličejové chirurgie"/>
    <x v="23"/>
    <s v="2521"/>
    <s v="ambulance"/>
    <s v="2521 - ambulance"/>
    <s v="50115065     ostatní ZPr - vpichovací materiál (sk.Z_530)"/>
    <x v="14"/>
    <x v="2"/>
    <n v="1.8039999999999998"/>
    <n v="1.5494579723120001"/>
  </r>
  <r>
    <s v="25"/>
    <s v="25"/>
    <s v="Klinika ústní,čelistní a obličejové chirurgie"/>
    <x v="23"/>
    <s v="2521"/>
    <s v="ambulance"/>
    <s v="2521 - ambulance"/>
    <s v="50115067     ostatní ZPr - rukavice (sk.Z_532)"/>
    <x v="15"/>
    <x v="0"/>
    <n v="24.487760000000005"/>
    <n v="22.836077882853001"/>
  </r>
  <r>
    <s v="25"/>
    <s v="25"/>
    <s v="Klinika ústní,čelistní a obličejové chirurgie"/>
    <x v="23"/>
    <s v="2521"/>
    <s v="ambulance"/>
    <s v="2521 - ambulance"/>
    <s v="50115067     ostatní ZPr - rukavice (sk.Z_532)"/>
    <x v="15"/>
    <x v="1"/>
    <n v="34.438890000000001"/>
    <n v="24.834273592165001"/>
  </r>
  <r>
    <s v="25"/>
    <s v="25"/>
    <s v="Klinika ústní,čelistní a obličejové chirurgie"/>
    <x v="23"/>
    <s v="2521"/>
    <s v="ambulance"/>
    <s v="2521 - ambulance"/>
    <s v="50115067     ostatní ZPr - rukavice (sk.Z_532)"/>
    <x v="15"/>
    <x v="2"/>
    <n v="25.385099999999998"/>
    <n v="33.924412607785001"/>
  </r>
  <r>
    <s v="25"/>
    <s v="25"/>
    <s v="Klinika ústní,čelistní a obličejové chirurgie"/>
    <x v="23"/>
    <s v="2521"/>
    <s v="ambulance"/>
    <s v="2521 - ambulance"/>
    <s v="50115090     ostatní ZPr - zubolékařský materiál (sk.Z_509)"/>
    <x v="51"/>
    <x v="0"/>
    <n v="547.43337999999892"/>
    <n v="633.27679077845596"/>
  </r>
  <r>
    <s v="25"/>
    <s v="25"/>
    <s v="Klinika ústní,čelistní a obličejové chirurgie"/>
    <x v="23"/>
    <s v="2521"/>
    <s v="ambulance"/>
    <s v="2521 - ambulance"/>
    <s v="50115090     ostatní ZPr - zubolékařský materiál (sk.Z_509)"/>
    <x v="51"/>
    <x v="1"/>
    <n v="403.95909999999901"/>
    <n v="558.99591702604096"/>
  </r>
  <r>
    <s v="25"/>
    <s v="25"/>
    <s v="Klinika ústní,čelistní a obličejové chirurgie"/>
    <x v="23"/>
    <s v="2521"/>
    <s v="ambulance"/>
    <s v="2521 - ambulance"/>
    <s v="50115090     ostatní ZPr - zubolékařský materiál (sk.Z_509)"/>
    <x v="51"/>
    <x v="2"/>
    <n v="135.85268000000002"/>
    <n v="373.57161129640099"/>
  </r>
  <r>
    <s v="25"/>
    <s v="25"/>
    <s v="Klinika ústní,čelistní a obličejové chirurgie"/>
    <x v="23"/>
    <s v="2522"/>
    <s v="LSPP stomatologická"/>
    <s v="2522 - LSPP stomatologická"/>
    <s v="50113     Léky a léčiva"/>
    <x v="2"/>
    <x v="0"/>
    <n v="161.04419000000001"/>
    <n v="163.416803762352"/>
  </r>
  <r>
    <s v="25"/>
    <s v="25"/>
    <s v="Klinika ústní,čelistní a obličejové chirurgie"/>
    <x v="23"/>
    <s v="2522"/>
    <s v="LSPP stomatologická"/>
    <s v="2522 - LSPP stomatologická"/>
    <s v="50113     Léky a léčiva"/>
    <x v="2"/>
    <x v="1"/>
    <n v="213.02935000000002"/>
    <n v="223.29891479270901"/>
  </r>
  <r>
    <s v="25"/>
    <s v="25"/>
    <s v="Klinika ústní,čelistní a obličejové chirurgie"/>
    <x v="23"/>
    <s v="2522"/>
    <s v="LSPP stomatologická"/>
    <s v="2522 - LSPP stomatologická"/>
    <s v="50113     Léky a léčiva"/>
    <x v="2"/>
    <x v="2"/>
    <n v="144.87350000000001"/>
    <n v="191.318551009712"/>
  </r>
  <r>
    <s v="25"/>
    <s v="25"/>
    <s v="Klinika ústní,čelistní a obličejové chirurgie"/>
    <x v="23"/>
    <s v="2522"/>
    <s v="LSPP stomatologická"/>
    <s v="2522 - LSPP stomatologická"/>
    <s v="50113001     léky - paušál+TISS (LEK)"/>
    <x v="3"/>
    <x v="0"/>
    <n v="149.39995999999999"/>
    <n v="148.780616957691"/>
  </r>
  <r>
    <s v="25"/>
    <s v="25"/>
    <s v="Klinika ústní,čelistní a obličejové chirurgie"/>
    <x v="23"/>
    <s v="2522"/>
    <s v="LSPP stomatologická"/>
    <s v="2522 - LSPP stomatologická"/>
    <s v="50113001     léky - paušál+TISS (LEK)"/>
    <x v="3"/>
    <x v="1"/>
    <n v="206.74247"/>
    <n v="211.51310895496599"/>
  </r>
  <r>
    <s v="25"/>
    <s v="25"/>
    <s v="Klinika ústní,čelistní a obličejové chirurgie"/>
    <x v="23"/>
    <s v="2522"/>
    <s v="LSPP stomatologická"/>
    <s v="2522 - LSPP stomatologická"/>
    <s v="50113001     léky - paušál+TISS (LEK)"/>
    <x v="3"/>
    <x v="2"/>
    <n v="141.39273"/>
    <n v="185.107607648184"/>
  </r>
  <r>
    <s v="25"/>
    <s v="25"/>
    <s v="Klinika ústní,čelistní a obličejové chirurgie"/>
    <x v="23"/>
    <s v="2522"/>
    <s v="LSPP stomatologická"/>
    <s v="2522 - LSPP stomatologická"/>
    <s v="50113013     léky (paušál) - antibiotika (LEK)"/>
    <x v="7"/>
    <x v="0"/>
    <n v="11.64423"/>
    <n v="14.636186804661"/>
  </r>
  <r>
    <s v="25"/>
    <s v="25"/>
    <s v="Klinika ústní,čelistní a obličejové chirurgie"/>
    <x v="23"/>
    <s v="2522"/>
    <s v="LSPP stomatologická"/>
    <s v="2522 - LSPP stomatologická"/>
    <s v="50113013     léky (paušál) - antibiotika (LEK)"/>
    <x v="7"/>
    <x v="1"/>
    <n v="6.28688"/>
    <n v="11.785805837742"/>
  </r>
  <r>
    <s v="25"/>
    <s v="25"/>
    <s v="Klinika ústní,čelistní a obličejové chirurgie"/>
    <x v="23"/>
    <s v="2522"/>
    <s v="LSPP stomatologická"/>
    <s v="2522 - LSPP stomatologická"/>
    <s v="50113013     léky (paušál) - antibiotika (LEK)"/>
    <x v="7"/>
    <x v="2"/>
    <n v="3.4807700000000006"/>
    <n v="6.2109433615269998"/>
  </r>
  <r>
    <s v="25"/>
    <s v="25"/>
    <s v="Klinika ústní,čelistní a obličejové chirurgie"/>
    <x v="23"/>
    <s v="2522"/>
    <s v="LSPP stomatologická"/>
    <s v="2522 - LSPP stomatologická"/>
    <s v="50115     Zdravotnické prostředky"/>
    <x v="0"/>
    <x v="0"/>
    <n v="1001.8188299999999"/>
    <n v="899.63198499246801"/>
  </r>
  <r>
    <s v="25"/>
    <s v="25"/>
    <s v="Klinika ústní,čelistní a obličejové chirurgie"/>
    <x v="23"/>
    <s v="2522"/>
    <s v="LSPP stomatologická"/>
    <s v="2522 - LSPP stomatologická"/>
    <s v="50115     Zdravotnické prostředky"/>
    <x v="0"/>
    <x v="1"/>
    <n v="579.71551999999997"/>
    <n v="639.34044539159402"/>
  </r>
  <r>
    <s v="25"/>
    <s v="25"/>
    <s v="Klinika ústní,čelistní a obličejové chirurgie"/>
    <x v="23"/>
    <s v="2522"/>
    <s v="LSPP stomatologická"/>
    <s v="2522 - LSPP stomatologická"/>
    <s v="50115     Zdravotnické prostředky"/>
    <x v="0"/>
    <x v="2"/>
    <n v="296.41216000000003"/>
    <n v="499.50030020022501"/>
  </r>
  <r>
    <s v="25"/>
    <s v="25"/>
    <s v="Klinika ústní,čelistní a obličejové chirurgie"/>
    <x v="23"/>
    <s v="2522"/>
    <s v="LSPP stomatologická"/>
    <s v="2522 - LSPP stomatologická"/>
    <s v="50115007     implant.dentální - samoplátci (sk.Z_526)"/>
    <x v="59"/>
    <x v="0"/>
    <n v="0"/>
    <n v="52.481651518702002"/>
  </r>
  <r>
    <s v="25"/>
    <s v="25"/>
    <s v="Klinika ústní,čelistní a obličejové chirurgie"/>
    <x v="23"/>
    <s v="2522"/>
    <s v="LSPP stomatologická"/>
    <s v="2522 - LSPP stomatologická"/>
    <s v="50115010     RTG materiál, filmy a chemikálie (sk.Z_504)"/>
    <x v="57"/>
    <x v="0"/>
    <n v="0"/>
    <n v="4.0724812704000003E-2"/>
  </r>
  <r>
    <s v="25"/>
    <s v="25"/>
    <s v="Klinika ústní,čelistní a obličejové chirurgie"/>
    <x v="23"/>
    <s v="2522"/>
    <s v="LSPP stomatologická"/>
    <s v="2522 - LSPP stomatologická"/>
    <s v="50115050     obvazový materiál (sk.Z_502)"/>
    <x v="12"/>
    <x v="0"/>
    <n v="129.73070999999999"/>
    <n v="167.83686994248899"/>
  </r>
  <r>
    <s v="25"/>
    <s v="25"/>
    <s v="Klinika ústní,čelistní a obličejové chirurgie"/>
    <x v="23"/>
    <s v="2522"/>
    <s v="LSPP stomatologická"/>
    <s v="2522 - LSPP stomatologická"/>
    <s v="50115050     obvazový materiál (sk.Z_502)"/>
    <x v="12"/>
    <x v="1"/>
    <n v="127.47352000000002"/>
    <n v="130.025724310919"/>
  </r>
  <r>
    <s v="25"/>
    <s v="25"/>
    <s v="Klinika ústní,čelistní a obličejové chirurgie"/>
    <x v="23"/>
    <s v="2522"/>
    <s v="LSPP stomatologická"/>
    <s v="2522 - LSPP stomatologická"/>
    <s v="50115050     obvazový materiál (sk.Z_502)"/>
    <x v="12"/>
    <x v="2"/>
    <n v="63.773690000000009"/>
    <n v="87.964115027318996"/>
  </r>
  <r>
    <s v="25"/>
    <s v="25"/>
    <s v="Klinika ústní,čelistní a obličejové chirurgie"/>
    <x v="23"/>
    <s v="2522"/>
    <s v="LSPP stomatologická"/>
    <s v="2522 - LSPP stomatologická"/>
    <s v="50115060     ostatní ZPr - mimo níže uvedené (sk.Z_503)"/>
    <x v="1"/>
    <x v="0"/>
    <n v="460.05090999999902"/>
    <n v="53.249954469908999"/>
  </r>
  <r>
    <s v="25"/>
    <s v="25"/>
    <s v="Klinika ústní,čelistní a obličejové chirurgie"/>
    <x v="23"/>
    <s v="2522"/>
    <s v="LSPP stomatologická"/>
    <s v="2522 - LSPP stomatologická"/>
    <s v="50115060     ostatní ZPr - mimo níže uvedené (sk.Z_503)"/>
    <x v="1"/>
    <x v="1"/>
    <n v="34.2074"/>
    <n v="92.537821745349007"/>
  </r>
  <r>
    <s v="25"/>
    <s v="25"/>
    <s v="Klinika ústní,čelistní a obličejové chirurgie"/>
    <x v="23"/>
    <s v="2522"/>
    <s v="LSPP stomatologická"/>
    <s v="2522 - LSPP stomatologická"/>
    <s v="50115060     ostatní ZPr - mimo níže uvedené (sk.Z_503)"/>
    <x v="1"/>
    <x v="2"/>
    <n v="4.9205000000000005"/>
    <n v="11.133988231627001"/>
  </r>
  <r>
    <s v="25"/>
    <s v="25"/>
    <s v="Klinika ústní,čelistní a obličejové chirurgie"/>
    <x v="23"/>
    <s v="2522"/>
    <s v="LSPP stomatologická"/>
    <s v="2522 - LSPP stomatologická"/>
    <s v="50115064     ostatní ZPr - šicí materiál (sk.Z_529)"/>
    <x v="21"/>
    <x v="0"/>
    <n v="162.68046999999999"/>
    <n v="157.776796753638"/>
  </r>
  <r>
    <s v="25"/>
    <s v="25"/>
    <s v="Klinika ústní,čelistní a obličejové chirurgie"/>
    <x v="23"/>
    <s v="2522"/>
    <s v="LSPP stomatologická"/>
    <s v="2522 - LSPP stomatologická"/>
    <s v="50115064     ostatní ZPr - šicí materiál (sk.Z_529)"/>
    <x v="21"/>
    <x v="1"/>
    <n v="170.30356"/>
    <n v="162.49468343118599"/>
  </r>
  <r>
    <s v="25"/>
    <s v="25"/>
    <s v="Klinika ústní,čelistní a obličejové chirurgie"/>
    <x v="23"/>
    <s v="2522"/>
    <s v="LSPP stomatologická"/>
    <s v="2522 - LSPP stomatologická"/>
    <s v="50115064     ostatní ZPr - šicí materiál (sk.Z_529)"/>
    <x v="21"/>
    <x v="2"/>
    <n v="75.473480000000009"/>
    <n v="146.533030313106"/>
  </r>
  <r>
    <s v="25"/>
    <s v="25"/>
    <s v="Klinika ústní,čelistní a obličejové chirurgie"/>
    <x v="23"/>
    <s v="2522"/>
    <s v="LSPP stomatologická"/>
    <s v="2522 - LSPP stomatologická"/>
    <s v="50115065     ostatní ZPr - vpichovací materiál (sk.Z_530)"/>
    <x v="14"/>
    <x v="0"/>
    <n v="2.0380000000000003"/>
    <n v="1.900311721272"/>
  </r>
  <r>
    <s v="25"/>
    <s v="25"/>
    <s v="Klinika ústní,čelistní a obličejové chirurgie"/>
    <x v="23"/>
    <s v="2522"/>
    <s v="LSPP stomatologická"/>
    <s v="2522 - LSPP stomatologická"/>
    <s v="50115065     ostatní ZPr - vpichovací materiál (sk.Z_530)"/>
    <x v="14"/>
    <x v="1"/>
    <n v="2.5679999999999996"/>
    <n v="2.0906125298729998"/>
  </r>
  <r>
    <s v="25"/>
    <s v="25"/>
    <s v="Klinika ústní,čelistní a obličejové chirurgie"/>
    <x v="23"/>
    <s v="2522"/>
    <s v="LSPP stomatologická"/>
    <s v="2522 - LSPP stomatologická"/>
    <s v="50115065     ostatní ZPr - vpichovací materiál (sk.Z_530)"/>
    <x v="14"/>
    <x v="2"/>
    <n v="2.3039999999999998"/>
    <n v="1.6021845367059999"/>
  </r>
  <r>
    <s v="25"/>
    <s v="25"/>
    <s v="Klinika ústní,čelistní a obličejové chirurgie"/>
    <x v="23"/>
    <s v="2522"/>
    <s v="LSPP stomatologická"/>
    <s v="2522 - LSPP stomatologická"/>
    <s v="50115067     ostatní ZPr - rukavice (sk.Z_532)"/>
    <x v="15"/>
    <x v="0"/>
    <n v="50.330039999999002"/>
    <n v="54.773775551786002"/>
  </r>
  <r>
    <s v="25"/>
    <s v="25"/>
    <s v="Klinika ústní,čelistní a obličejové chirurgie"/>
    <x v="23"/>
    <s v="2522"/>
    <s v="LSPP stomatologická"/>
    <s v="2522 - LSPP stomatologická"/>
    <s v="50115067     ostatní ZPr - rukavice (sk.Z_532)"/>
    <x v="15"/>
    <x v="1"/>
    <n v="52.078860000000006"/>
    <n v="51.042234294381998"/>
  </r>
  <r>
    <s v="25"/>
    <s v="25"/>
    <s v="Klinika ústní,čelistní a obličejové chirurgie"/>
    <x v="23"/>
    <s v="2522"/>
    <s v="LSPP stomatologická"/>
    <s v="2522 - LSPP stomatologická"/>
    <s v="50115067     ostatní ZPr - rukavice (sk.Z_532)"/>
    <x v="15"/>
    <x v="2"/>
    <n v="34.025869999999998"/>
    <n v="49.574678920975998"/>
  </r>
  <r>
    <s v="25"/>
    <s v="25"/>
    <s v="Klinika ústní,čelistní a obličejové chirurgie"/>
    <x v="23"/>
    <s v="2522"/>
    <s v="LSPP stomatologická"/>
    <s v="2522 - LSPP stomatologická"/>
    <s v="50115090     ostatní ZPr - zubolékařský materiál (sk.Z_509)"/>
    <x v="51"/>
    <x v="0"/>
    <n v="196.98869999999999"/>
    <n v="411.571900221965"/>
  </r>
  <r>
    <s v="25"/>
    <s v="25"/>
    <s v="Klinika ústní,čelistní a obličejové chirurgie"/>
    <x v="23"/>
    <s v="2522"/>
    <s v="LSPP stomatologická"/>
    <s v="2522 - LSPP stomatologická"/>
    <s v="50115090     ostatní ZPr - zubolékařský materiál (sk.Z_509)"/>
    <x v="51"/>
    <x v="1"/>
    <n v="193.08418"/>
    <n v="201.14936907988201"/>
  </r>
  <r>
    <s v="25"/>
    <s v="25"/>
    <s v="Klinika ústní,čelistní a obličejové chirurgie"/>
    <x v="23"/>
    <s v="2522"/>
    <s v="LSPP stomatologická"/>
    <s v="2522 - LSPP stomatologická"/>
    <s v="50115090     ostatní ZPr - zubolékařský materiál (sk.Z_509)"/>
    <x v="51"/>
    <x v="2"/>
    <n v="115.91462"/>
    <n v="202.692303170488"/>
  </r>
  <r>
    <s v="25"/>
    <s v="25"/>
    <s v="Klinika ústní,čelistní a obličejové chirurgie"/>
    <x v="23"/>
    <s v="2562"/>
    <s v="operační sál "/>
    <s v="2562 - operační sál "/>
    <s v="50113     Léky a léčiva"/>
    <x v="2"/>
    <x v="0"/>
    <n v="173.80151999999998"/>
    <n v="189.320471124146"/>
  </r>
  <r>
    <s v="25"/>
    <s v="25"/>
    <s v="Klinika ústní,čelistní a obličejové chirurgie"/>
    <x v="23"/>
    <s v="2562"/>
    <s v="operační sál "/>
    <s v="2562 - operační sál "/>
    <s v="50113     Léky a léčiva"/>
    <x v="2"/>
    <x v="1"/>
    <n v="191.48546999999999"/>
    <n v="191.76466514441699"/>
  </r>
  <r>
    <s v="25"/>
    <s v="25"/>
    <s v="Klinika ústní,čelistní a obličejové chirurgie"/>
    <x v="23"/>
    <s v="2562"/>
    <s v="operační sál "/>
    <s v="2562 - operační sál "/>
    <s v="50113     Léky a léčiva"/>
    <x v="2"/>
    <x v="2"/>
    <n v="141.07306"/>
    <n v="192.95061255084801"/>
  </r>
  <r>
    <s v="25"/>
    <s v="25"/>
    <s v="Klinika ústní,čelistní a obličejové chirurgie"/>
    <x v="23"/>
    <s v="2562"/>
    <s v="operační sál "/>
    <s v="2562 - operační sál "/>
    <s v="50113001     léky - paušál+TISS (LEK)"/>
    <x v="3"/>
    <x v="0"/>
    <n v="78.455020000000019"/>
    <n v="95.930526839031003"/>
  </r>
  <r>
    <s v="25"/>
    <s v="25"/>
    <s v="Klinika ústní,čelistní a obličejové chirurgie"/>
    <x v="23"/>
    <s v="2562"/>
    <s v="operační sál "/>
    <s v="2562 - operační sál "/>
    <s v="50113001     léky - paušál+TISS (LEK)"/>
    <x v="3"/>
    <x v="1"/>
    <n v="98.447239999999994"/>
    <n v="99.514438111394"/>
  </r>
  <r>
    <s v="25"/>
    <s v="25"/>
    <s v="Klinika ústní,čelistní a obličejové chirurgie"/>
    <x v="23"/>
    <s v="2562"/>
    <s v="operační sál "/>
    <s v="2562 - operační sál "/>
    <s v="50113001     léky - paušál+TISS (LEK)"/>
    <x v="3"/>
    <x v="2"/>
    <n v="69.435789999999997"/>
    <n v="98.983802120573003"/>
  </r>
  <r>
    <s v="25"/>
    <s v="25"/>
    <s v="Klinika ústní,čelistní a obličejové chirurgie"/>
    <x v="23"/>
    <s v="2562"/>
    <s v="operační sál "/>
    <s v="2562 - operační sál "/>
    <s v="50113013     léky (paušál) - antibiotika (LEK)"/>
    <x v="7"/>
    <x v="0"/>
    <n v="0.54494999999999993"/>
    <n v="0.423986625417"/>
  </r>
  <r>
    <s v="25"/>
    <s v="25"/>
    <s v="Klinika ústní,čelistní a obličejové chirurgie"/>
    <x v="23"/>
    <s v="2562"/>
    <s v="operační sál "/>
    <s v="2562 - operační sál "/>
    <s v="50113013     léky (paušál) - antibiotika (LEK)"/>
    <x v="7"/>
    <x v="1"/>
    <n v="1.0508299999999999"/>
    <n v="1.5515757496439999"/>
  </r>
  <r>
    <s v="25"/>
    <s v="25"/>
    <s v="Klinika ústní,čelistní a obličejové chirurgie"/>
    <x v="23"/>
    <s v="2562"/>
    <s v="operační sál "/>
    <s v="2562 - operační sál "/>
    <s v="50113013     léky (paušál) - antibiotika (LEK)"/>
    <x v="7"/>
    <x v="2"/>
    <n v="0.56397000000000008"/>
    <n v="1.2301712973729999"/>
  </r>
  <r>
    <s v="25"/>
    <s v="25"/>
    <s v="Klinika ústní,čelistní a obličejové chirurgie"/>
    <x v="23"/>
    <s v="2562"/>
    <s v="operační sál "/>
    <s v="2562 - operační sál "/>
    <s v="50113190     medicinální plyny"/>
    <x v="9"/>
    <x v="0"/>
    <n v="94.801549999998997"/>
    <n v="92.965957659696997"/>
  </r>
  <r>
    <s v="25"/>
    <s v="25"/>
    <s v="Klinika ústní,čelistní a obličejové chirurgie"/>
    <x v="23"/>
    <s v="2562"/>
    <s v="operační sál "/>
    <s v="2562 - operační sál "/>
    <s v="50113190     medicinální plyny"/>
    <x v="9"/>
    <x v="1"/>
    <n v="91.987399999999994"/>
    <n v="90.698651283377998"/>
  </r>
  <r>
    <s v="25"/>
    <s v="25"/>
    <s v="Klinika ústní,čelistní a obličejové chirurgie"/>
    <x v="23"/>
    <s v="2562"/>
    <s v="operační sál "/>
    <s v="2562 - operační sál "/>
    <s v="50113190     medicinální plyny"/>
    <x v="9"/>
    <x v="2"/>
    <n v="71.073300000000003"/>
    <n v="92.736639132899995"/>
  </r>
  <r>
    <s v="25"/>
    <s v="25"/>
    <s v="Klinika ústní,čelistní a obličejové chirurgie"/>
    <x v="23"/>
    <s v="2562"/>
    <s v="operační sál "/>
    <s v="2562 - operační sál "/>
    <s v="50115     Zdravotnické prostředky"/>
    <x v="0"/>
    <x v="0"/>
    <n v="1038.2727100000011"/>
    <n v="1336.8821444082701"/>
  </r>
  <r>
    <s v="25"/>
    <s v="25"/>
    <s v="Klinika ústní,čelistní a obličejové chirurgie"/>
    <x v="23"/>
    <s v="2562"/>
    <s v="operační sál "/>
    <s v="2562 - operační sál "/>
    <s v="50115     Zdravotnické prostředky"/>
    <x v="0"/>
    <x v="1"/>
    <n v="615.26219000000003"/>
    <n v="606.34806691217295"/>
  </r>
  <r>
    <s v="25"/>
    <s v="25"/>
    <s v="Klinika ústní,čelistní a obličejové chirurgie"/>
    <x v="23"/>
    <s v="2562"/>
    <s v="operační sál "/>
    <s v="2562 - operační sál "/>
    <s v="50115     Zdravotnické prostředky"/>
    <x v="0"/>
    <x v="2"/>
    <n v="478.71522000000004"/>
    <n v="825.77351355978499"/>
  </r>
  <r>
    <s v="25"/>
    <s v="25"/>
    <s v="Klinika ústní,čelistní a obličejové chirurgie"/>
    <x v="23"/>
    <s v="2562"/>
    <s v="operační sál "/>
    <s v="2562 - operační sál "/>
    <s v="50115004     implant.umělé těl.náhr.-kovové (s.Z_506)"/>
    <x v="25"/>
    <x v="0"/>
    <n v="13.87265"/>
    <n v="31.454343967048001"/>
  </r>
  <r>
    <s v="25"/>
    <s v="25"/>
    <s v="Klinika ústní,čelistní a obličejové chirurgie"/>
    <x v="23"/>
    <s v="2562"/>
    <s v="operační sál "/>
    <s v="2562 - operační sál "/>
    <s v="50115004     implant.umělé těl.náhr.-kovové (s.Z_506)"/>
    <x v="25"/>
    <x v="1"/>
    <n v="6.3782200000000016"/>
    <n v="13.999992461844"/>
  </r>
  <r>
    <s v="25"/>
    <s v="25"/>
    <s v="Klinika ústní,čelistní a obličejové chirurgie"/>
    <x v="23"/>
    <s v="2562"/>
    <s v="operační sál "/>
    <s v="2562 - operační sál "/>
    <s v="50115004     implant.umělé těl.náhr.-kovové (s.Z_506)"/>
    <x v="25"/>
    <x v="2"/>
    <n v="2.71123"/>
    <n v="6.9999997795160001"/>
  </r>
  <r>
    <s v="25"/>
    <s v="25"/>
    <s v="Klinika ústní,čelistní a obličejové chirurgie"/>
    <x v="23"/>
    <s v="2562"/>
    <s v="operační sál "/>
    <s v="2562 - operační sál "/>
    <s v="50115007     implant.dentální - samoplátci (sk.Z_526)"/>
    <x v="59"/>
    <x v="0"/>
    <n v="0"/>
    <n v="186.643506122449"/>
  </r>
  <r>
    <s v="25"/>
    <s v="25"/>
    <s v="Klinika ústní,čelistní a obličejové chirurgie"/>
    <x v="23"/>
    <s v="2562"/>
    <s v="operační sál "/>
    <s v="2562 - operační sál "/>
    <s v="50115011     implant.umělé těl.náhr.-ostat.nákl.PZT(s.Z_515)"/>
    <x v="26"/>
    <x v="1"/>
    <n v="1.5552600000000001"/>
    <n v="0"/>
  </r>
  <r>
    <s v="25"/>
    <s v="25"/>
    <s v="Klinika ústní,čelistní a obličejové chirurgie"/>
    <x v="23"/>
    <s v="2562"/>
    <s v="operační sál "/>
    <s v="2562 - operační sál "/>
    <s v="50115011     implant.umělé těl.náhr.-ostat.nákl.PZT(s.Z_515)"/>
    <x v="26"/>
    <x v="2"/>
    <n v="0"/>
    <n v="1.999999937004"/>
  </r>
  <r>
    <s v="25"/>
    <s v="25"/>
    <s v="Klinika ústní,čelistní a obličejové chirurgie"/>
    <x v="23"/>
    <s v="2562"/>
    <s v="operační sál "/>
    <s v="2562 - operační sál "/>
    <s v="50115020     diagnostika laboratorní-LEK (sk.Z_501)"/>
    <x v="10"/>
    <x v="0"/>
    <n v="4.8850000000000005E-2"/>
    <n v="0"/>
  </r>
  <r>
    <s v="25"/>
    <s v="25"/>
    <s v="Klinika ústní,čelistní a obličejové chirurgie"/>
    <x v="23"/>
    <s v="2562"/>
    <s v="operační sál "/>
    <s v="2562 - operační sál "/>
    <s v="50115020     diagnostika laboratorní-LEK (sk.Z_501)"/>
    <x v="10"/>
    <x v="1"/>
    <n v="1.404E-2"/>
    <n v="4.8849948259999998E-2"/>
  </r>
  <r>
    <s v="25"/>
    <s v="25"/>
    <s v="Klinika ústní,čelistní a obličejové chirurgie"/>
    <x v="23"/>
    <s v="2562"/>
    <s v="operační sál "/>
    <s v="2562 - operační sál "/>
    <s v="50115020     diagnostika laboratorní-LEK (sk.Z_501)"/>
    <x v="10"/>
    <x v="2"/>
    <n v="0"/>
    <n v="1.4039999557000001E-2"/>
  </r>
  <r>
    <s v="25"/>
    <s v="25"/>
    <s v="Klinika ústní,čelistní a obličejové chirurgie"/>
    <x v="23"/>
    <s v="2562"/>
    <s v="operační sál "/>
    <s v="2562 - operační sál "/>
    <s v="50115050     obvazový materiál (sk.Z_502)"/>
    <x v="12"/>
    <x v="0"/>
    <n v="50.149739999999994"/>
    <n v="41.010705969823"/>
  </r>
  <r>
    <s v="25"/>
    <s v="25"/>
    <s v="Klinika ústní,čelistní a obličejové chirurgie"/>
    <x v="23"/>
    <s v="2562"/>
    <s v="operační sál "/>
    <s v="2562 - operační sál "/>
    <s v="50115050     obvazový materiál (sk.Z_502)"/>
    <x v="12"/>
    <x v="1"/>
    <n v="67.397699999999986"/>
    <n v="53.263785243393002"/>
  </r>
  <r>
    <s v="25"/>
    <s v="25"/>
    <s v="Klinika ústní,čelistní a obličejové chirurgie"/>
    <x v="23"/>
    <s v="2562"/>
    <s v="operační sál "/>
    <s v="2562 - operační sál "/>
    <s v="50115050     obvazový materiál (sk.Z_502)"/>
    <x v="12"/>
    <x v="2"/>
    <n v="58.99772999999999"/>
    <n v="89.999997165218005"/>
  </r>
  <r>
    <s v="25"/>
    <s v="25"/>
    <s v="Klinika ústní,čelistní a obličejové chirurgie"/>
    <x v="23"/>
    <s v="2562"/>
    <s v="operační sál "/>
    <s v="2562 - operační sál "/>
    <s v="50115060     ostatní ZPr - mimo níže uvedené (sk.Z_503)"/>
    <x v="1"/>
    <x v="0"/>
    <n v="681.30856999999901"/>
    <n v="714.74407548628506"/>
  </r>
  <r>
    <s v="25"/>
    <s v="25"/>
    <s v="Klinika ústní,čelistní a obličejové chirurgie"/>
    <x v="23"/>
    <s v="2562"/>
    <s v="operační sál "/>
    <s v="2562 - operační sál "/>
    <s v="50115060     ostatní ZPr - mimo níže uvedené (sk.Z_503)"/>
    <x v="1"/>
    <x v="1"/>
    <n v="154.70310000000001"/>
    <n v="154.33356972895501"/>
  </r>
  <r>
    <s v="25"/>
    <s v="25"/>
    <s v="Klinika ústní,čelistní a obličejové chirurgie"/>
    <x v="23"/>
    <s v="2562"/>
    <s v="operační sál "/>
    <s v="2562 - operační sál "/>
    <s v="50115060     ostatní ZPr - mimo níže uvedené (sk.Z_503)"/>
    <x v="1"/>
    <x v="2"/>
    <n v="135.887"/>
    <n v="223.99999294454301"/>
  </r>
  <r>
    <s v="25"/>
    <s v="25"/>
    <s v="Klinika ústní,čelistní a obličejové chirurgie"/>
    <x v="23"/>
    <s v="2562"/>
    <s v="operační sál "/>
    <s v="2562 - operační sál "/>
    <s v="50115063     ostatní ZPr - vaky, sety (sk.Z_528)"/>
    <x v="13"/>
    <x v="0"/>
    <n v="0"/>
    <n v="6.4125683663429998"/>
  </r>
  <r>
    <s v="25"/>
    <s v="25"/>
    <s v="Klinika ústní,čelistní a obličejové chirurgie"/>
    <x v="23"/>
    <s v="2562"/>
    <s v="operační sál "/>
    <s v="2562 - operační sál "/>
    <s v="50115064     ostatní ZPr - šicí materiál (sk.Z_529)"/>
    <x v="21"/>
    <x v="0"/>
    <n v="77.743799999999993"/>
    <n v="61.775749125430004"/>
  </r>
  <r>
    <s v="25"/>
    <s v="25"/>
    <s v="Klinika ústní,čelistní a obličejové chirurgie"/>
    <x v="23"/>
    <s v="2562"/>
    <s v="operační sál "/>
    <s v="2562 - operační sál "/>
    <s v="50115064     ostatní ZPr - šicí materiál (sk.Z_529)"/>
    <x v="21"/>
    <x v="1"/>
    <n v="92.229140000000015"/>
    <n v="82.221325721647005"/>
  </r>
  <r>
    <s v="25"/>
    <s v="25"/>
    <s v="Klinika ústní,čelistní a obličejové chirurgie"/>
    <x v="23"/>
    <s v="2562"/>
    <s v="operační sál "/>
    <s v="2562 - operační sál "/>
    <s v="50115064     ostatní ZPr - šicí materiál (sk.Z_529)"/>
    <x v="21"/>
    <x v="2"/>
    <n v="63.428039999999996"/>
    <n v="115.99999634628099"/>
  </r>
  <r>
    <s v="25"/>
    <s v="25"/>
    <s v="Klinika ústní,čelistní a obličejové chirurgie"/>
    <x v="23"/>
    <s v="2562"/>
    <s v="operační sál "/>
    <s v="2562 - operační sál "/>
    <s v="50115065     ostatní ZPr - vpichovací materiál (sk.Z_530)"/>
    <x v="14"/>
    <x v="0"/>
    <n v="2.25"/>
    <n v="1.821060805955"/>
  </r>
  <r>
    <s v="25"/>
    <s v="25"/>
    <s v="Klinika ústní,čelistní a obličejové chirurgie"/>
    <x v="23"/>
    <s v="2562"/>
    <s v="operační sál "/>
    <s v="2562 - operační sál "/>
    <s v="50115065     ostatní ZPr - vpichovací materiál (sk.Z_530)"/>
    <x v="14"/>
    <x v="1"/>
    <n v="2.5627699999999995"/>
    <n v="2.3080854721369999"/>
  </r>
  <r>
    <s v="25"/>
    <s v="25"/>
    <s v="Klinika ústní,čelistní a obličejové chirurgie"/>
    <x v="23"/>
    <s v="2562"/>
    <s v="operační sál "/>
    <s v="2562 - operační sál "/>
    <s v="50115065     ostatní ZPr - vpichovací materiál (sk.Z_530)"/>
    <x v="14"/>
    <x v="2"/>
    <n v="2.1419999999999999"/>
    <n v="1.7594995142300001"/>
  </r>
  <r>
    <s v="25"/>
    <s v="25"/>
    <s v="Klinika ústní,čelistní a obličejové chirurgie"/>
    <x v="23"/>
    <s v="2562"/>
    <s v="operační sál "/>
    <s v="2562 - operační sál "/>
    <s v="50115067     ostatní ZPr - rukavice (sk.Z_532)"/>
    <x v="15"/>
    <x v="0"/>
    <n v="32.044350000000001"/>
    <n v="26.530994615186"/>
  </r>
  <r>
    <s v="25"/>
    <s v="25"/>
    <s v="Klinika ústní,čelistní a obličejové chirurgie"/>
    <x v="23"/>
    <s v="2562"/>
    <s v="operační sál "/>
    <s v="2562 - operační sál "/>
    <s v="50115067     ostatní ZPr - rukavice (sk.Z_532)"/>
    <x v="15"/>
    <x v="1"/>
    <n v="45.815449999999998"/>
    <n v="32.497792978332001"/>
  </r>
  <r>
    <s v="25"/>
    <s v="25"/>
    <s v="Klinika ústní,čelistní a obličejové chirurgie"/>
    <x v="23"/>
    <s v="2562"/>
    <s v="operační sál "/>
    <s v="2562 - operační sál "/>
    <s v="50115067     ostatní ZPr - rukavice (sk.Z_532)"/>
    <x v="15"/>
    <x v="2"/>
    <n v="31.9862"/>
    <n v="47.999998488115999"/>
  </r>
  <r>
    <s v="25"/>
    <s v="25"/>
    <s v="Klinika ústní,čelistní a obličejové chirurgie"/>
    <x v="23"/>
    <s v="2562"/>
    <s v="operační sál "/>
    <s v="2562 - operační sál "/>
    <s v="50115090     ostatní ZPr - zubolékařský materiál (sk.Z_509)"/>
    <x v="51"/>
    <x v="0"/>
    <n v="180.854749999999"/>
    <n v="266.48913994974998"/>
  </r>
  <r>
    <s v="25"/>
    <s v="25"/>
    <s v="Klinika ústní,čelistní a obličejové chirurgie"/>
    <x v="23"/>
    <s v="2562"/>
    <s v="operační sál "/>
    <s v="2562 - operační sál "/>
    <s v="50115090     ostatní ZPr - zubolékařský materiál (sk.Z_509)"/>
    <x v="51"/>
    <x v="1"/>
    <n v="244.60650999999999"/>
    <n v="267.67466535760099"/>
  </r>
  <r>
    <s v="25"/>
    <s v="25"/>
    <s v="Klinika ústní,čelistní a obličejové chirurgie"/>
    <x v="23"/>
    <s v="2562"/>
    <s v="operační sál "/>
    <s v="2562 - operační sál "/>
    <s v="50115090     ostatní ZPr - zubolékařský materiál (sk.Z_509)"/>
    <x v="51"/>
    <x v="2"/>
    <n v="183.56301999999999"/>
    <n v="336.99998938531701"/>
  </r>
  <r>
    <s v="26"/>
    <s v="26"/>
    <s v="Oddělení rehabilitace"/>
    <x v="24"/>
    <s v="2611"/>
    <s v="lůžkové oddělení 44"/>
    <s v="2611 - lůžkové oddělení 44"/>
    <s v="50113     Léky a léčiva"/>
    <x v="2"/>
    <x v="0"/>
    <n v="483.88370000000003"/>
    <n v="620.04493125516603"/>
  </r>
  <r>
    <s v="26"/>
    <s v="26"/>
    <s v="Oddělení rehabilitace"/>
    <x v="24"/>
    <s v="2611"/>
    <s v="lůžkové oddělení 44"/>
    <s v="2611 - lůžkové oddělení 44"/>
    <s v="50113     Léky a léčiva"/>
    <x v="2"/>
    <x v="1"/>
    <n v="577.92177000000004"/>
    <n v="570.99518309710197"/>
  </r>
  <r>
    <s v="26"/>
    <s v="26"/>
    <s v="Oddělení rehabilitace"/>
    <x v="24"/>
    <s v="2611"/>
    <s v="lůžkové oddělení 44"/>
    <s v="2611 - lůžkové oddělení 44"/>
    <s v="50113     Léky a léčiva"/>
    <x v="2"/>
    <x v="2"/>
    <n v="314.22883999999999"/>
    <n v="580.04154964289796"/>
  </r>
  <r>
    <s v="26"/>
    <s v="26"/>
    <s v="Oddělení rehabilitace"/>
    <x v="24"/>
    <s v="2611"/>
    <s v="lůžkové oddělení 44"/>
    <s v="2611 - lůžkové oddělení 44"/>
    <s v="50113001     léky - paušál+TISS (LEK)"/>
    <x v="3"/>
    <x v="0"/>
    <n v="441.18911000000003"/>
    <n v="557.64104089455805"/>
  </r>
  <r>
    <s v="26"/>
    <s v="26"/>
    <s v="Oddělení rehabilitace"/>
    <x v="24"/>
    <s v="2611"/>
    <s v="lůžkové oddělení 44"/>
    <s v="2611 - lůžkové oddělení 44"/>
    <s v="50113001     léky - paušál+TISS (LEK)"/>
    <x v="3"/>
    <x v="1"/>
    <n v="491.22383000000002"/>
    <n v="526.66935006177903"/>
  </r>
  <r>
    <s v="26"/>
    <s v="26"/>
    <s v="Oddělení rehabilitace"/>
    <x v="24"/>
    <s v="2611"/>
    <s v="lůžkové oddělení 44"/>
    <s v="2611 - lůžkové oddělení 44"/>
    <s v="50113001     léky - paušál+TISS (LEK)"/>
    <x v="3"/>
    <x v="2"/>
    <n v="283.41577000000001"/>
    <n v="492.99998447169497"/>
  </r>
  <r>
    <s v="26"/>
    <s v="26"/>
    <s v="Oddělení rehabilitace"/>
    <x v="24"/>
    <s v="2611"/>
    <s v="lůžkové oddělení 44"/>
    <s v="2611 - lůžkové oddělení 44"/>
    <s v="50113006     léky - enterální výživa (LEK)"/>
    <x v="4"/>
    <x v="0"/>
    <n v="5.9475899999999999"/>
    <n v="0.83338376519299995"/>
  </r>
  <r>
    <s v="26"/>
    <s v="26"/>
    <s v="Oddělení rehabilitace"/>
    <x v="24"/>
    <s v="2611"/>
    <s v="lůžkové oddělení 44"/>
    <s v="2611 - lůžkové oddělení 44"/>
    <s v="50113006     léky - enterální výživa (LEK)"/>
    <x v="4"/>
    <x v="1"/>
    <n v="8.8534199999999998"/>
    <n v="5.9387042121220004"/>
  </r>
  <r>
    <s v="26"/>
    <s v="26"/>
    <s v="Oddělení rehabilitace"/>
    <x v="24"/>
    <s v="2611"/>
    <s v="lůžkové oddělení 44"/>
    <s v="2611 - lůžkové oddělení 44"/>
    <s v="50113006     léky - enterální výživa (LEK)"/>
    <x v="4"/>
    <x v="2"/>
    <n v="1.89934"/>
    <n v="9.5650033724460002"/>
  </r>
  <r>
    <s v="26"/>
    <s v="26"/>
    <s v="Oddělení rehabilitace"/>
    <x v="24"/>
    <s v="2611"/>
    <s v="lůžkové oddělení 44"/>
    <s v="2611 - lůžkové oddělení 44"/>
    <s v="50113008     léky - krev.deriváty ZUL (TO)"/>
    <x v="5"/>
    <x v="0"/>
    <n v="0"/>
    <n v="2.9999078614950001"/>
  </r>
  <r>
    <s v="26"/>
    <s v="26"/>
    <s v="Oddělení rehabilitace"/>
    <x v="24"/>
    <s v="2611"/>
    <s v="lůžkové oddělení 44"/>
    <s v="2611 - lůžkové oddělení 44"/>
    <s v="50113008     léky - krev.deriváty ZUL (TO)"/>
    <x v="5"/>
    <x v="1"/>
    <n v="12.42"/>
    <n v="0"/>
  </r>
  <r>
    <s v="26"/>
    <s v="26"/>
    <s v="Oddělení rehabilitace"/>
    <x v="24"/>
    <s v="2611"/>
    <s v="lůžkové oddělení 44"/>
    <s v="2611 - lůžkové oddělení 44"/>
    <s v="50113008     léky - krev.deriváty ZUL (TO)"/>
    <x v="5"/>
    <x v="2"/>
    <n v="0"/>
    <n v="13.391241940733"/>
  </r>
  <r>
    <s v="26"/>
    <s v="26"/>
    <s v="Oddělení rehabilitace"/>
    <x v="24"/>
    <s v="2611"/>
    <s v="lůžkové oddělení 44"/>
    <s v="2611 - lůžkové oddělení 44"/>
    <s v="50113013     léky (paušál) - antibiotika (LEK)"/>
    <x v="7"/>
    <x v="0"/>
    <n v="35.358710000000002"/>
    <n v="53.571957034626998"/>
  </r>
  <r>
    <s v="26"/>
    <s v="26"/>
    <s v="Oddělení rehabilitace"/>
    <x v="24"/>
    <s v="2611"/>
    <s v="lůžkové oddělení 44"/>
    <s v="2611 - lůžkové oddělení 44"/>
    <s v="50113013     léky (paušál) - antibiotika (LEK)"/>
    <x v="7"/>
    <x v="1"/>
    <n v="57.755479999999999"/>
    <n v="34.996635487151998"/>
  </r>
  <r>
    <s v="26"/>
    <s v="26"/>
    <s v="Oddělení rehabilitace"/>
    <x v="24"/>
    <s v="2611"/>
    <s v="lůžkové oddělení 44"/>
    <s v="2611 - lůžkové oddělení 44"/>
    <s v="50113013     léky (paušál) - antibiotika (LEK)"/>
    <x v="7"/>
    <x v="2"/>
    <n v="23.405600000000003"/>
    <n v="56.433132926374"/>
  </r>
  <r>
    <s v="26"/>
    <s v="26"/>
    <s v="Oddělení rehabilitace"/>
    <x v="24"/>
    <s v="2611"/>
    <s v="lůžkové oddělení 44"/>
    <s v="2611 - lůžkové oddělení 44"/>
    <s v="50113014     léky (paušál) - antimykotika (LEK)"/>
    <x v="8"/>
    <x v="0"/>
    <n v="1.3882899999999998"/>
    <n v="4.9986416992910003"/>
  </r>
  <r>
    <s v="26"/>
    <s v="26"/>
    <s v="Oddělení rehabilitace"/>
    <x v="24"/>
    <s v="2611"/>
    <s v="lůžkové oddělení 44"/>
    <s v="2611 - lůžkové oddělení 44"/>
    <s v="50113014     léky (paušál) - antimykotika (LEK)"/>
    <x v="8"/>
    <x v="1"/>
    <n v="7.6690399999999999"/>
    <n v="3.3904933360479999"/>
  </r>
  <r>
    <s v="26"/>
    <s v="26"/>
    <s v="Oddělení rehabilitace"/>
    <x v="24"/>
    <s v="2611"/>
    <s v="lůžkové oddělení 44"/>
    <s v="2611 - lůžkové oddělení 44"/>
    <s v="50113014     léky (paušál) - antimykotika (LEK)"/>
    <x v="8"/>
    <x v="2"/>
    <n v="5.0941299999999998"/>
    <n v="7.652186931648"/>
  </r>
  <r>
    <s v="26"/>
    <s v="26"/>
    <s v="Oddělení rehabilitace"/>
    <x v="24"/>
    <s v="2611"/>
    <s v="lůžkové oddělení 44"/>
    <s v="2611 - lůžkové oddělení 44"/>
    <s v="50113190     medicinální plyny"/>
    <x v="9"/>
    <x v="2"/>
    <n v="0.41399999999999998"/>
    <n v="0"/>
  </r>
  <r>
    <s v="26"/>
    <s v="26"/>
    <s v="Oddělení rehabilitace"/>
    <x v="24"/>
    <s v="2611"/>
    <s v="lůžkové oddělení 44"/>
    <s v="2611 - lůžkové oddělení 44"/>
    <s v="50115     Zdravotnické prostředky"/>
    <x v="0"/>
    <x v="0"/>
    <n v="141.29629"/>
    <n v="146.48964164229801"/>
  </r>
  <r>
    <s v="26"/>
    <s v="26"/>
    <s v="Oddělení rehabilitace"/>
    <x v="24"/>
    <s v="2611"/>
    <s v="lůžkové oddělení 44"/>
    <s v="2611 - lůžkové oddělení 44"/>
    <s v="50115     Zdravotnické prostředky"/>
    <x v="0"/>
    <x v="1"/>
    <n v="137.03673000000001"/>
    <n v="141.56925523810801"/>
  </r>
  <r>
    <s v="26"/>
    <s v="26"/>
    <s v="Oddělení rehabilitace"/>
    <x v="24"/>
    <s v="2611"/>
    <s v="lůžkové oddělení 44"/>
    <s v="2611 - lůžkové oddělení 44"/>
    <s v="50115     Zdravotnické prostředky"/>
    <x v="0"/>
    <x v="2"/>
    <n v="101.44593"/>
    <n v="145.97151997018"/>
  </r>
  <r>
    <s v="26"/>
    <s v="26"/>
    <s v="Oddělení rehabilitace"/>
    <x v="24"/>
    <s v="2611"/>
    <s v="lůžkové oddělení 44"/>
    <s v="2611 - lůžkové oddělení 44"/>
    <s v="50115020     diagnostika laboratorní-LEK (sk.Z_501)"/>
    <x v="10"/>
    <x v="0"/>
    <n v="2.5098799999989998"/>
    <n v="3"/>
  </r>
  <r>
    <s v="26"/>
    <s v="26"/>
    <s v="Oddělení rehabilitace"/>
    <x v="24"/>
    <s v="2611"/>
    <s v="lůžkové oddělení 44"/>
    <s v="2611 - lůžkové oddělení 44"/>
    <s v="50115020     diagnostika laboratorní-LEK (sk.Z_501)"/>
    <x v="10"/>
    <x v="1"/>
    <n v="1.39436"/>
    <n v="2.5098773416559998"/>
  </r>
  <r>
    <s v="26"/>
    <s v="26"/>
    <s v="Oddělení rehabilitace"/>
    <x v="24"/>
    <s v="2611"/>
    <s v="lůžkové oddělení 44"/>
    <s v="2611 - lůžkové oddělení 44"/>
    <s v="50115020     diagnostika laboratorní-LEK (sk.Z_501)"/>
    <x v="10"/>
    <x v="2"/>
    <n v="1.67327"/>
    <n v="2.9999999055069999"/>
  </r>
  <r>
    <s v="26"/>
    <s v="26"/>
    <s v="Oddělení rehabilitace"/>
    <x v="24"/>
    <s v="2611"/>
    <s v="lůžkové oddělení 44"/>
    <s v="2611 - lůžkové oddělení 44"/>
    <s v="50115040     laboratorní materiál (sk.Z_505)"/>
    <x v="11"/>
    <x v="0"/>
    <n v="0.25239999999899998"/>
    <n v="0"/>
  </r>
  <r>
    <s v="26"/>
    <s v="26"/>
    <s v="Oddělení rehabilitace"/>
    <x v="24"/>
    <s v="2611"/>
    <s v="lůžkové oddělení 44"/>
    <s v="2611 - lůžkové oddělení 44"/>
    <s v="50115040     laboratorní materiál (sk.Z_505)"/>
    <x v="11"/>
    <x v="1"/>
    <n v="0"/>
    <n v="0.25241595627899999"/>
  </r>
  <r>
    <s v="26"/>
    <s v="26"/>
    <s v="Oddělení rehabilitace"/>
    <x v="24"/>
    <s v="2611"/>
    <s v="lůžkové oddělení 44"/>
    <s v="2611 - lůžkové oddělení 44"/>
    <s v="50115050     obvazový materiál (sk.Z_502)"/>
    <x v="12"/>
    <x v="0"/>
    <n v="51.863239999998996"/>
    <n v="40.793863966038003"/>
  </r>
  <r>
    <s v="26"/>
    <s v="26"/>
    <s v="Oddělení rehabilitace"/>
    <x v="24"/>
    <s v="2611"/>
    <s v="lůžkové oddělení 44"/>
    <s v="2611 - lůžkové oddělení 44"/>
    <s v="50115050     obvazový materiál (sk.Z_502)"/>
    <x v="12"/>
    <x v="1"/>
    <n v="53.83522"/>
    <n v="51.981179676817"/>
  </r>
  <r>
    <s v="26"/>
    <s v="26"/>
    <s v="Oddělení rehabilitace"/>
    <x v="24"/>
    <s v="2611"/>
    <s v="lůžkové oddělení 44"/>
    <s v="2611 - lůžkové oddělení 44"/>
    <s v="50115050     obvazový materiál (sk.Z_502)"/>
    <x v="12"/>
    <x v="2"/>
    <n v="40.291639999999994"/>
    <n v="53.999998299129999"/>
  </r>
  <r>
    <s v="26"/>
    <s v="26"/>
    <s v="Oddělení rehabilitace"/>
    <x v="24"/>
    <s v="2611"/>
    <s v="lůžkové oddělení 44"/>
    <s v="2611 - lůžkové oddělení 44"/>
    <s v="50115060     ostatní ZPr - mimo níže uvedené (sk.Z_503)"/>
    <x v="1"/>
    <x v="0"/>
    <n v="54.125329999998989"/>
    <n v="66.428410538806006"/>
  </r>
  <r>
    <s v="26"/>
    <s v="26"/>
    <s v="Oddělení rehabilitace"/>
    <x v="24"/>
    <s v="2611"/>
    <s v="lůžkové oddělení 44"/>
    <s v="2611 - lůžkové oddělení 44"/>
    <s v="50115060     ostatní ZPr - mimo níže uvedené (sk.Z_503)"/>
    <x v="1"/>
    <x v="1"/>
    <n v="53.858590000000007"/>
    <n v="54.124922255474999"/>
  </r>
  <r>
    <s v="26"/>
    <s v="26"/>
    <s v="Oddělení rehabilitace"/>
    <x v="24"/>
    <s v="2611"/>
    <s v="lůžkové oddělení 44"/>
    <s v="2611 - lůžkové oddělení 44"/>
    <s v="50115060     ostatní ZPr - mimo níže uvedené (sk.Z_503)"/>
    <x v="1"/>
    <x v="2"/>
    <n v="37.853650000000002"/>
    <n v="54.400593507901"/>
  </r>
  <r>
    <s v="26"/>
    <s v="26"/>
    <s v="Oddělení rehabilitace"/>
    <x v="24"/>
    <s v="2611"/>
    <s v="lůžkové oddělení 44"/>
    <s v="2611 - lůžkové oddělení 44"/>
    <s v="50115063     ostatní ZPr - vaky, sety (sk.Z_528)"/>
    <x v="13"/>
    <x v="0"/>
    <n v="9.2534399999999994"/>
    <n v="11.643230038047999"/>
  </r>
  <r>
    <s v="26"/>
    <s v="26"/>
    <s v="Oddělení rehabilitace"/>
    <x v="24"/>
    <s v="2611"/>
    <s v="lůžkové oddělení 44"/>
    <s v="2611 - lůžkové oddělení 44"/>
    <s v="50115063     ostatní ZPr - vaky, sety (sk.Z_528)"/>
    <x v="13"/>
    <x v="1"/>
    <n v="8.3779599999999999"/>
    <n v="9.0648953654480007"/>
  </r>
  <r>
    <s v="26"/>
    <s v="26"/>
    <s v="Oddělení rehabilitace"/>
    <x v="24"/>
    <s v="2611"/>
    <s v="lůžkové oddělení 44"/>
    <s v="2611 - lůžkové oddělení 44"/>
    <s v="50115063     ostatní ZPr - vaky, sety (sk.Z_528)"/>
    <x v="13"/>
    <x v="2"/>
    <n v="2.46502"/>
    <n v="8.9999997165209997"/>
  </r>
  <r>
    <s v="26"/>
    <s v="26"/>
    <s v="Oddělení rehabilitace"/>
    <x v="24"/>
    <s v="2611"/>
    <s v="lůžkové oddělení 44"/>
    <s v="2611 - lůžkové oddělení 44"/>
    <s v="50115065     ostatní ZPr - vpichovací materiál (sk.Z_530)"/>
    <x v="14"/>
    <x v="0"/>
    <n v="1.232"/>
    <n v="1.8210608059660001"/>
  </r>
  <r>
    <s v="26"/>
    <s v="26"/>
    <s v="Oddělení rehabilitace"/>
    <x v="24"/>
    <s v="2611"/>
    <s v="lůžkové oddělení 44"/>
    <s v="2611 - lůžkové oddělení 44"/>
    <s v="50115065     ostatní ZPr - vpichovací materiál (sk.Z_530)"/>
    <x v="14"/>
    <x v="1"/>
    <n v="1.3928"/>
    <n v="1.263805022965"/>
  </r>
  <r>
    <s v="26"/>
    <s v="26"/>
    <s v="Oddělení rehabilitace"/>
    <x v="24"/>
    <s v="2611"/>
    <s v="lůžkové oddělení 44"/>
    <s v="2611 - lůžkové oddělení 44"/>
    <s v="50115065     ostatní ZPr - vpichovací materiál (sk.Z_530)"/>
    <x v="14"/>
    <x v="2"/>
    <n v="1.994"/>
    <n v="2.9999999055069999"/>
  </r>
  <r>
    <s v="26"/>
    <s v="26"/>
    <s v="Oddělení rehabilitace"/>
    <x v="24"/>
    <s v="2611"/>
    <s v="lůžkové oddělení 44"/>
    <s v="2611 - lůžkové oddělení 44"/>
    <s v="50115067     ostatní ZPr - rukavice (sk.Z_532)"/>
    <x v="15"/>
    <x v="0"/>
    <n v="22.060000000000002"/>
    <n v="22.803076293438"/>
  </r>
  <r>
    <s v="26"/>
    <s v="26"/>
    <s v="Oddělení rehabilitace"/>
    <x v="24"/>
    <s v="2611"/>
    <s v="lůžkové oddělení 44"/>
    <s v="2611 - lůžkové oddělení 44"/>
    <s v="50115067     ostatní ZPr - rukavice (sk.Z_532)"/>
    <x v="15"/>
    <x v="1"/>
    <n v="18.177800000000001"/>
    <n v="22.372159619464998"/>
  </r>
  <r>
    <s v="26"/>
    <s v="26"/>
    <s v="Oddělení rehabilitace"/>
    <x v="24"/>
    <s v="2611"/>
    <s v="lůžkové oddělení 44"/>
    <s v="2611 - lůžkové oddělení 44"/>
    <s v="50115067     ostatní ZPr - rukavice (sk.Z_532)"/>
    <x v="15"/>
    <x v="2"/>
    <n v="17.098800000000001"/>
    <n v="22.570928635611001"/>
  </r>
  <r>
    <s v="26"/>
    <s v="26"/>
    <s v="Oddělení rehabilitace"/>
    <x v="24"/>
    <s v="2611"/>
    <s v="lůžkové oddělení 44"/>
    <s v="2611 - lůžkové oddělení 44"/>
    <s v="50115079     ostatní ZPr - intenzivní péče (sk.Z_542)"/>
    <x v="18"/>
    <x v="2"/>
    <n v="6.9550000000000001E-2"/>
    <n v="0"/>
  </r>
  <r>
    <s v="26"/>
    <s v="26"/>
    <s v="Oddělení rehabilitace"/>
    <x v="24"/>
    <s v="2622"/>
    <s v="RHC ambulance + kineziologie,kinezioterapie"/>
    <s v="2622 - RHC ambulance + kineziologie,kinezioterapie"/>
    <s v="50113     Léky a léčiva"/>
    <x v="2"/>
    <x v="0"/>
    <n v="24.374220000000001"/>
    <n v="38.786793076488003"/>
  </r>
  <r>
    <s v="26"/>
    <s v="26"/>
    <s v="Oddělení rehabilitace"/>
    <x v="24"/>
    <s v="2622"/>
    <s v="RHC ambulance + kineziologie,kinezioterapie"/>
    <s v="2622 - RHC ambulance + kineziologie,kinezioterapie"/>
    <s v="50113     Léky a léčiva"/>
    <x v="2"/>
    <x v="1"/>
    <n v="25.429490000000001"/>
    <n v="29.418695345564998"/>
  </r>
  <r>
    <s v="26"/>
    <s v="26"/>
    <s v="Oddělení rehabilitace"/>
    <x v="24"/>
    <s v="2622"/>
    <s v="RHC ambulance + kineziologie,kinezioterapie"/>
    <s v="2622 - RHC ambulance + kineziologie,kinezioterapie"/>
    <s v="50113     Léky a léčiva"/>
    <x v="2"/>
    <x v="2"/>
    <n v="10.968780000000001"/>
    <n v="19.220850998909999"/>
  </r>
  <r>
    <s v="26"/>
    <s v="26"/>
    <s v="Oddělení rehabilitace"/>
    <x v="24"/>
    <s v="2622"/>
    <s v="RHC ambulance + kineziologie,kinezioterapie"/>
    <s v="2622 - RHC ambulance + kineziologie,kinezioterapie"/>
    <s v="50113001     léky - paušál+TISS (LEK)"/>
    <x v="3"/>
    <x v="0"/>
    <n v="24.374220000000001"/>
    <n v="38.35789621728"/>
  </r>
  <r>
    <s v="26"/>
    <s v="26"/>
    <s v="Oddělení rehabilitace"/>
    <x v="24"/>
    <s v="2622"/>
    <s v="RHC ambulance + kineziologie,kinezioterapie"/>
    <s v="2622 - RHC ambulance + kineziologie,kinezioterapie"/>
    <s v="50113001     léky - paušál+TISS (LEK)"/>
    <x v="3"/>
    <x v="1"/>
    <n v="25.429490000000001"/>
    <n v="29.418695345564998"/>
  </r>
  <r>
    <s v="26"/>
    <s v="26"/>
    <s v="Oddělení rehabilitace"/>
    <x v="24"/>
    <s v="2622"/>
    <s v="RHC ambulance + kineziologie,kinezioterapie"/>
    <s v="2622 - RHC ambulance + kineziologie,kinezioterapie"/>
    <s v="50113001     léky - paušál+TISS (LEK)"/>
    <x v="3"/>
    <x v="2"/>
    <n v="10.968780000000001"/>
    <n v="19.220850998909999"/>
  </r>
  <r>
    <s v="26"/>
    <s v="26"/>
    <s v="Oddělení rehabilitace"/>
    <x v="24"/>
    <s v="2622"/>
    <s v="RHC ambulance + kineziologie,kinezioterapie"/>
    <s v="2622 - RHC ambulance + kineziologie,kinezioterapie"/>
    <s v="50113013     léky (paušál) - antibiotika (LEK)"/>
    <x v="7"/>
    <x v="0"/>
    <n v="0"/>
    <n v="0.42889685920699999"/>
  </r>
  <r>
    <s v="26"/>
    <s v="26"/>
    <s v="Oddělení rehabilitace"/>
    <x v="24"/>
    <s v="2622"/>
    <s v="RHC ambulance + kineziologie,kinezioterapie"/>
    <s v="2622 - RHC ambulance + kineziologie,kinezioterapie"/>
    <s v="50115     Zdravotnické prostředky"/>
    <x v="0"/>
    <x v="0"/>
    <n v="5.7287699999989998"/>
    <n v="6.1973896394499999"/>
  </r>
  <r>
    <s v="26"/>
    <s v="26"/>
    <s v="Oddělení rehabilitace"/>
    <x v="24"/>
    <s v="2622"/>
    <s v="RHC ambulance + kineziologie,kinezioterapie"/>
    <s v="2622 - RHC ambulance + kineziologie,kinezioterapie"/>
    <s v="50115     Zdravotnické prostředky"/>
    <x v="0"/>
    <x v="1"/>
    <n v="5.0137499999999999"/>
    <n v="5.7528053140009998"/>
  </r>
  <r>
    <s v="26"/>
    <s v="26"/>
    <s v="Oddělení rehabilitace"/>
    <x v="24"/>
    <s v="2622"/>
    <s v="RHC ambulance + kineziologie,kinezioterapie"/>
    <s v="2622 - RHC ambulance + kineziologie,kinezioterapie"/>
    <s v="50115     Zdravotnické prostředky"/>
    <x v="0"/>
    <x v="2"/>
    <n v="5.84762"/>
    <n v="13.582470635111999"/>
  </r>
  <r>
    <s v="26"/>
    <s v="26"/>
    <s v="Oddělení rehabilitace"/>
    <x v="24"/>
    <s v="2622"/>
    <s v="RHC ambulance + kineziologie,kinezioterapie"/>
    <s v="2622 - RHC ambulance + kineziologie,kinezioterapie"/>
    <s v="50115040     laboratorní materiál (sk.Z_505)"/>
    <x v="11"/>
    <x v="0"/>
    <n v="0.20338000000000001"/>
    <n v="0"/>
  </r>
  <r>
    <s v="26"/>
    <s v="26"/>
    <s v="Oddělení rehabilitace"/>
    <x v="24"/>
    <s v="2622"/>
    <s v="RHC ambulance + kineziologie,kinezioterapie"/>
    <s v="2622 - RHC ambulance + kineziologie,kinezioterapie"/>
    <s v="50115040     laboratorní materiál (sk.Z_505)"/>
    <x v="11"/>
    <x v="1"/>
    <n v="0"/>
    <n v="0.20339285732199999"/>
  </r>
  <r>
    <s v="26"/>
    <s v="26"/>
    <s v="Oddělení rehabilitace"/>
    <x v="24"/>
    <s v="2622"/>
    <s v="RHC ambulance + kineziologie,kinezioterapie"/>
    <s v="2622 - RHC ambulance + kineziologie,kinezioterapie"/>
    <s v="50115050     obvazový materiál (sk.Z_502)"/>
    <x v="12"/>
    <x v="0"/>
    <n v="3.3524099999989998"/>
    <n v="5.2472994656839997"/>
  </r>
  <r>
    <s v="26"/>
    <s v="26"/>
    <s v="Oddělení rehabilitace"/>
    <x v="24"/>
    <s v="2622"/>
    <s v="RHC ambulance + kineziologie,kinezioterapie"/>
    <s v="2622 - RHC ambulance + kineziologie,kinezioterapie"/>
    <s v="50115050     obvazový materiál (sk.Z_502)"/>
    <x v="12"/>
    <x v="1"/>
    <n v="3.3053699999999999"/>
    <n v="3.3600335528660001"/>
  </r>
  <r>
    <s v="26"/>
    <s v="26"/>
    <s v="Oddělení rehabilitace"/>
    <x v="24"/>
    <s v="2622"/>
    <s v="RHC ambulance + kineziologie,kinezioterapie"/>
    <s v="2622 - RHC ambulance + kineziologie,kinezioterapie"/>
    <s v="50115050     obvazový materiál (sk.Z_502)"/>
    <x v="12"/>
    <x v="2"/>
    <n v="3.2946600000000004"/>
    <n v="8"/>
  </r>
  <r>
    <s v="26"/>
    <s v="26"/>
    <s v="Oddělení rehabilitace"/>
    <x v="24"/>
    <s v="2622"/>
    <s v="RHC ambulance + kineziologie,kinezioterapie"/>
    <s v="2622 - RHC ambulance + kineziologie,kinezioterapie"/>
    <s v="50115060     ostatní ZPr - mimo níže uvedené (sk.Z_503)"/>
    <x v="1"/>
    <x v="0"/>
    <n v="1.1696"/>
    <n v="0"/>
  </r>
  <r>
    <s v="26"/>
    <s v="26"/>
    <s v="Oddělení rehabilitace"/>
    <x v="24"/>
    <s v="2622"/>
    <s v="RHC ambulance + kineziologie,kinezioterapie"/>
    <s v="2622 - RHC ambulance + kineziologie,kinezioterapie"/>
    <s v="50115060     ostatní ZPr - mimo níže uvedené (sk.Z_503)"/>
    <x v="1"/>
    <x v="1"/>
    <n v="0.81398000000000004"/>
    <n v="1.1695911890049999"/>
  </r>
  <r>
    <s v="26"/>
    <s v="26"/>
    <s v="Oddělení rehabilitace"/>
    <x v="24"/>
    <s v="2622"/>
    <s v="RHC ambulance + kineziologie,kinezioterapie"/>
    <s v="2622 - RHC ambulance + kineziologie,kinezioterapie"/>
    <s v="50115060     ostatní ZPr - mimo níže uvedené (sk.Z_503)"/>
    <x v="1"/>
    <x v="2"/>
    <n v="1.19255"/>
    <n v="5"/>
  </r>
  <r>
    <s v="26"/>
    <s v="26"/>
    <s v="Oddělení rehabilitace"/>
    <x v="24"/>
    <s v="2622"/>
    <s v="RHC ambulance + kineziologie,kinezioterapie"/>
    <s v="2622 - RHC ambulance + kineziologie,kinezioterapie"/>
    <s v="50115065     ostatní ZPr - vpichovací materiál (sk.Z_530)"/>
    <x v="14"/>
    <x v="0"/>
    <n v="0.18939999999899998"/>
    <n v="0"/>
  </r>
  <r>
    <s v="26"/>
    <s v="26"/>
    <s v="Oddělení rehabilitace"/>
    <x v="24"/>
    <s v="2622"/>
    <s v="RHC ambulance + kineziologie,kinezioterapie"/>
    <s v="2622 - RHC ambulance + kineziologie,kinezioterapie"/>
    <s v="50115065     ostatní ZPr - vpichovací materiál (sk.Z_530)"/>
    <x v="14"/>
    <x v="1"/>
    <n v="0.18440000000000001"/>
    <n v="0.194289505965"/>
  </r>
  <r>
    <s v="26"/>
    <s v="26"/>
    <s v="Oddělení rehabilitace"/>
    <x v="24"/>
    <s v="2622"/>
    <s v="RHC ambulance + kineziologie,kinezioterapie"/>
    <s v="2622 - RHC ambulance + kineziologie,kinezioterapie"/>
    <s v="50115065     ostatní ZPr - vpichovací materiál (sk.Z_530)"/>
    <x v="14"/>
    <x v="2"/>
    <n v="0.2964"/>
    <n v="0.15339999516799999"/>
  </r>
  <r>
    <s v="26"/>
    <s v="26"/>
    <s v="Oddělení rehabilitace"/>
    <x v="24"/>
    <s v="2622"/>
    <s v="RHC ambulance + kineziologie,kinezioterapie"/>
    <s v="2622 - RHC ambulance + kineziologie,kinezioterapie"/>
    <s v="50115067     ostatní ZPr - rukavice (sk.Z_532)"/>
    <x v="15"/>
    <x v="0"/>
    <n v="0.81397999999999993"/>
    <n v="0.95009017376600002"/>
  </r>
  <r>
    <s v="26"/>
    <s v="26"/>
    <s v="Oddělení rehabilitace"/>
    <x v="24"/>
    <s v="2622"/>
    <s v="RHC ambulance + kineziologie,kinezioterapie"/>
    <s v="2622 - RHC ambulance + kineziologie,kinezioterapie"/>
    <s v="50115067     ostatní ZPr - rukavice (sk.Z_532)"/>
    <x v="15"/>
    <x v="1"/>
    <n v="0.71"/>
    <n v="0.825498208841"/>
  </r>
  <r>
    <s v="26"/>
    <s v="26"/>
    <s v="Oddělení rehabilitace"/>
    <x v="24"/>
    <s v="2622"/>
    <s v="RHC ambulance + kineziologie,kinezioterapie"/>
    <s v="2622 - RHC ambulance + kineziologie,kinezioterapie"/>
    <s v="50115067     ostatní ZPr - rukavice (sk.Z_532)"/>
    <x v="15"/>
    <x v="2"/>
    <n v="0.99399999999999999"/>
    <n v="0.42907063994400002"/>
  </r>
  <r>
    <s v="26"/>
    <s v="26"/>
    <s v="Oddělení rehabilitace"/>
    <x v="24"/>
    <s v="2622"/>
    <s v="RHC ambulance + kineziologie,kinezioterapie"/>
    <s v="2622 - RHC ambulance + kineziologie,kinezioterapie"/>
    <s v="50115079     ostatní ZPr - intenzivní péče (sk.Z_542)"/>
    <x v="18"/>
    <x v="2"/>
    <n v="7.0010000000000003E-2"/>
    <n v="0"/>
  </r>
  <r>
    <s v="27"/>
    <s v="27"/>
    <s v="Klinika tělovýchovného lékařství a kardiovaskulární rehabilitace"/>
    <x v="25"/>
    <s v="2721"/>
    <s v="TVL ambulance"/>
    <s v="2721 - TVL ambulance"/>
    <s v="50113     Léky a léčiva"/>
    <x v="2"/>
    <x v="0"/>
    <n v="3.5531899999990002"/>
    <n v="15.422640104956001"/>
  </r>
  <r>
    <s v="27"/>
    <s v="27"/>
    <s v="Klinika tělovýchovného lékařství a kardiovaskulární rehabilitace"/>
    <x v="25"/>
    <s v="2721"/>
    <s v="TVL ambulance"/>
    <s v="2721 - TVL ambulance"/>
    <s v="50113     Léky a léčiva"/>
    <x v="2"/>
    <x v="1"/>
    <n v="1.6068500000000001"/>
    <n v="3.471613634279"/>
  </r>
  <r>
    <s v="27"/>
    <s v="27"/>
    <s v="Klinika tělovýchovného lékařství a kardiovaskulární rehabilitace"/>
    <x v="25"/>
    <s v="2721"/>
    <s v="TVL ambulance"/>
    <s v="2721 - TVL ambulance"/>
    <s v="50113     Léky a léčiva"/>
    <x v="2"/>
    <x v="2"/>
    <n v="7.9141500000000002"/>
    <n v="7"/>
  </r>
  <r>
    <s v="27"/>
    <s v="27"/>
    <s v="Klinika tělovýchovného lékařství a kardiovaskulární rehabilitace"/>
    <x v="25"/>
    <s v="2721"/>
    <s v="TVL ambulance"/>
    <s v="2721 - TVL ambulance"/>
    <s v="50113001     léky - paušál+TISS (LEK)"/>
    <x v="3"/>
    <x v="0"/>
    <n v="1.6395899999990002"/>
    <n v="2.0734680508530001"/>
  </r>
  <r>
    <s v="27"/>
    <s v="27"/>
    <s v="Klinika tělovýchovného lékařství a kardiovaskulární rehabilitace"/>
    <x v="25"/>
    <s v="2721"/>
    <s v="TVL ambulance"/>
    <s v="2721 - TVL ambulance"/>
    <s v="50113001     léky - paušál+TISS (LEK)"/>
    <x v="3"/>
    <x v="1"/>
    <n v="1.6068500000000001"/>
    <n v="1.6408319741070001"/>
  </r>
  <r>
    <s v="27"/>
    <s v="27"/>
    <s v="Klinika tělovýchovného lékařství a kardiovaskulární rehabilitace"/>
    <x v="25"/>
    <s v="2721"/>
    <s v="TVL ambulance"/>
    <s v="2721 - TVL ambulance"/>
    <s v="50113001     léky - paušál+TISS (LEK)"/>
    <x v="3"/>
    <x v="2"/>
    <n v="2.9531499999999999"/>
    <n v="7"/>
  </r>
  <r>
    <s v="27"/>
    <s v="27"/>
    <s v="Klinika tělovýchovného lékařství a kardiovaskulární rehabilitace"/>
    <x v="25"/>
    <s v="2721"/>
    <s v="TVL ambulance"/>
    <s v="2721 - TVL ambulance"/>
    <s v="50113190     medicinální plyny"/>
    <x v="9"/>
    <x v="0"/>
    <n v="1.9136"/>
    <n v="13.349172054103001"/>
  </r>
  <r>
    <s v="27"/>
    <s v="27"/>
    <s v="Klinika tělovýchovného lékařství a kardiovaskulární rehabilitace"/>
    <x v="25"/>
    <s v="2721"/>
    <s v="TVL ambulance"/>
    <s v="2721 - TVL ambulance"/>
    <s v="50113190     medicinální plyny"/>
    <x v="9"/>
    <x v="1"/>
    <n v="0"/>
    <n v="1.8307816601710001"/>
  </r>
  <r>
    <s v="27"/>
    <s v="27"/>
    <s v="Klinika tělovýchovného lékařství a kardiovaskulární rehabilitace"/>
    <x v="25"/>
    <s v="2721"/>
    <s v="TVL ambulance"/>
    <s v="2721 - TVL ambulance"/>
    <s v="50113190     medicinální plyny"/>
    <x v="9"/>
    <x v="2"/>
    <n v="4.9610000000000003"/>
    <n v="0"/>
  </r>
  <r>
    <s v="27"/>
    <s v="27"/>
    <s v="Klinika tělovýchovného lékařství a kardiovaskulární rehabilitace"/>
    <x v="25"/>
    <s v="2721"/>
    <s v="TVL ambulance"/>
    <s v="2721 - TVL ambulance"/>
    <s v="50115     Zdravotnické prostředky"/>
    <x v="0"/>
    <x v="0"/>
    <n v="21.802659999999999"/>
    <n v="12.255690868121"/>
  </r>
  <r>
    <s v="27"/>
    <s v="27"/>
    <s v="Klinika tělovýchovného lékařství a kardiovaskulární rehabilitace"/>
    <x v="25"/>
    <s v="2721"/>
    <s v="TVL ambulance"/>
    <s v="2721 - TVL ambulance"/>
    <s v="50115     Zdravotnické prostředky"/>
    <x v="0"/>
    <x v="1"/>
    <n v="23.153539999999996"/>
    <n v="23.975659959430999"/>
  </r>
  <r>
    <s v="27"/>
    <s v="27"/>
    <s v="Klinika tělovýchovného lékařství a kardiovaskulární rehabilitace"/>
    <x v="25"/>
    <s v="2721"/>
    <s v="TVL ambulance"/>
    <s v="2721 - TVL ambulance"/>
    <s v="50115     Zdravotnické prostředky"/>
    <x v="0"/>
    <x v="2"/>
    <n v="10.700359999999002"/>
    <n v="35.592359193901999"/>
  </r>
  <r>
    <s v="27"/>
    <s v="27"/>
    <s v="Klinika tělovýchovného lékařství a kardiovaskulární rehabilitace"/>
    <x v="25"/>
    <s v="2721"/>
    <s v="TVL ambulance"/>
    <s v="2721 - TVL ambulance"/>
    <s v="50115007     implant.dentální - samoplátci (sk.Z_526)"/>
    <x v="59"/>
    <x v="2"/>
    <n v="40.517989999999998"/>
    <n v="0"/>
  </r>
  <r>
    <s v="27"/>
    <s v="27"/>
    <s v="Klinika tělovýchovného lékařství a kardiovaskulární rehabilitace"/>
    <x v="25"/>
    <s v="2721"/>
    <s v="TVL ambulance"/>
    <s v="2721 - TVL ambulance"/>
    <s v="50115020     diagnostika laboratorní-LEK (sk.Z_501)"/>
    <x v="10"/>
    <x v="0"/>
    <n v="1.576009999999"/>
    <n v="2.755607729152"/>
  </r>
  <r>
    <s v="27"/>
    <s v="27"/>
    <s v="Klinika tělovýchovného lékařství a kardiovaskulární rehabilitace"/>
    <x v="25"/>
    <s v="2721"/>
    <s v="TVL ambulance"/>
    <s v="2721 - TVL ambulance"/>
    <s v="50115020     diagnostika laboratorní-LEK (sk.Z_501)"/>
    <x v="10"/>
    <x v="1"/>
    <n v="4.3874599999999999"/>
    <n v="1.576008330766"/>
  </r>
  <r>
    <s v="27"/>
    <s v="27"/>
    <s v="Klinika tělovýchovného lékařství a kardiovaskulární rehabilitace"/>
    <x v="25"/>
    <s v="2721"/>
    <s v="TVL ambulance"/>
    <s v="2721 - TVL ambulance"/>
    <s v="50115020     diagnostika laboratorní-LEK (sk.Z_501)"/>
    <x v="10"/>
    <x v="2"/>
    <n v="3.0830799999999998"/>
    <n v="10"/>
  </r>
  <r>
    <s v="27"/>
    <s v="27"/>
    <s v="Klinika tělovýchovného lékařství a kardiovaskulární rehabilitace"/>
    <x v="25"/>
    <s v="2721"/>
    <s v="TVL ambulance"/>
    <s v="2721 - TVL ambulance"/>
    <s v="50115050     obvazový materiál (sk.Z_502)"/>
    <x v="12"/>
    <x v="0"/>
    <n v="9.7289999999999988E-2"/>
    <n v="0"/>
  </r>
  <r>
    <s v="27"/>
    <s v="27"/>
    <s v="Klinika tělovýchovného lékařství a kardiovaskulární rehabilitace"/>
    <x v="25"/>
    <s v="2721"/>
    <s v="TVL ambulance"/>
    <s v="2721 - TVL ambulance"/>
    <s v="50115050     obvazový materiál (sk.Z_502)"/>
    <x v="12"/>
    <x v="1"/>
    <n v="0.18228"/>
    <n v="9.7511242466E-2"/>
  </r>
  <r>
    <s v="27"/>
    <s v="27"/>
    <s v="Klinika tělovýchovného lékařství a kardiovaskulární rehabilitace"/>
    <x v="25"/>
    <s v="2721"/>
    <s v="TVL ambulance"/>
    <s v="2721 - TVL ambulance"/>
    <s v="50115050     obvazový materiál (sk.Z_502)"/>
    <x v="12"/>
    <x v="2"/>
    <n v="2.2109999999999998E-2"/>
    <n v="0.417359986854"/>
  </r>
  <r>
    <s v="27"/>
    <s v="27"/>
    <s v="Klinika tělovýchovného lékařství a kardiovaskulární rehabilitace"/>
    <x v="25"/>
    <s v="2721"/>
    <s v="TVL ambulance"/>
    <s v="2721 - TVL ambulance"/>
    <s v="50115060     ostatní ZPr - mimo níže uvedené (sk.Z_503)"/>
    <x v="1"/>
    <x v="0"/>
    <n v="19.315559999999998"/>
    <n v="8.5499929652080002"/>
  </r>
  <r>
    <s v="27"/>
    <s v="27"/>
    <s v="Klinika tělovýchovného lékařství a kardiovaskulární rehabilitace"/>
    <x v="25"/>
    <s v="2721"/>
    <s v="TVL ambulance"/>
    <s v="2721 - TVL ambulance"/>
    <s v="50115060     ostatní ZPr - mimo níže uvedené (sk.Z_503)"/>
    <x v="1"/>
    <x v="1"/>
    <n v="18.408799999999999"/>
    <n v="21.476824724442999"/>
  </r>
  <r>
    <s v="27"/>
    <s v="27"/>
    <s v="Klinika tělovýchovného lékařství a kardiovaskulární rehabilitace"/>
    <x v="25"/>
    <s v="2721"/>
    <s v="TVL ambulance"/>
    <s v="2721 - TVL ambulance"/>
    <s v="50115060     ostatní ZPr - mimo níže uvedené (sk.Z_503)"/>
    <x v="1"/>
    <x v="2"/>
    <n v="7.4864100000000002"/>
    <n v="23.999999244057999"/>
  </r>
  <r>
    <s v="27"/>
    <s v="27"/>
    <s v="Klinika tělovýchovného lékařství a kardiovaskulární rehabilitace"/>
    <x v="25"/>
    <s v="2721"/>
    <s v="TVL ambulance"/>
    <s v="2721 - TVL ambulance"/>
    <s v="50115065     ostatní ZPr - vpichovací materiál (sk.Z_530)"/>
    <x v="14"/>
    <x v="1"/>
    <n v="0.17499999999999999"/>
    <n v="0"/>
  </r>
  <r>
    <s v="27"/>
    <s v="27"/>
    <s v="Klinika tělovýchovného lékařství a kardiovaskulární rehabilitace"/>
    <x v="25"/>
    <s v="2721"/>
    <s v="TVL ambulance"/>
    <s v="2721 - TVL ambulance"/>
    <s v="50115065     ostatní ZPr - vpichovací materiál (sk.Z_530)"/>
    <x v="14"/>
    <x v="2"/>
    <n v="1.09E-2"/>
    <n v="0.17499999448699999"/>
  </r>
  <r>
    <s v="27"/>
    <s v="27"/>
    <s v="Klinika tělovýchovného lékařství a kardiovaskulární rehabilitace"/>
    <x v="25"/>
    <s v="2721"/>
    <s v="TVL ambulance"/>
    <s v="2721 - TVL ambulance"/>
    <s v="50115067     ostatní ZPr - rukavice (sk.Z_532)"/>
    <x v="15"/>
    <x v="0"/>
    <n v="0.8137999999990001"/>
    <n v="0.95009017376000005"/>
  </r>
  <r>
    <s v="27"/>
    <s v="27"/>
    <s v="Klinika tělovýchovného lékařství a kardiovaskulární rehabilitace"/>
    <x v="25"/>
    <s v="2721"/>
    <s v="TVL ambulance"/>
    <s v="2721 - TVL ambulance"/>
    <s v="50115067     ostatní ZPr - rukavice (sk.Z_532)"/>
    <x v="15"/>
    <x v="1"/>
    <n v="0"/>
    <n v="0.82531566175500004"/>
  </r>
  <r>
    <s v="27"/>
    <s v="27"/>
    <s v="Klinika tělovýchovného lékařství a kardiovaskulární rehabilitace"/>
    <x v="25"/>
    <s v="2721"/>
    <s v="TVL ambulance"/>
    <s v="2721 - TVL ambulance"/>
    <s v="50115067     ostatní ZPr - rukavice (sk.Z_532)"/>
    <x v="15"/>
    <x v="2"/>
    <n v="0"/>
    <n v="0.99999996850200001"/>
  </r>
  <r>
    <s v="27"/>
    <s v="27"/>
    <s v="Klinika tělovýchovného lékařství a kardiovaskulární rehabilitace"/>
    <x v="25"/>
    <s v="2721"/>
    <s v="TVL ambulance"/>
    <s v="2721 - TVL ambulance"/>
    <s v="50115079     ostatní ZPr - intenzivní péče (sk.Z_542)"/>
    <x v="18"/>
    <x v="2"/>
    <n v="9.7860000000000003E-2"/>
    <n v="0"/>
  </r>
  <r>
    <s v="27"/>
    <s v="27"/>
    <s v="Klinika tělovýchovného lékařství a kardiovaskulární rehabilitace"/>
    <x v="25"/>
    <s v="2721"/>
    <s v="TVL ambulance"/>
    <s v="2721 - TVL ambulance"/>
    <s v="50115090     ostatní ZPr - zubolékařský materiál (sk.Z_509)"/>
    <x v="51"/>
    <x v="2"/>
    <n v="-40.517989999999998"/>
    <n v="0"/>
  </r>
  <r>
    <s v="27"/>
    <s v="27"/>
    <s v="Klinika tělovýchovného lékařství a kardiovaskulární rehabilitace"/>
    <x v="25"/>
    <s v="2722"/>
    <m/>
    <s v="2722 - "/>
    <s v="50115     Zdravotnické prostředky"/>
    <x v="0"/>
    <x v="0"/>
    <n v="5.1614300000000002"/>
    <n v="0"/>
  </r>
  <r>
    <s v="27"/>
    <s v="27"/>
    <s v="Klinika tělovýchovného lékařství a kardiovaskulární rehabilitace"/>
    <x v="25"/>
    <s v="2722"/>
    <m/>
    <s v="2722 - "/>
    <s v="50115     Zdravotnické prostředky"/>
    <x v="0"/>
    <x v="1"/>
    <n v="0"/>
    <n v="2.9999808820629998"/>
  </r>
  <r>
    <s v="27"/>
    <s v="27"/>
    <s v="Klinika tělovýchovného lékařství a kardiovaskulární rehabilitace"/>
    <x v="25"/>
    <s v="2722"/>
    <m/>
    <s v="2722 - "/>
    <s v="50115060     ostatní ZPr - mimo níže uvedené (sk.Z_503)"/>
    <x v="1"/>
    <x v="0"/>
    <n v="5.1614300000000002"/>
    <n v="0"/>
  </r>
  <r>
    <s v="27"/>
    <s v="27"/>
    <s v="Klinika tělovýchovného lékařství a kardiovaskulární rehabilitace"/>
    <x v="25"/>
    <s v="2722"/>
    <m/>
    <s v="2722 - "/>
    <s v="50115060     ostatní ZPr - mimo níže uvedené (sk.Z_503)"/>
    <x v="1"/>
    <x v="1"/>
    <n v="0"/>
    <n v="2.9999808820629998"/>
  </r>
  <r>
    <s v="28"/>
    <s v="28"/>
    <s v="Ústav lékařské genetiky"/>
    <x v="26"/>
    <s v="2821"/>
    <s v="ambulance"/>
    <s v="2821 - ambulance"/>
    <s v="50113     Léky a léčiva"/>
    <x v="2"/>
    <x v="0"/>
    <n v="47.063589999999003"/>
    <n v="47.596782968682"/>
  </r>
  <r>
    <s v="28"/>
    <s v="28"/>
    <s v="Ústav lékařské genetiky"/>
    <x v="26"/>
    <s v="2821"/>
    <s v="ambulance"/>
    <s v="2821 - ambulance"/>
    <s v="50113     Léky a léčiva"/>
    <x v="2"/>
    <x v="1"/>
    <n v="28.564539999999997"/>
    <n v="47.099669932064003"/>
  </r>
  <r>
    <s v="28"/>
    <s v="28"/>
    <s v="Ústav lékařské genetiky"/>
    <x v="26"/>
    <s v="2821"/>
    <s v="ambulance"/>
    <s v="2821 - ambulance"/>
    <s v="50113     Léky a léčiva"/>
    <x v="2"/>
    <x v="2"/>
    <n v="0.13088"/>
    <n v="25.306431013611"/>
  </r>
  <r>
    <s v="28"/>
    <s v="28"/>
    <s v="Ústav lékařské genetiky"/>
    <x v="26"/>
    <s v="2821"/>
    <s v="ambulance"/>
    <s v="2821 - ambulance"/>
    <s v="50113001     léky - paušál+TISS (LEK)"/>
    <x v="3"/>
    <x v="0"/>
    <n v="47.025899999998991"/>
    <n v="47.199134880831998"/>
  </r>
  <r>
    <s v="28"/>
    <s v="28"/>
    <s v="Ústav lékařské genetiky"/>
    <x v="26"/>
    <s v="2821"/>
    <s v="ambulance"/>
    <s v="2821 - ambulance"/>
    <s v="50113001     léky - paušál+TISS (LEK)"/>
    <x v="3"/>
    <x v="1"/>
    <n v="28.564539999999997"/>
    <n v="47.061521679922997"/>
  </r>
  <r>
    <s v="28"/>
    <s v="28"/>
    <s v="Ústav lékařské genetiky"/>
    <x v="26"/>
    <s v="2821"/>
    <s v="ambulance"/>
    <s v="2821 - ambulance"/>
    <s v="50113001     léky - paušál+TISS (LEK)"/>
    <x v="3"/>
    <x v="2"/>
    <n v="0.13088"/>
    <n v="25.306431013611"/>
  </r>
  <r>
    <s v="28"/>
    <s v="28"/>
    <s v="Ústav lékařské genetiky"/>
    <x v="26"/>
    <s v="2821"/>
    <s v="ambulance"/>
    <s v="2821 - ambulance"/>
    <s v="50113013     léky (paušál) - antibiotika (LEK)"/>
    <x v="7"/>
    <x v="0"/>
    <n v="3.7690000000000001E-2"/>
    <n v="0.39764808784900002"/>
  </r>
  <r>
    <s v="28"/>
    <s v="28"/>
    <s v="Ústav lékařské genetiky"/>
    <x v="26"/>
    <s v="2821"/>
    <s v="ambulance"/>
    <s v="2821 - ambulance"/>
    <s v="50113013     léky (paušál) - antibiotika (LEK)"/>
    <x v="7"/>
    <x v="1"/>
    <n v="0"/>
    <n v="3.8148252139999998E-2"/>
  </r>
  <r>
    <s v="28"/>
    <s v="28"/>
    <s v="Ústav lékařské genetiky"/>
    <x v="26"/>
    <s v="2821"/>
    <s v="ambulance"/>
    <s v="2821 - ambulance"/>
    <s v="50115     Zdravotnické prostředky"/>
    <x v="0"/>
    <x v="0"/>
    <n v="82.374669999999"/>
    <n v="155.01143827840301"/>
  </r>
  <r>
    <s v="28"/>
    <s v="28"/>
    <s v="Ústav lékařské genetiky"/>
    <x v="26"/>
    <s v="2821"/>
    <s v="ambulance"/>
    <s v="2821 - ambulance"/>
    <s v="50115     Zdravotnické prostředky"/>
    <x v="0"/>
    <x v="1"/>
    <n v="39.638350000000003"/>
    <n v="82.868069391397"/>
  </r>
  <r>
    <s v="28"/>
    <s v="28"/>
    <s v="Ústav lékařské genetiky"/>
    <x v="26"/>
    <s v="2821"/>
    <s v="ambulance"/>
    <s v="2821 - ambulance"/>
    <s v="50115     Zdravotnické prostředky"/>
    <x v="0"/>
    <x v="2"/>
    <n v="23.618850000000002"/>
    <n v="58.728862396261"/>
  </r>
  <r>
    <s v="28"/>
    <s v="28"/>
    <s v="Ústav lékařské genetiky"/>
    <x v="26"/>
    <s v="2821"/>
    <s v="ambulance"/>
    <s v="2821 - ambulance"/>
    <s v="50115020     diagnostika laboratorní-LEK (sk.Z_501)"/>
    <x v="10"/>
    <x v="0"/>
    <n v="5.8669200000000004"/>
    <n v="40.415048027620998"/>
  </r>
  <r>
    <s v="28"/>
    <s v="28"/>
    <s v="Ústav lékařské genetiky"/>
    <x v="26"/>
    <s v="2821"/>
    <s v="ambulance"/>
    <s v="2821 - ambulance"/>
    <s v="50115020     diagnostika laboratorní-LEK (sk.Z_501)"/>
    <x v="10"/>
    <x v="1"/>
    <n v="0"/>
    <n v="5.8669137860399996"/>
  </r>
  <r>
    <s v="28"/>
    <s v="28"/>
    <s v="Ústav lékařské genetiky"/>
    <x v="26"/>
    <s v="2821"/>
    <s v="ambulance"/>
    <s v="2821 - ambulance"/>
    <s v="50115040     laboratorní materiál (sk.Z_505)"/>
    <x v="11"/>
    <x v="2"/>
    <n v="7.8891999999999998"/>
    <n v="0"/>
  </r>
  <r>
    <s v="28"/>
    <s v="28"/>
    <s v="Ústav lékařské genetiky"/>
    <x v="26"/>
    <s v="2821"/>
    <s v="ambulance"/>
    <s v="2821 - ambulance"/>
    <s v="50115050     obvazový materiál (sk.Z_502)"/>
    <x v="12"/>
    <x v="0"/>
    <n v="20.98657"/>
    <n v="40.434177059695003"/>
  </r>
  <r>
    <s v="28"/>
    <s v="28"/>
    <s v="Ústav lékařské genetiky"/>
    <x v="26"/>
    <s v="2821"/>
    <s v="ambulance"/>
    <s v="2821 - ambulance"/>
    <s v="50115050     obvazový materiál (sk.Z_502)"/>
    <x v="12"/>
    <x v="1"/>
    <n v="8.6763300000000001"/>
    <n v="21.034294540219001"/>
  </r>
  <r>
    <s v="28"/>
    <s v="28"/>
    <s v="Ústav lékařské genetiky"/>
    <x v="26"/>
    <s v="2821"/>
    <s v="ambulance"/>
    <s v="2821 - ambulance"/>
    <s v="50115050     obvazový materiál (sk.Z_502)"/>
    <x v="12"/>
    <x v="2"/>
    <n v="3.1656300000000002"/>
    <n v="17.407083908533"/>
  </r>
  <r>
    <s v="28"/>
    <s v="28"/>
    <s v="Ústav lékařské genetiky"/>
    <x v="26"/>
    <s v="2821"/>
    <s v="ambulance"/>
    <s v="2821 - ambulance"/>
    <s v="50115060     ostatní ZPr - mimo níže uvedené (sk.Z_503)"/>
    <x v="1"/>
    <x v="0"/>
    <n v="35.061360000000001"/>
    <n v="54.088816012537002"/>
  </r>
  <r>
    <s v="28"/>
    <s v="28"/>
    <s v="Ústav lékařské genetiky"/>
    <x v="26"/>
    <s v="2821"/>
    <s v="ambulance"/>
    <s v="2821 - ambulance"/>
    <s v="50115060     ostatní ZPr - mimo níže uvedené (sk.Z_503)"/>
    <x v="1"/>
    <x v="1"/>
    <n v="19.609399999999997"/>
    <n v="35.061095870846998"/>
  </r>
  <r>
    <s v="28"/>
    <s v="28"/>
    <s v="Ústav lékařské genetiky"/>
    <x v="26"/>
    <s v="2821"/>
    <s v="ambulance"/>
    <s v="2821 - ambulance"/>
    <s v="50115060     ostatní ZPr - mimo níže uvedené (sk.Z_503)"/>
    <x v="1"/>
    <x v="2"/>
    <n v="6.2872200000000005"/>
    <n v="22.579221033235999"/>
  </r>
  <r>
    <s v="28"/>
    <s v="28"/>
    <s v="Ústav lékařské genetiky"/>
    <x v="26"/>
    <s v="2821"/>
    <s v="ambulance"/>
    <s v="2821 - ambulance"/>
    <s v="50115063     ostatní ZPr - vaky, sety (sk.Z_528)"/>
    <x v="13"/>
    <x v="1"/>
    <n v="8.1699999999999995E-2"/>
    <n v="0"/>
  </r>
  <r>
    <s v="28"/>
    <s v="28"/>
    <s v="Ústav lékařské genetiky"/>
    <x v="26"/>
    <s v="2821"/>
    <s v="ambulance"/>
    <s v="2821 - ambulance"/>
    <s v="50115063     ostatní ZPr - vaky, sety (sk.Z_528)"/>
    <x v="13"/>
    <x v="2"/>
    <n v="8.1600000000000006E-2"/>
    <n v="8.1699997425999996E-2"/>
  </r>
  <r>
    <s v="28"/>
    <s v="28"/>
    <s v="Ústav lékařské genetiky"/>
    <x v="26"/>
    <s v="2821"/>
    <s v="ambulance"/>
    <s v="2821 - ambulance"/>
    <s v="50115065     ostatní ZPr - vpichovací materiál (sk.Z_530)"/>
    <x v="14"/>
    <x v="0"/>
    <n v="13.40978"/>
    <n v="15.202151720911001"/>
  </r>
  <r>
    <s v="28"/>
    <s v="28"/>
    <s v="Ústav lékařské genetiky"/>
    <x v="26"/>
    <s v="2821"/>
    <s v="ambulance"/>
    <s v="2821 - ambulance"/>
    <s v="50115065     ostatní ZPr - vpichovací materiál (sk.Z_530)"/>
    <x v="14"/>
    <x v="1"/>
    <n v="6.7423199999999994"/>
    <n v="13.755963734470001"/>
  </r>
  <r>
    <s v="28"/>
    <s v="28"/>
    <s v="Ústav lékařské genetiky"/>
    <x v="26"/>
    <s v="2821"/>
    <s v="ambulance"/>
    <s v="2821 - ambulance"/>
    <s v="50115065     ostatní ZPr - vpichovací materiál (sk.Z_530)"/>
    <x v="14"/>
    <x v="2"/>
    <n v="2.1520000000000001"/>
    <n v="12.902682053197999"/>
  </r>
  <r>
    <s v="28"/>
    <s v="28"/>
    <s v="Ústav lékařské genetiky"/>
    <x v="26"/>
    <s v="2821"/>
    <s v="ambulance"/>
    <s v="2821 - ambulance"/>
    <s v="50115067     ostatní ZPr - rukavice (sk.Z_532)"/>
    <x v="15"/>
    <x v="0"/>
    <n v="7.050039999999"/>
    <n v="4.8712454576370003"/>
  </r>
  <r>
    <s v="28"/>
    <s v="28"/>
    <s v="Ústav lékařské genetiky"/>
    <x v="26"/>
    <s v="2821"/>
    <s v="ambulance"/>
    <s v="2821 - ambulance"/>
    <s v="50115067     ostatní ZPr - rukavice (sk.Z_532)"/>
    <x v="15"/>
    <x v="1"/>
    <n v="4.5286"/>
    <n v="7.1498014598189998"/>
  </r>
  <r>
    <s v="28"/>
    <s v="28"/>
    <s v="Ústav lékařské genetiky"/>
    <x v="26"/>
    <s v="2821"/>
    <s v="ambulance"/>
    <s v="2821 - ambulance"/>
    <s v="50115067     ostatní ZPr - rukavice (sk.Z_532)"/>
    <x v="15"/>
    <x v="2"/>
    <n v="4.0431999999999997"/>
    <n v="5.7581754038649997"/>
  </r>
  <r>
    <s v="28"/>
    <s v="28"/>
    <s v="Ústav lékařské genetiky"/>
    <x v="26"/>
    <s v="2841"/>
    <s v="laboratoř"/>
    <s v="2841 - laboratoř"/>
    <s v="50113     Léky a léčiva"/>
    <x v="2"/>
    <x v="0"/>
    <n v="47.935569999999998"/>
    <n v="40.847818171394998"/>
  </r>
  <r>
    <s v="28"/>
    <s v="28"/>
    <s v="Ústav lékařské genetiky"/>
    <x v="26"/>
    <s v="2841"/>
    <s v="laboratoř"/>
    <s v="2841 - laboratoř"/>
    <s v="50113     Léky a léčiva"/>
    <x v="2"/>
    <x v="1"/>
    <n v="33.940130000000003"/>
    <n v="46.709029584767997"/>
  </r>
  <r>
    <s v="28"/>
    <s v="28"/>
    <s v="Ústav lékařské genetiky"/>
    <x v="26"/>
    <s v="2841"/>
    <s v="laboratoř"/>
    <s v="2841 - laboratoř"/>
    <s v="50113     Léky a léčiva"/>
    <x v="2"/>
    <x v="2"/>
    <n v="19.35811"/>
    <n v="35.675435126400998"/>
  </r>
  <r>
    <s v="28"/>
    <s v="28"/>
    <s v="Ústav lékařské genetiky"/>
    <x v="26"/>
    <s v="2841"/>
    <s v="laboratoř"/>
    <s v="2841 - laboratoř"/>
    <s v="50113001     léky - paušál+TISS (LEK)"/>
    <x v="3"/>
    <x v="0"/>
    <n v="41.728589999999997"/>
    <n v="38.800703224715001"/>
  </r>
  <r>
    <s v="28"/>
    <s v="28"/>
    <s v="Ústav lékařské genetiky"/>
    <x v="26"/>
    <s v="2841"/>
    <s v="laboratoř"/>
    <s v="2841 - laboratoř"/>
    <s v="50113001     léky - paušál+TISS (LEK)"/>
    <x v="3"/>
    <x v="1"/>
    <n v="31.224890000000002"/>
    <n v="40.760198243279"/>
  </r>
  <r>
    <s v="28"/>
    <s v="28"/>
    <s v="Ústav lékařské genetiky"/>
    <x v="26"/>
    <s v="2841"/>
    <s v="laboratoř"/>
    <s v="2841 - laboratoř"/>
    <s v="50113001     léky - paušál+TISS (LEK)"/>
    <x v="3"/>
    <x v="2"/>
    <n v="19.35811"/>
    <n v="33.998049564709"/>
  </r>
  <r>
    <s v="28"/>
    <s v="28"/>
    <s v="Ústav lékařské genetiky"/>
    <x v="26"/>
    <s v="2841"/>
    <s v="laboratoř"/>
    <s v="2841 - laboratoř"/>
    <s v="50113013     léky (paušál) - antibiotika (LEK)"/>
    <x v="7"/>
    <x v="0"/>
    <n v="0.18907999999999997"/>
    <n v="0"/>
  </r>
  <r>
    <s v="28"/>
    <s v="28"/>
    <s v="Ústav lékařské genetiky"/>
    <x v="26"/>
    <s v="2841"/>
    <s v="laboratoř"/>
    <s v="2841 - laboratoř"/>
    <s v="50113013     léky (paušál) - antibiotika (LEK)"/>
    <x v="7"/>
    <x v="1"/>
    <n v="0"/>
    <n v="0.19137892052899999"/>
  </r>
  <r>
    <s v="28"/>
    <s v="28"/>
    <s v="Ústav lékařské genetiky"/>
    <x v="26"/>
    <s v="2841"/>
    <s v="laboratoř"/>
    <s v="2841 - laboratoř"/>
    <s v="50113190     medicinální plyny"/>
    <x v="9"/>
    <x v="0"/>
    <n v="6.0179"/>
    <n v="2.0471149466790002"/>
  </r>
  <r>
    <s v="28"/>
    <s v="28"/>
    <s v="Ústav lékařské genetiky"/>
    <x v="26"/>
    <s v="2841"/>
    <s v="laboratoř"/>
    <s v="2841 - laboratoř"/>
    <s v="50113190     medicinální plyny"/>
    <x v="9"/>
    <x v="1"/>
    <n v="2.7152399999999997"/>
    <n v="5.7574524209589999"/>
  </r>
  <r>
    <s v="28"/>
    <s v="28"/>
    <s v="Ústav lékařské genetiky"/>
    <x v="26"/>
    <s v="2841"/>
    <s v="laboratoř"/>
    <s v="2841 - laboratoř"/>
    <s v="50113190     medicinální plyny"/>
    <x v="9"/>
    <x v="2"/>
    <n v="0"/>
    <n v="1.6773855616910001"/>
  </r>
  <r>
    <s v="28"/>
    <s v="28"/>
    <s v="Ústav lékařské genetiky"/>
    <x v="26"/>
    <s v="2841"/>
    <s v="laboratoř"/>
    <s v="2841 - laboratoř"/>
    <s v="50115     Zdravotnické prostředky"/>
    <x v="0"/>
    <x v="0"/>
    <n v="2319.0579100000027"/>
    <n v="2068.06670506101"/>
  </r>
  <r>
    <s v="28"/>
    <s v="28"/>
    <s v="Ústav lékařské genetiky"/>
    <x v="26"/>
    <s v="2841"/>
    <s v="laboratoř"/>
    <s v="2841 - laboratoř"/>
    <s v="50115     Zdravotnické prostředky"/>
    <x v="0"/>
    <x v="1"/>
    <n v="4416.7677400000002"/>
    <n v="4320.5808763251798"/>
  </r>
  <r>
    <s v="28"/>
    <s v="28"/>
    <s v="Ústav lékařské genetiky"/>
    <x v="26"/>
    <s v="2841"/>
    <s v="laboratoř"/>
    <s v="2841 - laboratoř"/>
    <s v="50115     Zdravotnické prostředky"/>
    <x v="0"/>
    <x v="2"/>
    <n v="2445.1061600000003"/>
    <n v="4722.3526892160799"/>
  </r>
  <r>
    <s v="28"/>
    <s v="28"/>
    <s v="Ústav lékařské genetiky"/>
    <x v="26"/>
    <s v="2841"/>
    <s v="laboratoř"/>
    <s v="2841 - laboratoř"/>
    <s v="50115020     diagnostika laboratorní-LEK (sk.Z_501)"/>
    <x v="10"/>
    <x v="0"/>
    <n v="2111.7279300000018"/>
    <n v="1841.1666248189699"/>
  </r>
  <r>
    <s v="28"/>
    <s v="28"/>
    <s v="Ústav lékařské genetiky"/>
    <x v="26"/>
    <s v="2841"/>
    <s v="laboratoř"/>
    <s v="2841 - laboratoř"/>
    <s v="50115020     diagnostika laboratorní-LEK (sk.Z_501)"/>
    <x v="10"/>
    <x v="1"/>
    <n v="4101.7459200000012"/>
    <n v="3911.9894127528701"/>
  </r>
  <r>
    <s v="28"/>
    <s v="28"/>
    <s v="Ústav lékařské genetiky"/>
    <x v="26"/>
    <s v="2841"/>
    <s v="laboratoř"/>
    <s v="2841 - laboratoř"/>
    <s v="50115020     diagnostika laboratorní-LEK (sk.Z_501)"/>
    <x v="10"/>
    <x v="2"/>
    <n v="2158.0312599999997"/>
    <n v="4217.9998671432204"/>
  </r>
  <r>
    <s v="28"/>
    <s v="28"/>
    <s v="Ústav lékařské genetiky"/>
    <x v="26"/>
    <s v="2841"/>
    <s v="laboratoř"/>
    <s v="2841 - laboratoř"/>
    <s v="50115040     laboratorní materiál (sk.Z_505)"/>
    <x v="11"/>
    <x v="0"/>
    <n v="94.560779999999994"/>
    <n v="101.80173990303101"/>
  </r>
  <r>
    <s v="28"/>
    <s v="28"/>
    <s v="Ústav lékařské genetiky"/>
    <x v="26"/>
    <s v="2841"/>
    <s v="laboratoř"/>
    <s v="2841 - laboratoř"/>
    <s v="50115040     laboratorní materiál (sk.Z_505)"/>
    <x v="11"/>
    <x v="1"/>
    <n v="168.77742999999998"/>
    <n v="122.889438850548"/>
  </r>
  <r>
    <s v="28"/>
    <s v="28"/>
    <s v="Ústav lékařské genetiky"/>
    <x v="26"/>
    <s v="2841"/>
    <s v="laboratoř"/>
    <s v="2841 - laboratoř"/>
    <s v="50115040     laboratorní materiál (sk.Z_505)"/>
    <x v="11"/>
    <x v="2"/>
    <n v="195.25666000000001"/>
    <n v="244.999994487924"/>
  </r>
  <r>
    <s v="28"/>
    <s v="28"/>
    <s v="Ústav lékařské genetiky"/>
    <x v="26"/>
    <s v="2841"/>
    <s v="laboratoř"/>
    <s v="2841 - laboratoř"/>
    <s v="50115050     obvazový materiál (sk.Z_502)"/>
    <x v="12"/>
    <x v="0"/>
    <n v="2.7168899999989997"/>
    <n v="6.8099776780959997"/>
  </r>
  <r>
    <s v="28"/>
    <s v="28"/>
    <s v="Ústav lékařské genetiky"/>
    <x v="26"/>
    <s v="2841"/>
    <s v="laboratoř"/>
    <s v="2841 - laboratoř"/>
    <s v="50115050     obvazový materiál (sk.Z_502)"/>
    <x v="12"/>
    <x v="1"/>
    <n v="3.1730899999999997"/>
    <n v="8.7230678092399998"/>
  </r>
  <r>
    <s v="28"/>
    <s v="28"/>
    <s v="Ústav lékařské genetiky"/>
    <x v="26"/>
    <s v="2841"/>
    <s v="laboratoř"/>
    <s v="2841 - laboratoř"/>
    <s v="50115050     obvazový materiál (sk.Z_502)"/>
    <x v="12"/>
    <x v="2"/>
    <n v="3.1179200000000007"/>
    <n v="6.5929153355240002"/>
  </r>
  <r>
    <s v="28"/>
    <s v="28"/>
    <s v="Ústav lékařské genetiky"/>
    <x v="26"/>
    <s v="2841"/>
    <s v="laboratoř"/>
    <s v="2841 - laboratoř"/>
    <s v="50115060     ostatní ZPr - mimo níže uvedené (sk.Z_503)"/>
    <x v="1"/>
    <x v="0"/>
    <n v="100.56631000000002"/>
    <n v="105.333213912833"/>
  </r>
  <r>
    <s v="28"/>
    <s v="28"/>
    <s v="Ústav lékařské genetiky"/>
    <x v="26"/>
    <s v="2841"/>
    <s v="laboratoř"/>
    <s v="2841 - laboratoř"/>
    <s v="50115060     ostatní ZPr - mimo níže uvedené (sk.Z_503)"/>
    <x v="1"/>
    <x v="1"/>
    <n v="134.07745999999997"/>
    <n v="250.35174960622001"/>
  </r>
  <r>
    <s v="28"/>
    <s v="28"/>
    <s v="Ústav lékařské genetiky"/>
    <x v="26"/>
    <s v="2841"/>
    <s v="laboratoř"/>
    <s v="2841 - laboratoř"/>
    <s v="50115060     ostatní ZPr - mimo níže uvedené (sk.Z_503)"/>
    <x v="1"/>
    <x v="2"/>
    <n v="81.819479999999999"/>
    <n v="241.42077065140299"/>
  </r>
  <r>
    <s v="28"/>
    <s v="28"/>
    <s v="Ústav lékařské genetiky"/>
    <x v="26"/>
    <s v="2841"/>
    <s v="laboratoř"/>
    <s v="2841 - laboratoř"/>
    <s v="50115065     ostatní ZPr - vpichovací materiál (sk.Z_530)"/>
    <x v="14"/>
    <x v="0"/>
    <n v="0.597999999999"/>
    <n v="6.6002773905560002"/>
  </r>
  <r>
    <s v="28"/>
    <s v="28"/>
    <s v="Ústav lékařské genetiky"/>
    <x v="26"/>
    <s v="2841"/>
    <s v="laboratoř"/>
    <s v="2841 - laboratoř"/>
    <s v="50115065     ostatní ZPr - vpichovací materiál (sk.Z_530)"/>
    <x v="14"/>
    <x v="1"/>
    <n v="0.57799999999999996"/>
    <n v="2.6134378277049999"/>
  </r>
  <r>
    <s v="28"/>
    <s v="28"/>
    <s v="Ústav lékařské genetiky"/>
    <x v="26"/>
    <s v="2841"/>
    <s v="laboratoř"/>
    <s v="2841 - laboratoř"/>
    <s v="50115065     ostatní ZPr - vpichovací materiál (sk.Z_530)"/>
    <x v="14"/>
    <x v="2"/>
    <n v="0.30700000000000005"/>
    <n v="1.097317505835"/>
  </r>
  <r>
    <s v="28"/>
    <s v="28"/>
    <s v="Ústav lékařské genetiky"/>
    <x v="26"/>
    <s v="2841"/>
    <s v="laboratoř"/>
    <s v="2841 - laboratoř"/>
    <s v="50115067     ostatní ZPr - rukavice (sk.Z_532)"/>
    <x v="15"/>
    <x v="0"/>
    <n v="8.8879999999990016"/>
    <n v="6.3548713575219997"/>
  </r>
  <r>
    <s v="28"/>
    <s v="28"/>
    <s v="Ústav lékařské genetiky"/>
    <x v="26"/>
    <s v="2841"/>
    <s v="laboratoř"/>
    <s v="2841 - laboratoř"/>
    <s v="50115067     ostatní ZPr - rukavice (sk.Z_532)"/>
    <x v="15"/>
    <x v="1"/>
    <n v="8.4158399999999993"/>
    <n v="24.013769478595002"/>
  </r>
  <r>
    <s v="28"/>
    <s v="28"/>
    <s v="Ústav lékařské genetiky"/>
    <x v="26"/>
    <s v="2841"/>
    <s v="laboratoř"/>
    <s v="2841 - laboratoř"/>
    <s v="50115067     ostatní ZPr - rukavice (sk.Z_532)"/>
    <x v="15"/>
    <x v="2"/>
    <n v="6.5738400000000006"/>
    <n v="10.241824092172999"/>
  </r>
  <r>
    <s v="29"/>
    <s v="29"/>
    <s v="Oddělení plastické a estetické chirurgie"/>
    <x v="27"/>
    <s v="2921"/>
    <s v="ambulance"/>
    <s v="2921 - ambulance"/>
    <s v="50113     Léky a léčiva"/>
    <x v="2"/>
    <x v="0"/>
    <n v="75.573669999999993"/>
    <n v="72.643480042695003"/>
  </r>
  <r>
    <s v="29"/>
    <s v="29"/>
    <s v="Oddělení plastické a estetické chirurgie"/>
    <x v="27"/>
    <s v="2921"/>
    <s v="ambulance"/>
    <s v="2921 - ambulance"/>
    <s v="50113     Léky a léčiva"/>
    <x v="2"/>
    <x v="1"/>
    <n v="76.258430000000004"/>
    <n v="75.885752169357005"/>
  </r>
  <r>
    <s v="29"/>
    <s v="29"/>
    <s v="Oddělení plastické a estetické chirurgie"/>
    <x v="27"/>
    <s v="2921"/>
    <s v="ambulance"/>
    <s v="2921 - ambulance"/>
    <s v="50113     Léky a léčiva"/>
    <x v="2"/>
    <x v="2"/>
    <n v="63.141089999999998"/>
    <n v="90.269642411052004"/>
  </r>
  <r>
    <s v="29"/>
    <s v="29"/>
    <s v="Oddělení plastické a estetické chirurgie"/>
    <x v="27"/>
    <s v="2921"/>
    <s v="ambulance"/>
    <s v="2921 - ambulance"/>
    <s v="50113001     léky - paušál+TISS (LEK)"/>
    <x v="3"/>
    <x v="0"/>
    <n v="53.221540000000005"/>
    <n v="47.781551379315999"/>
  </r>
  <r>
    <s v="29"/>
    <s v="29"/>
    <s v="Oddělení plastické a estetické chirurgie"/>
    <x v="27"/>
    <s v="2921"/>
    <s v="ambulance"/>
    <s v="2921 - ambulance"/>
    <s v="50113001     léky - paušál+TISS (LEK)"/>
    <x v="3"/>
    <x v="1"/>
    <n v="53.639799999999994"/>
    <n v="53.261854819341998"/>
  </r>
  <r>
    <s v="29"/>
    <s v="29"/>
    <s v="Oddělení plastické a estetické chirurgie"/>
    <x v="27"/>
    <s v="2921"/>
    <s v="ambulance"/>
    <s v="2921 - ambulance"/>
    <s v="50113001     léky - paušál+TISS (LEK)"/>
    <x v="3"/>
    <x v="2"/>
    <n v="45.705570000000002"/>
    <n v="68.999997826666998"/>
  </r>
  <r>
    <s v="29"/>
    <s v="29"/>
    <s v="Oddělení plastické a estetické chirurgie"/>
    <x v="27"/>
    <s v="2921"/>
    <s v="ambulance"/>
    <s v="2921 - ambulance"/>
    <s v="50113013     léky (paušál) - antibiotika (LEK)"/>
    <x v="7"/>
    <x v="0"/>
    <n v="22.352129999999999"/>
    <n v="20.29783732376"/>
  </r>
  <r>
    <s v="29"/>
    <s v="29"/>
    <s v="Oddělení plastické a estetické chirurgie"/>
    <x v="27"/>
    <s v="2921"/>
    <s v="ambulance"/>
    <s v="2921 - ambulance"/>
    <s v="50113013     léky (paušál) - antibiotika (LEK)"/>
    <x v="7"/>
    <x v="1"/>
    <n v="22.61863"/>
    <n v="22.623897350015"/>
  </r>
  <r>
    <s v="29"/>
    <s v="29"/>
    <s v="Oddělení plastické a estetické chirurgie"/>
    <x v="27"/>
    <s v="2921"/>
    <s v="ambulance"/>
    <s v="2921 - ambulance"/>
    <s v="50113013     léky (paušál) - antibiotika (LEK)"/>
    <x v="7"/>
    <x v="2"/>
    <n v="17.43552"/>
    <n v="21.269644584384999"/>
  </r>
  <r>
    <s v="29"/>
    <s v="29"/>
    <s v="Oddělení plastické a estetické chirurgie"/>
    <x v="27"/>
    <s v="2921"/>
    <s v="ambulance"/>
    <s v="2921 - ambulance"/>
    <s v="50113190     medicinální plyny"/>
    <x v="9"/>
    <x v="0"/>
    <n v="0"/>
    <n v="4.5640913396169998"/>
  </r>
  <r>
    <s v="29"/>
    <s v="29"/>
    <s v="Oddělení plastické a estetické chirurgie"/>
    <x v="27"/>
    <s v="2921"/>
    <s v="ambulance"/>
    <s v="2921 - ambulance"/>
    <s v="50115     Zdravotnické prostředky"/>
    <x v="0"/>
    <x v="0"/>
    <n v="148.28354000000002"/>
    <n v="91.026245901143994"/>
  </r>
  <r>
    <s v="29"/>
    <s v="29"/>
    <s v="Oddělení plastické a estetické chirurgie"/>
    <x v="27"/>
    <s v="2921"/>
    <s v="ambulance"/>
    <s v="2921 - ambulance"/>
    <s v="50115     Zdravotnické prostředky"/>
    <x v="0"/>
    <x v="1"/>
    <n v="279.25817999999998"/>
    <n v="279.08448440030901"/>
  </r>
  <r>
    <s v="29"/>
    <s v="29"/>
    <s v="Oddělení plastické a estetické chirurgie"/>
    <x v="27"/>
    <s v="2921"/>
    <s v="ambulance"/>
    <s v="2921 - ambulance"/>
    <s v="50115     Zdravotnické prostředky"/>
    <x v="0"/>
    <x v="2"/>
    <n v="162.16068000000001"/>
    <n v="353.39311221800398"/>
  </r>
  <r>
    <s v="29"/>
    <s v="29"/>
    <s v="Oddělení plastické a estetické chirurgie"/>
    <x v="27"/>
    <s v="2921"/>
    <s v="ambulance"/>
    <s v="2921 - ambulance"/>
    <s v="50115050     obvazový materiál (sk.Z_502)"/>
    <x v="12"/>
    <x v="0"/>
    <n v="100.96965"/>
    <n v="58.426196579539997"/>
  </r>
  <r>
    <s v="29"/>
    <s v="29"/>
    <s v="Oddělení plastické a estetické chirurgie"/>
    <x v="27"/>
    <s v="2921"/>
    <s v="ambulance"/>
    <s v="2921 - ambulance"/>
    <s v="50115050     obvazový materiál (sk.Z_502)"/>
    <x v="12"/>
    <x v="1"/>
    <n v="198.61270999999996"/>
    <n v="201.19926502629599"/>
  </r>
  <r>
    <s v="29"/>
    <s v="29"/>
    <s v="Oddělení plastické a estetické chirurgie"/>
    <x v="27"/>
    <s v="2921"/>
    <s v="ambulance"/>
    <s v="2921 - ambulance"/>
    <s v="50115050     obvazový materiál (sk.Z_502)"/>
    <x v="12"/>
    <x v="2"/>
    <n v="132.52574999999999"/>
    <n v="209.25957901283999"/>
  </r>
  <r>
    <s v="29"/>
    <s v="29"/>
    <s v="Oddělení plastické a estetické chirurgie"/>
    <x v="27"/>
    <s v="2921"/>
    <s v="ambulance"/>
    <s v="2921 - ambulance"/>
    <s v="50115060     ostatní ZPr - mimo níže uvedené (sk.Z_503)"/>
    <x v="1"/>
    <x v="0"/>
    <n v="35.235849999999999"/>
    <n v="4.8999908176250004"/>
  </r>
  <r>
    <s v="29"/>
    <s v="29"/>
    <s v="Oddělení plastické a estetické chirurgie"/>
    <x v="27"/>
    <s v="2921"/>
    <s v="ambulance"/>
    <s v="2921 - ambulance"/>
    <s v="50115060     ostatní ZPr - mimo níže uvedené (sk.Z_503)"/>
    <x v="1"/>
    <x v="1"/>
    <n v="39.62097"/>
    <n v="56.631573371877003"/>
  </r>
  <r>
    <s v="29"/>
    <s v="29"/>
    <s v="Oddělení plastické a estetické chirurgie"/>
    <x v="27"/>
    <s v="2921"/>
    <s v="ambulance"/>
    <s v="2921 - ambulance"/>
    <s v="50115060     ostatní ZPr - mimo níže uvedené (sk.Z_503)"/>
    <x v="1"/>
    <x v="2"/>
    <n v="22.176349999999999"/>
    <n v="119.999996220291"/>
  </r>
  <r>
    <s v="29"/>
    <s v="29"/>
    <s v="Oddělení plastické a estetické chirurgie"/>
    <x v="27"/>
    <s v="2921"/>
    <s v="ambulance"/>
    <s v="2921 - ambulance"/>
    <s v="50115063     ostatní ZPr - vaky, sety (sk.Z_528)"/>
    <x v="13"/>
    <x v="0"/>
    <n v="0"/>
    <n v="15"/>
  </r>
  <r>
    <s v="29"/>
    <s v="29"/>
    <s v="Oddělení plastické a estetické chirurgie"/>
    <x v="27"/>
    <s v="2921"/>
    <s v="ambulance"/>
    <s v="2921 - ambulance"/>
    <s v="50115063     ostatní ZPr - vaky, sety (sk.Z_528)"/>
    <x v="13"/>
    <x v="1"/>
    <n v="0.24510000000000001"/>
    <n v="9.000099799989"/>
  </r>
  <r>
    <s v="29"/>
    <s v="29"/>
    <s v="Oddělení plastické a estetické chirurgie"/>
    <x v="27"/>
    <s v="2921"/>
    <s v="ambulance"/>
    <s v="2921 - ambulance"/>
    <s v="50115063     ostatní ZPr - vaky, sety (sk.Z_528)"/>
    <x v="13"/>
    <x v="2"/>
    <n v="1.6304799999999999"/>
    <n v="0.24509999227900001"/>
  </r>
  <r>
    <s v="29"/>
    <s v="29"/>
    <s v="Oddělení plastické a estetické chirurgie"/>
    <x v="27"/>
    <s v="2921"/>
    <s v="ambulance"/>
    <s v="2921 - ambulance"/>
    <s v="50115065     ostatní ZPr - vpichovací materiál (sk.Z_530)"/>
    <x v="14"/>
    <x v="0"/>
    <n v="0.39400000000000002"/>
    <n v="0.95013685790500002"/>
  </r>
  <r>
    <s v="29"/>
    <s v="29"/>
    <s v="Oddělení plastické a estetické chirurgie"/>
    <x v="27"/>
    <s v="2921"/>
    <s v="ambulance"/>
    <s v="2921 - ambulance"/>
    <s v="50115065     ostatní ZPr - vpichovací materiál (sk.Z_530)"/>
    <x v="14"/>
    <x v="1"/>
    <n v="1.0105600000000001"/>
    <n v="0.40417141156500003"/>
  </r>
  <r>
    <s v="29"/>
    <s v="29"/>
    <s v="Oddělení plastické a estetické chirurgie"/>
    <x v="27"/>
    <s v="2921"/>
    <s v="ambulance"/>
    <s v="2921 - ambulance"/>
    <s v="50115065     ostatní ZPr - vpichovací materiál (sk.Z_530)"/>
    <x v="14"/>
    <x v="2"/>
    <n v="0.62799999999999989"/>
    <n v="5.9999998110139998"/>
  </r>
  <r>
    <s v="29"/>
    <s v="29"/>
    <s v="Oddělení plastické a estetické chirurgie"/>
    <x v="27"/>
    <s v="2921"/>
    <s v="ambulance"/>
    <s v="2921 - ambulance"/>
    <s v="50115067     ostatní ZPr - rukavice (sk.Z_532)"/>
    <x v="15"/>
    <x v="0"/>
    <n v="11.684040000000001"/>
    <n v="11.749921646074"/>
  </r>
  <r>
    <s v="29"/>
    <s v="29"/>
    <s v="Oddělení plastické a estetické chirurgie"/>
    <x v="27"/>
    <s v="2921"/>
    <s v="ambulance"/>
    <s v="2921 - ambulance"/>
    <s v="50115067     ostatní ZPr - rukavice (sk.Z_532)"/>
    <x v="15"/>
    <x v="1"/>
    <n v="39.768840000000004"/>
    <n v="11.849374790581001"/>
  </r>
  <r>
    <s v="29"/>
    <s v="29"/>
    <s v="Oddělení plastické a estetické chirurgie"/>
    <x v="27"/>
    <s v="2921"/>
    <s v="ambulance"/>
    <s v="2921 - ambulance"/>
    <s v="50115067     ostatní ZPr - rukavice (sk.Z_532)"/>
    <x v="15"/>
    <x v="2"/>
    <n v="5.2000999999999999"/>
    <n v="17.888437181577999"/>
  </r>
  <r>
    <s v="29"/>
    <s v="29"/>
    <s v="Oddělení plastické a estetické chirurgie"/>
    <x v="27"/>
    <s v="2962"/>
    <s v="operační sál lokální"/>
    <s v="2962 - operační sál lokální"/>
    <s v="50113     Léky a léčiva"/>
    <x v="2"/>
    <x v="0"/>
    <n v="50.558699999999995"/>
    <n v="50.940415882743999"/>
  </r>
  <r>
    <s v="29"/>
    <s v="29"/>
    <s v="Oddělení plastické a estetické chirurgie"/>
    <x v="27"/>
    <s v="2962"/>
    <s v="operační sál lokální"/>
    <s v="2962 - operační sál lokální"/>
    <s v="50113     Léky a léčiva"/>
    <x v="2"/>
    <x v="1"/>
    <n v="52.269170000000003"/>
    <n v="50.641510867104003"/>
  </r>
  <r>
    <s v="29"/>
    <s v="29"/>
    <s v="Oddělení plastické a estetické chirurgie"/>
    <x v="27"/>
    <s v="2962"/>
    <s v="operační sál lokální"/>
    <s v="2962 - operační sál lokální"/>
    <s v="50113     Léky a léčiva"/>
    <x v="2"/>
    <x v="2"/>
    <n v="47.669960000000003"/>
    <n v="66.719035084344995"/>
  </r>
  <r>
    <s v="29"/>
    <s v="29"/>
    <s v="Oddělení plastické a estetické chirurgie"/>
    <x v="27"/>
    <s v="2962"/>
    <s v="operační sál lokální"/>
    <s v="2962 - operační sál lokální"/>
    <s v="50113001     léky - paušál+TISS (LEK)"/>
    <x v="3"/>
    <x v="0"/>
    <n v="46.65437"/>
    <n v="46.513785585800001"/>
  </r>
  <r>
    <s v="29"/>
    <s v="29"/>
    <s v="Oddělení plastické a estetické chirurgie"/>
    <x v="27"/>
    <s v="2962"/>
    <s v="operační sál lokální"/>
    <s v="2962 - operační sál lokální"/>
    <s v="50113001     léky - paušál+TISS (LEK)"/>
    <x v="3"/>
    <x v="1"/>
    <n v="48.114159999999998"/>
    <n v="46.689710249419001"/>
  </r>
  <r>
    <s v="29"/>
    <s v="29"/>
    <s v="Oddělení plastické a estetické chirurgie"/>
    <x v="27"/>
    <s v="2962"/>
    <s v="operační sál lokální"/>
    <s v="2962 - operační sál lokální"/>
    <s v="50113001     léky - paušál+TISS (LEK)"/>
    <x v="3"/>
    <x v="2"/>
    <n v="44.626169999999995"/>
    <n v="62.999998015651997"/>
  </r>
  <r>
    <s v="29"/>
    <s v="29"/>
    <s v="Oddělení plastické a estetické chirurgie"/>
    <x v="27"/>
    <s v="2962"/>
    <s v="operační sál lokální"/>
    <s v="2962 - operační sál lokální"/>
    <s v="50113013     léky (paušál) - antibiotika (LEK)"/>
    <x v="7"/>
    <x v="0"/>
    <n v="3.9043299999999999"/>
    <n v="4.4266302969440003"/>
  </r>
  <r>
    <s v="29"/>
    <s v="29"/>
    <s v="Oddělení plastické a estetické chirurgie"/>
    <x v="27"/>
    <s v="2962"/>
    <s v="operační sál lokální"/>
    <s v="2962 - operační sál lokální"/>
    <s v="50113013     léky (paušál) - antibiotika (LEK)"/>
    <x v="7"/>
    <x v="1"/>
    <n v="4.1550099999999999"/>
    <n v="3.951800617685"/>
  </r>
  <r>
    <s v="29"/>
    <s v="29"/>
    <s v="Oddělení plastické a estetické chirurgie"/>
    <x v="27"/>
    <s v="2962"/>
    <s v="operační sál lokální"/>
    <s v="2962 - operační sál lokální"/>
    <s v="50113013     léky (paušál) - antibiotika (LEK)"/>
    <x v="7"/>
    <x v="2"/>
    <n v="3.0437899999999996"/>
    <n v="3.7190370686919998"/>
  </r>
  <r>
    <s v="29"/>
    <s v="29"/>
    <s v="Oddělení plastické a estetické chirurgie"/>
    <x v="27"/>
    <s v="2962"/>
    <s v="operační sál lokální"/>
    <s v="2962 - operační sál lokální"/>
    <s v="50115     Zdravotnické prostředky"/>
    <x v="0"/>
    <x v="0"/>
    <n v="984.62626000000091"/>
    <n v="1040.81577154806"/>
  </r>
  <r>
    <s v="29"/>
    <s v="29"/>
    <s v="Oddělení plastické a estetické chirurgie"/>
    <x v="27"/>
    <s v="2962"/>
    <s v="operační sál lokální"/>
    <s v="2962 - operační sál lokální"/>
    <s v="50115     Zdravotnické prostředky"/>
    <x v="0"/>
    <x v="1"/>
    <n v="1103.8892099999998"/>
    <n v="1295.4414996555499"/>
  </r>
  <r>
    <s v="29"/>
    <s v="29"/>
    <s v="Oddělení plastické a estetické chirurgie"/>
    <x v="27"/>
    <s v="2962"/>
    <s v="operační sál lokální"/>
    <s v="2962 - operační sál lokální"/>
    <s v="50115     Zdravotnické prostředky"/>
    <x v="0"/>
    <x v="2"/>
    <n v="641.07372000000009"/>
    <n v="1254.88136780948"/>
  </r>
  <r>
    <s v="29"/>
    <s v="29"/>
    <s v="Oddělení plastické a estetické chirurgie"/>
    <x v="27"/>
    <s v="2962"/>
    <s v="operační sál lokální"/>
    <s v="2962 - operační sál lokální"/>
    <s v="50115004     implant.umělé těl.náhr.-kovové (s.Z_506)"/>
    <x v="25"/>
    <x v="0"/>
    <n v="384.03608000000003"/>
    <n v="371.41025639364"/>
  </r>
  <r>
    <s v="29"/>
    <s v="29"/>
    <s v="Oddělení plastické a estetické chirurgie"/>
    <x v="27"/>
    <s v="2962"/>
    <s v="operační sál lokální"/>
    <s v="2962 - operační sál lokální"/>
    <s v="50115008     implant.-plastická, estetická chirurgie (sk.Z_521)"/>
    <x v="60"/>
    <x v="0"/>
    <n v="398.37905999999896"/>
    <n v="463.999999999978"/>
  </r>
  <r>
    <s v="29"/>
    <s v="29"/>
    <s v="Oddělení plastické a estetické chirurgie"/>
    <x v="27"/>
    <s v="2962"/>
    <s v="operační sál lokální"/>
    <s v="2962 - operační sál lokální"/>
    <s v="50115008     implant.-plastická, estetická chirurgie (sk.Z_521)"/>
    <x v="60"/>
    <x v="1"/>
    <n v="172.1739"/>
    <n v="399.99978462413401"/>
  </r>
  <r>
    <s v="29"/>
    <s v="29"/>
    <s v="Oddělení plastické a estetické chirurgie"/>
    <x v="27"/>
    <s v="2962"/>
    <s v="operační sál lokální"/>
    <s v="2962 - operační sál lokální"/>
    <s v="50115008     implant.-plastická, estetická chirurgie (sk.Z_521)"/>
    <x v="60"/>
    <x v="2"/>
    <n v="139.13042999999999"/>
    <n v="249.999995653334"/>
  </r>
  <r>
    <s v="29"/>
    <s v="29"/>
    <s v="Oddělení plastické a estetické chirurgie"/>
    <x v="27"/>
    <s v="2962"/>
    <s v="operační sál lokální"/>
    <s v="2962 - operační sál lokální"/>
    <s v="50115011     implant.umělé těl.náhr.-ostat.nákl.PZT(s.Z_515)"/>
    <x v="26"/>
    <x v="1"/>
    <n v="597.67963999999995"/>
    <n v="599.99982931462"/>
  </r>
  <r>
    <s v="29"/>
    <s v="29"/>
    <s v="Oddělení plastické a estetické chirurgie"/>
    <x v="27"/>
    <s v="2962"/>
    <s v="operační sál lokální"/>
    <s v="2962 - operační sál lokální"/>
    <s v="50115011     implant.umělé těl.náhr.-ostat.nákl.PZT(s.Z_515)"/>
    <x v="26"/>
    <x v="2"/>
    <n v="240.73034999999999"/>
    <n v="499.99998267633299"/>
  </r>
  <r>
    <s v="29"/>
    <s v="29"/>
    <s v="Oddělení plastické a estetické chirurgie"/>
    <x v="27"/>
    <s v="2962"/>
    <s v="operační sál lokální"/>
    <s v="2962 - operační sál lokální"/>
    <s v="50115040     laboratorní materiál (sk.Z_505)"/>
    <x v="11"/>
    <x v="2"/>
    <n v="17.375900000000001"/>
    <n v="45"/>
  </r>
  <r>
    <s v="29"/>
    <s v="29"/>
    <s v="Oddělení plastické a estetické chirurgie"/>
    <x v="27"/>
    <s v="2962"/>
    <s v="operační sál lokální"/>
    <s v="2962 - operační sál lokální"/>
    <s v="50115050     obvazový materiál (sk.Z_502)"/>
    <x v="12"/>
    <x v="0"/>
    <n v="30.903419999999997"/>
    <n v="30.400622610492"/>
  </r>
  <r>
    <s v="29"/>
    <s v="29"/>
    <s v="Oddělení plastické a estetické chirurgie"/>
    <x v="27"/>
    <s v="2962"/>
    <s v="operační sál lokální"/>
    <s v="2962 - operační sál lokální"/>
    <s v="50115050     obvazový materiál (sk.Z_502)"/>
    <x v="12"/>
    <x v="1"/>
    <n v="18.181059999999999"/>
    <n v="22.973699198112001"/>
  </r>
  <r>
    <s v="29"/>
    <s v="29"/>
    <s v="Oddělení plastické a estetické chirurgie"/>
    <x v="27"/>
    <s v="2962"/>
    <s v="operační sál lokální"/>
    <s v="2962 - operační sál lokální"/>
    <s v="50115050     obvazový materiál (sk.Z_502)"/>
    <x v="12"/>
    <x v="2"/>
    <n v="23.802250000000001"/>
    <n v="117"/>
  </r>
  <r>
    <s v="29"/>
    <s v="29"/>
    <s v="Oddělení plastické a estetické chirurgie"/>
    <x v="27"/>
    <s v="2962"/>
    <s v="operační sál lokální"/>
    <s v="2962 - operační sál lokální"/>
    <s v="50115060     ostatní ZPr - mimo níže uvedené (sk.Z_503)"/>
    <x v="1"/>
    <x v="0"/>
    <n v="26.150119999999994"/>
    <n v="26.674959166282001"/>
  </r>
  <r>
    <s v="29"/>
    <s v="29"/>
    <s v="Oddělení plastické a estetické chirurgie"/>
    <x v="27"/>
    <s v="2962"/>
    <s v="operační sál lokální"/>
    <s v="2962 - operační sál lokální"/>
    <s v="50115060     ostatní ZPr - mimo níže uvedené (sk.Z_503)"/>
    <x v="1"/>
    <x v="1"/>
    <n v="59.691300000000005"/>
    <n v="26.149948492831001"/>
  </r>
  <r>
    <s v="29"/>
    <s v="29"/>
    <s v="Oddělení plastické a estetické chirurgie"/>
    <x v="27"/>
    <s v="2962"/>
    <s v="operační sál lokální"/>
    <s v="2962 - operační sál lokální"/>
    <s v="50115060     ostatní ZPr - mimo níže uvedené (sk.Z_503)"/>
    <x v="1"/>
    <x v="2"/>
    <n v="56.335689999999992"/>
    <n v="71.881398015651996"/>
  </r>
  <r>
    <s v="29"/>
    <s v="29"/>
    <s v="Oddělení plastické a estetické chirurgie"/>
    <x v="27"/>
    <s v="2962"/>
    <s v="operační sál lokální"/>
    <s v="2962 - operační sál lokální"/>
    <s v="50115064     ostatní ZPr - šicí materiál (sk.Z_529)"/>
    <x v="21"/>
    <x v="0"/>
    <n v="129.549689999999"/>
    <n v="133.12787383636601"/>
  </r>
  <r>
    <s v="29"/>
    <s v="29"/>
    <s v="Oddělení plastické a estetické chirurgie"/>
    <x v="27"/>
    <s v="2962"/>
    <s v="operační sál lokální"/>
    <s v="2962 - operační sál lokální"/>
    <s v="50115064     ostatní ZPr - šicí materiál (sk.Z_529)"/>
    <x v="21"/>
    <x v="1"/>
    <n v="234.72773999999995"/>
    <n v="222.01254492776101"/>
  </r>
  <r>
    <s v="29"/>
    <s v="29"/>
    <s v="Oddělení plastické a estetické chirurgie"/>
    <x v="27"/>
    <s v="2962"/>
    <s v="operační sál lokální"/>
    <s v="2962 - operační sál lokální"/>
    <s v="50115064     ostatní ZPr - šicí materiál (sk.Z_529)"/>
    <x v="21"/>
    <x v="2"/>
    <n v="151.00127000000001"/>
    <n v="188.99999404695799"/>
  </r>
  <r>
    <s v="29"/>
    <s v="29"/>
    <s v="Oddělení plastické a estetické chirurgie"/>
    <x v="27"/>
    <s v="2962"/>
    <s v="operační sál lokální"/>
    <s v="2962 - operační sál lokální"/>
    <s v="50115065     ostatní ZPr - vpichovací materiál (sk.Z_530)"/>
    <x v="14"/>
    <x v="0"/>
    <n v="0.29799999999999999"/>
    <n v="0.95013685790500002"/>
  </r>
  <r>
    <s v="29"/>
    <s v="29"/>
    <s v="Oddělení plastické a estetické chirurgie"/>
    <x v="27"/>
    <s v="2962"/>
    <s v="operační sál lokální"/>
    <s v="2962 - operační sál lokální"/>
    <s v="50115065     ostatní ZPr - vpichovací materiál (sk.Z_530)"/>
    <x v="14"/>
    <x v="1"/>
    <n v="0.52800000000000002"/>
    <n v="2.3056930980870001"/>
  </r>
  <r>
    <s v="29"/>
    <s v="29"/>
    <s v="Oddělení plastické a estetické chirurgie"/>
    <x v="27"/>
    <s v="2962"/>
    <s v="operační sál lokální"/>
    <s v="2962 - operační sál lokální"/>
    <s v="50115065     ostatní ZPr - vpichovací materiál (sk.Z_530)"/>
    <x v="14"/>
    <x v="2"/>
    <n v="1.4965299999999999"/>
    <n v="9.9999996850239992"/>
  </r>
  <r>
    <s v="29"/>
    <s v="29"/>
    <s v="Oddělení plastické a estetické chirurgie"/>
    <x v="27"/>
    <s v="2962"/>
    <s v="operační sál lokální"/>
    <s v="2962 - operační sál lokální"/>
    <s v="50115067     ostatní ZPr - rukavice (sk.Z_532)"/>
    <x v="15"/>
    <x v="0"/>
    <n v="15.309889999998999"/>
    <n v="14.251922683399"/>
  </r>
  <r>
    <s v="29"/>
    <s v="29"/>
    <s v="Oddělení plastické a estetické chirurgie"/>
    <x v="27"/>
    <s v="2962"/>
    <s v="operační sál lokální"/>
    <s v="2962 - operační sál lokální"/>
    <s v="50115067     ostatní ZPr - rukavice (sk.Z_532)"/>
    <x v="15"/>
    <x v="1"/>
    <n v="20.90757"/>
    <n v="22"/>
  </r>
  <r>
    <s v="29"/>
    <s v="29"/>
    <s v="Oddělení plastické a estetické chirurgie"/>
    <x v="27"/>
    <s v="2962"/>
    <s v="operační sál lokální"/>
    <s v="2962 - operační sál lokální"/>
    <s v="50115067     ostatní ZPr - rukavice (sk.Z_532)"/>
    <x v="15"/>
    <x v="2"/>
    <n v="11.201299999999998"/>
    <n v="71.999997732173995"/>
  </r>
  <r>
    <s v="29"/>
    <s v="29"/>
    <s v="Oddělení plastické a estetické chirurgie"/>
    <x v="27"/>
    <s v="2964"/>
    <s v="pracoviště COS"/>
    <s v="2964 - pracoviště COS"/>
    <s v="50113     Léky a léčiva"/>
    <x v="2"/>
    <x v="0"/>
    <n v="17.50141"/>
    <n v="24.701239327063"/>
  </r>
  <r>
    <s v="29"/>
    <s v="29"/>
    <s v="Oddělení plastické a estetické chirurgie"/>
    <x v="27"/>
    <s v="2964"/>
    <s v="pracoviště COS"/>
    <s v="2964 - pracoviště COS"/>
    <s v="50113     Léky a léčiva"/>
    <x v="2"/>
    <x v="1"/>
    <n v="17.462499999999999"/>
    <n v="17.531871094625"/>
  </r>
  <r>
    <s v="29"/>
    <s v="29"/>
    <s v="Oddělení plastické a estetické chirurgie"/>
    <x v="27"/>
    <s v="2964"/>
    <s v="pracoviště COS"/>
    <s v="2964 - pracoviště COS"/>
    <s v="50113     Léky a léčiva"/>
    <x v="2"/>
    <x v="2"/>
    <n v="22.012440000000002"/>
    <n v="30.655489311490001"/>
  </r>
  <r>
    <s v="29"/>
    <s v="29"/>
    <s v="Oddělení plastické a estetické chirurgie"/>
    <x v="27"/>
    <s v="2964"/>
    <s v="pracoviště COS"/>
    <s v="2964 - pracoviště COS"/>
    <s v="50113001     léky - paušál+TISS (LEK)"/>
    <x v="3"/>
    <x v="0"/>
    <n v="15.992419999999999"/>
    <n v="22.812890073538"/>
  </r>
  <r>
    <s v="29"/>
    <s v="29"/>
    <s v="Oddělení plastické a estetické chirurgie"/>
    <x v="27"/>
    <s v="2964"/>
    <s v="pracoviště COS"/>
    <s v="2964 - pracoviště COS"/>
    <s v="50113001     léky - paušál+TISS (LEK)"/>
    <x v="3"/>
    <x v="1"/>
    <n v="16.2624"/>
    <n v="16.004534108744998"/>
  </r>
  <r>
    <s v="29"/>
    <s v="29"/>
    <s v="Oddělení plastické a estetické chirurgie"/>
    <x v="27"/>
    <s v="2964"/>
    <s v="pracoviště COS"/>
    <s v="2964 - pracoviště COS"/>
    <s v="50113001     léky - paušál+TISS (LEK)"/>
    <x v="3"/>
    <x v="2"/>
    <n v="21.740360000000003"/>
    <n v="28.862345169000999"/>
  </r>
  <r>
    <s v="29"/>
    <s v="29"/>
    <s v="Oddělení plastické a estetické chirurgie"/>
    <x v="27"/>
    <s v="2964"/>
    <s v="pracoviště COS"/>
    <s v="2964 - pracoviště COS"/>
    <s v="50113013     léky (paušál) - antibiotika (LEK)"/>
    <x v="7"/>
    <x v="0"/>
    <n v="1.5089900000000001"/>
    <n v="1.8883492535249999"/>
  </r>
  <r>
    <s v="29"/>
    <s v="29"/>
    <s v="Oddělení plastické a estetické chirurgie"/>
    <x v="27"/>
    <s v="2964"/>
    <s v="pracoviště COS"/>
    <s v="2964 - pracoviště COS"/>
    <s v="50113013     léky (paušál) - antibiotika (LEK)"/>
    <x v="7"/>
    <x v="1"/>
    <n v="1.2001000000000002"/>
    <n v="1.5273369858800001"/>
  </r>
  <r>
    <s v="29"/>
    <s v="29"/>
    <s v="Oddělení plastické a estetické chirurgie"/>
    <x v="27"/>
    <s v="2964"/>
    <s v="pracoviště COS"/>
    <s v="2964 - pracoviště COS"/>
    <s v="50113013     léky (paušál) - antibiotika (LEK)"/>
    <x v="7"/>
    <x v="2"/>
    <n v="0.27207999999999999"/>
    <n v="1.793144142489"/>
  </r>
  <r>
    <s v="29"/>
    <s v="29"/>
    <s v="Oddělení plastické a estetické chirurgie"/>
    <x v="27"/>
    <s v="2964"/>
    <s v="pracoviště COS"/>
    <s v="2964 - pracoviště COS"/>
    <s v="50115     Zdravotnické prostředky"/>
    <x v="0"/>
    <x v="0"/>
    <n v="499.69073000000003"/>
    <n v="507.319021295862"/>
  </r>
  <r>
    <s v="29"/>
    <s v="29"/>
    <s v="Oddělení plastické a estetické chirurgie"/>
    <x v="27"/>
    <s v="2964"/>
    <s v="pracoviště COS"/>
    <s v="2964 - pracoviště COS"/>
    <s v="50115     Zdravotnické prostředky"/>
    <x v="0"/>
    <x v="1"/>
    <n v="522.58122000000003"/>
    <n v="543.76718216845597"/>
  </r>
  <r>
    <s v="29"/>
    <s v="29"/>
    <s v="Oddělení plastické a estetické chirurgie"/>
    <x v="27"/>
    <s v="2964"/>
    <s v="pracoviště COS"/>
    <s v="2964 - pracoviště COS"/>
    <s v="50115     Zdravotnické prostředky"/>
    <x v="0"/>
    <x v="2"/>
    <n v="322.12606"/>
    <n v="518.32968981271199"/>
  </r>
  <r>
    <s v="29"/>
    <s v="29"/>
    <s v="Oddělení plastické a estetické chirurgie"/>
    <x v="27"/>
    <s v="2964"/>
    <s v="pracoviště COS"/>
    <s v="2964 - pracoviště COS"/>
    <s v="50115004     implant.umělé těl.náhr.-kovové (s.Z_506)"/>
    <x v="25"/>
    <x v="0"/>
    <n v="12.57464"/>
    <n v="4.1755459525790002"/>
  </r>
  <r>
    <s v="29"/>
    <s v="29"/>
    <s v="Oddělení plastické a estetické chirurgie"/>
    <x v="27"/>
    <s v="2964"/>
    <s v="pracoviště COS"/>
    <s v="2964 - pracoviště COS"/>
    <s v="50115004     implant.umělé těl.náhr.-kovové (s.Z_506)"/>
    <x v="25"/>
    <x v="1"/>
    <n v="53.413069999999998"/>
    <n v="57.999991384965"/>
  </r>
  <r>
    <s v="29"/>
    <s v="29"/>
    <s v="Oddělení plastické a estetické chirurgie"/>
    <x v="27"/>
    <s v="2964"/>
    <s v="pracoviště COS"/>
    <s v="2964 - pracoviště COS"/>
    <s v="50115004     implant.umělé těl.náhr.-kovové (s.Z_506)"/>
    <x v="25"/>
    <x v="2"/>
    <n v="46.468560000000004"/>
    <n v="63.999997984155002"/>
  </r>
  <r>
    <s v="29"/>
    <s v="29"/>
    <s v="Oddělení plastické a estetické chirurgie"/>
    <x v="27"/>
    <s v="2964"/>
    <s v="pracoviště COS"/>
    <s v="2964 - pracoviště COS"/>
    <s v="50115050     obvazový materiál (sk.Z_502)"/>
    <x v="12"/>
    <x v="0"/>
    <n v="39.756350000000005"/>
    <n v="30.434633307037998"/>
  </r>
  <r>
    <s v="29"/>
    <s v="29"/>
    <s v="Oddělení plastické a estetické chirurgie"/>
    <x v="27"/>
    <s v="2964"/>
    <s v="pracoviště COS"/>
    <s v="2964 - pracoviště COS"/>
    <s v="50115050     obvazový materiál (sk.Z_502)"/>
    <x v="12"/>
    <x v="1"/>
    <n v="39.455020000000005"/>
    <n v="39.846757985895003"/>
  </r>
  <r>
    <s v="29"/>
    <s v="29"/>
    <s v="Oddělení plastické a estetické chirurgie"/>
    <x v="27"/>
    <s v="2964"/>
    <s v="pracoviště COS"/>
    <s v="2964 - pracoviště COS"/>
    <s v="50115050     obvazový materiál (sk.Z_502)"/>
    <x v="12"/>
    <x v="2"/>
    <n v="0.99329000000000001"/>
    <n v="28.670235030217"/>
  </r>
  <r>
    <s v="29"/>
    <s v="29"/>
    <s v="Oddělení plastické a estetické chirurgie"/>
    <x v="27"/>
    <s v="2964"/>
    <s v="pracoviště COS"/>
    <s v="2964 - pracoviště COS"/>
    <s v="50115060     ostatní ZPr - mimo níže uvedené (sk.Z_503)"/>
    <x v="1"/>
    <x v="0"/>
    <n v="40.329909999998996"/>
    <n v="43.383262805247"/>
  </r>
  <r>
    <s v="29"/>
    <s v="29"/>
    <s v="Oddělení plastické a estetické chirurgie"/>
    <x v="27"/>
    <s v="2964"/>
    <s v="pracoviště COS"/>
    <s v="2964 - pracoviště COS"/>
    <s v="50115060     ostatní ZPr - mimo níže uvedené (sk.Z_503)"/>
    <x v="1"/>
    <x v="1"/>
    <n v="35.443579999999997"/>
    <n v="50.329631671648997"/>
  </r>
  <r>
    <s v="29"/>
    <s v="29"/>
    <s v="Oddělení plastické a estetické chirurgie"/>
    <x v="27"/>
    <s v="2964"/>
    <s v="pracoviště COS"/>
    <s v="2964 - pracoviště COS"/>
    <s v="50115060     ostatní ZPr - mimo níže uvedené (sk.Z_503)"/>
    <x v="1"/>
    <x v="2"/>
    <n v="19.202559999999998"/>
    <n v="32.943462325006998"/>
  </r>
  <r>
    <s v="29"/>
    <s v="29"/>
    <s v="Oddělení plastické a estetické chirurgie"/>
    <x v="27"/>
    <s v="2964"/>
    <s v="pracoviště COS"/>
    <s v="2964 - pracoviště COS"/>
    <s v="50115064     ostatní ZPr - šicí materiál (sk.Z_529)"/>
    <x v="21"/>
    <x v="0"/>
    <n v="360.65253999999999"/>
    <n v="372.32963225893002"/>
  </r>
  <r>
    <s v="29"/>
    <s v="29"/>
    <s v="Oddělení plastické a estetické chirurgie"/>
    <x v="27"/>
    <s v="2964"/>
    <s v="pracoviště COS"/>
    <s v="2964 - pracoviště COS"/>
    <s v="50115064     ostatní ZPr - šicí materiál (sk.Z_529)"/>
    <x v="21"/>
    <x v="1"/>
    <n v="352.80704999999995"/>
    <n v="353.59088216444098"/>
  </r>
  <r>
    <s v="29"/>
    <s v="29"/>
    <s v="Oddělení plastické a estetické chirurgie"/>
    <x v="27"/>
    <s v="2964"/>
    <s v="pracoviště COS"/>
    <s v="2964 - pracoviště COS"/>
    <s v="50115064     ostatní ZPr - šicí materiál (sk.Z_529)"/>
    <x v="21"/>
    <x v="2"/>
    <n v="229.97624999999999"/>
    <n v="350.717039598621"/>
  </r>
  <r>
    <s v="29"/>
    <s v="29"/>
    <s v="Oddělení plastické a estetické chirurgie"/>
    <x v="27"/>
    <s v="2964"/>
    <s v="pracoviště COS"/>
    <s v="2964 - pracoviště COS"/>
    <s v="50115067     ostatní ZPr - rukavice (sk.Z_532)"/>
    <x v="15"/>
    <x v="0"/>
    <n v="4.1243999999999996"/>
    <n v="4.1806019922570004"/>
  </r>
  <r>
    <s v="29"/>
    <s v="29"/>
    <s v="Oddělení plastické a estetické chirurgie"/>
    <x v="27"/>
    <s v="2964"/>
    <s v="pracoviště COS"/>
    <s v="2964 - pracoviště COS"/>
    <s v="50115070     ostatní ZPr - katetry (sk.Z_513)"/>
    <x v="16"/>
    <x v="0"/>
    <n v="0"/>
    <n v="0.71619811461600003"/>
  </r>
  <r>
    <s v="29"/>
    <s v="29"/>
    <s v="Oddělení plastické a estetické chirurgie"/>
    <x v="27"/>
    <s v="2964"/>
    <s v="pracoviště COS"/>
    <s v="2964 - pracoviště COS"/>
    <s v="50115080     ostatní ZPr - staplery, extraktory (sk.Z_523)"/>
    <x v="30"/>
    <x v="0"/>
    <n v="42.252890000000001"/>
    <n v="52.099146865192999"/>
  </r>
  <r>
    <s v="29"/>
    <s v="29"/>
    <s v="Oddělení plastické a estetické chirurgie"/>
    <x v="27"/>
    <s v="2964"/>
    <s v="pracoviště COS"/>
    <s v="2964 - pracoviště COS"/>
    <s v="50115080     ostatní ZPr - staplery, extraktory (sk.Z_523)"/>
    <x v="30"/>
    <x v="1"/>
    <n v="41.462500000000006"/>
    <n v="41.999918961504001"/>
  </r>
  <r>
    <s v="29"/>
    <s v="29"/>
    <s v="Oddělení plastické a estetické chirurgie"/>
    <x v="27"/>
    <s v="2964"/>
    <s v="pracoviště COS"/>
    <s v="2964 - pracoviště COS"/>
    <s v="50115080     ostatní ZPr - staplery, extraktory (sk.Z_523)"/>
    <x v="30"/>
    <x v="2"/>
    <n v="25.485399999999998"/>
    <n v="41.998954874711004"/>
  </r>
  <r>
    <s v="29"/>
    <s v="29"/>
    <s v="Oddělení plastické a estetické chirurgie"/>
    <x v="27"/>
    <s v="2966"/>
    <s v="pracoviště DK COS"/>
    <s v="2966 - pracoviště DK COS"/>
    <s v="50115     Zdravotnické prostředky"/>
    <x v="0"/>
    <x v="0"/>
    <n v="0"/>
    <n v="4.1806019922570004"/>
  </r>
  <r>
    <s v="29"/>
    <s v="29"/>
    <s v="Oddělení plastické a estetické chirurgie"/>
    <x v="27"/>
    <s v="2966"/>
    <s v="pracoviště DK COS"/>
    <s v="2966 - pracoviště DK COS"/>
    <s v="50115067     ostatní ZPr - rukavice (sk.Z_532)"/>
    <x v="15"/>
    <x v="0"/>
    <n v="0"/>
    <n v="4.1806019922570004"/>
  </r>
  <r>
    <s v="30"/>
    <s v="30"/>
    <s v="Oddělení geriatrie"/>
    <x v="28"/>
    <s v="3001"/>
    <s v="vedení klinického pracoviště"/>
    <s v="3001 - vedení klinického pracoviště"/>
    <s v="50113     Léky a léčiva"/>
    <x v="2"/>
    <x v="0"/>
    <n v="0"/>
    <n v="0.18346644393200001"/>
  </r>
  <r>
    <s v="30"/>
    <s v="30"/>
    <s v="Oddělení geriatrie"/>
    <x v="28"/>
    <s v="3001"/>
    <s v="vedení klinického pracoviště"/>
    <s v="3001 - vedení klinického pracoviště"/>
    <s v="50113     Léky a léčiva"/>
    <x v="2"/>
    <x v="2"/>
    <n v="0.63161"/>
    <n v="0"/>
  </r>
  <r>
    <s v="30"/>
    <s v="30"/>
    <s v="Oddělení geriatrie"/>
    <x v="28"/>
    <s v="3001"/>
    <s v="vedení klinického pracoviště"/>
    <s v="3001 - vedení klinického pracoviště"/>
    <s v="50113001     léky - paušál+TISS (LEK)"/>
    <x v="3"/>
    <x v="0"/>
    <n v="0"/>
    <n v="0.18346644393200001"/>
  </r>
  <r>
    <s v="30"/>
    <s v="30"/>
    <s v="Oddělení geriatrie"/>
    <x v="28"/>
    <s v="3001"/>
    <s v="vedení klinického pracoviště"/>
    <s v="3001 - vedení klinického pracoviště"/>
    <s v="50113001     léky - paušál+TISS (LEK)"/>
    <x v="3"/>
    <x v="2"/>
    <n v="0.63161"/>
    <n v="0"/>
  </r>
  <r>
    <s v="30"/>
    <s v="30"/>
    <s v="Oddělení geriatrie"/>
    <x v="28"/>
    <s v="3011"/>
    <s v="lůžkové oddělení 46, 47"/>
    <s v="3011 - lůžkové oddělení 46, 47"/>
    <s v="50113     Léky a léčiva"/>
    <x v="2"/>
    <x v="0"/>
    <n v="2545.8872100000012"/>
    <n v="2688.9760046142601"/>
  </r>
  <r>
    <s v="30"/>
    <s v="30"/>
    <s v="Oddělení geriatrie"/>
    <x v="28"/>
    <s v="3011"/>
    <s v="lůžkové oddělení 46, 47"/>
    <s v="3011 - lůžkové oddělení 46, 47"/>
    <s v="50113     Léky a léčiva"/>
    <x v="2"/>
    <x v="1"/>
    <n v="2381.8459400000011"/>
    <n v="2438.6685063550799"/>
  </r>
  <r>
    <s v="30"/>
    <s v="30"/>
    <s v="Oddělení geriatrie"/>
    <x v="28"/>
    <s v="3011"/>
    <s v="lůžkové oddělení 46, 47"/>
    <s v="3011 - lůžkové oddělení 46, 47"/>
    <s v="50113     Léky a léčiva"/>
    <x v="2"/>
    <x v="2"/>
    <n v="1668.3993600000013"/>
    <n v="2345.8202914602698"/>
  </r>
  <r>
    <s v="30"/>
    <s v="30"/>
    <s v="Oddělení geriatrie"/>
    <x v="28"/>
    <s v="3011"/>
    <s v="lůžkové oddělení 46, 47"/>
    <s v="3011 - lůžkové oddělení 46, 47"/>
    <s v="50113001     léky - paušál+TISS (LEK)"/>
    <x v="3"/>
    <x v="0"/>
    <n v="1814.1010199999998"/>
    <n v="1929.17569407119"/>
  </r>
  <r>
    <s v="30"/>
    <s v="30"/>
    <s v="Oddělení geriatrie"/>
    <x v="28"/>
    <s v="3011"/>
    <s v="lůžkové oddělení 46, 47"/>
    <s v="3011 - lůžkové oddělení 46, 47"/>
    <s v="50113001     léky - paušál+TISS (LEK)"/>
    <x v="3"/>
    <x v="1"/>
    <n v="1757.1922000000011"/>
    <n v="1791.00098505745"/>
  </r>
  <r>
    <s v="30"/>
    <s v="30"/>
    <s v="Oddělení geriatrie"/>
    <x v="28"/>
    <s v="3011"/>
    <s v="lůžkové oddělení 46, 47"/>
    <s v="3011 - lůžkové oddělení 46, 47"/>
    <s v="50113001     léky - paušál+TISS (LEK)"/>
    <x v="3"/>
    <x v="2"/>
    <n v="1310.7808800000012"/>
    <n v="1734.1397197108199"/>
  </r>
  <r>
    <s v="30"/>
    <s v="30"/>
    <s v="Oddělení geriatrie"/>
    <x v="28"/>
    <s v="3011"/>
    <s v="lůžkové oddělení 46, 47"/>
    <s v="3011 - lůžkové oddělení 46, 47"/>
    <s v="50113002     léky - parenterální výživa (LEK)"/>
    <x v="17"/>
    <x v="2"/>
    <n v="33.866129999999998"/>
    <n v="45"/>
  </r>
  <r>
    <s v="30"/>
    <s v="30"/>
    <s v="Oddělení geriatrie"/>
    <x v="28"/>
    <s v="3011"/>
    <s v="lůžkové oddělení 46, 47"/>
    <s v="3011 - lůžkové oddělení 46, 47"/>
    <s v="50113006     léky - enterální výživa (LEK)"/>
    <x v="4"/>
    <x v="0"/>
    <n v="186.04150999999902"/>
    <n v="183.75249637707"/>
  </r>
  <r>
    <s v="30"/>
    <s v="30"/>
    <s v="Oddělení geriatrie"/>
    <x v="28"/>
    <s v="3011"/>
    <s v="lůžkové oddělení 46, 47"/>
    <s v="3011 - lůžkové oddělení 46, 47"/>
    <s v="50113006     léky - enterální výživa (LEK)"/>
    <x v="4"/>
    <x v="1"/>
    <n v="114.59348"/>
    <n v="183.76356121835599"/>
  </r>
  <r>
    <s v="30"/>
    <s v="30"/>
    <s v="Oddělení geriatrie"/>
    <x v="28"/>
    <s v="3011"/>
    <s v="lůžkové oddělení 46, 47"/>
    <s v="3011 - lůžkové oddělení 46, 47"/>
    <s v="50113006     léky - enterální výživa (LEK)"/>
    <x v="4"/>
    <x v="2"/>
    <n v="84.217079999999996"/>
    <n v="128"/>
  </r>
  <r>
    <s v="30"/>
    <s v="30"/>
    <s v="Oddělení geriatrie"/>
    <x v="28"/>
    <s v="3011"/>
    <s v="lůžkové oddělení 46, 47"/>
    <s v="3011 - lůžkové oddělení 46, 47"/>
    <s v="50113008     léky - krev.deriváty ZUL (TO)"/>
    <x v="5"/>
    <x v="1"/>
    <n v="15.482939999999999"/>
    <n v="0"/>
  </r>
  <r>
    <s v="30"/>
    <s v="30"/>
    <s v="Oddělení geriatrie"/>
    <x v="28"/>
    <s v="3011"/>
    <s v="lůžkové oddělení 46, 47"/>
    <s v="3011 - lůžkové oddělení 46, 47"/>
    <s v="50113008     léky - krev.deriváty ZUL (TO)"/>
    <x v="5"/>
    <x v="2"/>
    <n v="0"/>
    <n v="17.217311066657"/>
  </r>
  <r>
    <s v="30"/>
    <s v="30"/>
    <s v="Oddělení geriatrie"/>
    <x v="28"/>
    <s v="3011"/>
    <s v="lůžkové oddělení 46, 47"/>
    <s v="3011 - lůžkové oddělení 46, 47"/>
    <s v="50113013     léky (paušál) - antibiotika (LEK)"/>
    <x v="7"/>
    <x v="0"/>
    <n v="453.79082999999895"/>
    <n v="465.004886170276"/>
  </r>
  <r>
    <s v="30"/>
    <s v="30"/>
    <s v="Oddělení geriatrie"/>
    <x v="28"/>
    <s v="3011"/>
    <s v="lůžkové oddělení 46, 47"/>
    <s v="3011 - lůžkové oddělení 46, 47"/>
    <s v="50113013     léky (paušál) - antibiotika (LEK)"/>
    <x v="7"/>
    <x v="1"/>
    <n v="347.46800000000002"/>
    <n v="377.68539602428399"/>
  </r>
  <r>
    <s v="30"/>
    <s v="30"/>
    <s v="Oddělení geriatrie"/>
    <x v="28"/>
    <s v="3011"/>
    <s v="lůžkové oddělení 46, 47"/>
    <s v="3011 - lůžkové oddělení 46, 47"/>
    <s v="50113013     léky (paušál) - antibiotika (LEK)"/>
    <x v="7"/>
    <x v="2"/>
    <n v="171.29803000000001"/>
    <n v="329.99035355252602"/>
  </r>
  <r>
    <s v="30"/>
    <s v="30"/>
    <s v="Oddělení geriatrie"/>
    <x v="28"/>
    <s v="3011"/>
    <s v="lůžkové oddělení 46, 47"/>
    <s v="3011 - lůžkové oddělení 46, 47"/>
    <s v="50113014     léky (paušál) - antimykotika (LEK)"/>
    <x v="8"/>
    <x v="0"/>
    <n v="57.758929999999992"/>
    <n v="72.147744008809994"/>
  </r>
  <r>
    <s v="30"/>
    <s v="30"/>
    <s v="Oddělení geriatrie"/>
    <x v="28"/>
    <s v="3011"/>
    <s v="lůžkové oddělení 46, 47"/>
    <s v="3011 - lůžkové oddělení 46, 47"/>
    <s v="50113014     léky (paušál) - antimykotika (LEK)"/>
    <x v="8"/>
    <x v="1"/>
    <n v="111.58926"/>
    <n v="53.503559661673997"/>
  </r>
  <r>
    <s v="30"/>
    <s v="30"/>
    <s v="Oddělení geriatrie"/>
    <x v="28"/>
    <s v="3011"/>
    <s v="lůžkové oddělení 46, 47"/>
    <s v="3011 - lůžkové oddělení 46, 47"/>
    <s v="50113014     léky (paušál) - antimykotika (LEK)"/>
    <x v="8"/>
    <x v="2"/>
    <n v="44.277809999999995"/>
    <n v="55.478355254451998"/>
  </r>
  <r>
    <s v="30"/>
    <s v="30"/>
    <s v="Oddělení geriatrie"/>
    <x v="28"/>
    <s v="3011"/>
    <s v="lůžkové oddělení 46, 47"/>
    <s v="3011 - lůžkové oddělení 46, 47"/>
    <s v="50113190     medicinální plyny"/>
    <x v="9"/>
    <x v="0"/>
    <n v="34.194920000000003"/>
    <n v="38.895183986913999"/>
  </r>
  <r>
    <s v="30"/>
    <s v="30"/>
    <s v="Oddělení geriatrie"/>
    <x v="28"/>
    <s v="3011"/>
    <s v="lůžkové oddělení 46, 47"/>
    <s v="3011 - lůžkové oddělení 46, 47"/>
    <s v="50113190     medicinální plyny"/>
    <x v="9"/>
    <x v="1"/>
    <n v="35.520060000000001"/>
    <n v="32.715004393313997"/>
  </r>
  <r>
    <s v="30"/>
    <s v="30"/>
    <s v="Oddělení geriatrie"/>
    <x v="28"/>
    <s v="3011"/>
    <s v="lůžkové oddělení 46, 47"/>
    <s v="3011 - lůžkové oddělení 46, 47"/>
    <s v="50113190     medicinální plyny"/>
    <x v="9"/>
    <x v="2"/>
    <n v="23.959429999999998"/>
    <n v="35.994551875814999"/>
  </r>
  <r>
    <s v="30"/>
    <s v="30"/>
    <s v="Oddělení geriatrie"/>
    <x v="28"/>
    <s v="3011"/>
    <s v="lůžkové oddělení 46, 47"/>
    <s v="3011 - lůžkové oddělení 46, 47"/>
    <s v="50115     Zdravotnické prostředky"/>
    <x v="0"/>
    <x v="0"/>
    <n v="674.177449999999"/>
    <n v="675.191972308206"/>
  </r>
  <r>
    <s v="30"/>
    <s v="30"/>
    <s v="Oddělení geriatrie"/>
    <x v="28"/>
    <s v="3011"/>
    <s v="lůžkové oddělení 46, 47"/>
    <s v="3011 - lůžkové oddělení 46, 47"/>
    <s v="50115     Zdravotnické prostředky"/>
    <x v="0"/>
    <x v="1"/>
    <n v="670.82009000000005"/>
    <n v="673.22209483934603"/>
  </r>
  <r>
    <s v="30"/>
    <s v="30"/>
    <s v="Oddělení geriatrie"/>
    <x v="28"/>
    <s v="3011"/>
    <s v="lůžkové oddělení 46, 47"/>
    <s v="3011 - lůžkové oddělení 46, 47"/>
    <s v="50115     Zdravotnické prostředky"/>
    <x v="0"/>
    <x v="2"/>
    <n v="491.29516000000001"/>
    <n v="671.136407982386"/>
  </r>
  <r>
    <s v="30"/>
    <s v="30"/>
    <s v="Oddělení geriatrie"/>
    <x v="28"/>
    <s v="3011"/>
    <s v="lůžkové oddělení 46, 47"/>
    <s v="3011 - lůžkové oddělení 46, 47"/>
    <s v="50115020     diagnostika laboratorní-LEK (sk.Z_501)"/>
    <x v="10"/>
    <x v="0"/>
    <n v="7.7480499999989991"/>
    <n v="16.370278495316001"/>
  </r>
  <r>
    <s v="30"/>
    <s v="30"/>
    <s v="Oddělení geriatrie"/>
    <x v="28"/>
    <s v="3011"/>
    <s v="lůžkové oddělení 46, 47"/>
    <s v="3011 - lůžkové oddělení 46, 47"/>
    <s v="50115020     diagnostika laboratorní-LEK (sk.Z_501)"/>
    <x v="10"/>
    <x v="1"/>
    <n v="6.8714899999999997"/>
    <n v="9.7480434525259998"/>
  </r>
  <r>
    <s v="30"/>
    <s v="30"/>
    <s v="Oddělení geriatrie"/>
    <x v="28"/>
    <s v="3011"/>
    <s v="lůžkové oddělení 46, 47"/>
    <s v="3011 - lůžkové oddělení 46, 47"/>
    <s v="50115020     diagnostika laboratorní-LEK (sk.Z_501)"/>
    <x v="10"/>
    <x v="2"/>
    <n v="7.9972500000000002"/>
    <n v="7.9999997480190004"/>
  </r>
  <r>
    <s v="30"/>
    <s v="30"/>
    <s v="Oddělení geriatrie"/>
    <x v="28"/>
    <s v="3011"/>
    <s v="lůžkové oddělení 46, 47"/>
    <s v="3011 - lůžkové oddělení 46, 47"/>
    <s v="50115040     laboratorní materiál (sk.Z_505)"/>
    <x v="11"/>
    <x v="0"/>
    <n v="1.29864"/>
    <n v="1.000068998852"/>
  </r>
  <r>
    <s v="30"/>
    <s v="30"/>
    <s v="Oddělení geriatrie"/>
    <x v="28"/>
    <s v="3011"/>
    <s v="lůžkové oddělení 46, 47"/>
    <s v="3011 - lůžkové oddělení 46, 47"/>
    <s v="50115040     laboratorní materiál (sk.Z_505)"/>
    <x v="11"/>
    <x v="1"/>
    <n v="0.47916000000000003"/>
    <n v="1.298722097712"/>
  </r>
  <r>
    <s v="30"/>
    <s v="30"/>
    <s v="Oddělení geriatrie"/>
    <x v="28"/>
    <s v="3011"/>
    <s v="lůžkové oddělení 46, 47"/>
    <s v="3011 - lůžkové oddělení 46, 47"/>
    <s v="50115040     laboratorní materiál (sk.Z_505)"/>
    <x v="11"/>
    <x v="2"/>
    <n v="0.63843000000000005"/>
    <n v="0.99999996850200001"/>
  </r>
  <r>
    <s v="30"/>
    <s v="30"/>
    <s v="Oddělení geriatrie"/>
    <x v="28"/>
    <s v="3011"/>
    <s v="lůžkové oddělení 46, 47"/>
    <s v="3011 - lůžkové oddělení 46, 47"/>
    <s v="50115050     obvazový materiál (sk.Z_502)"/>
    <x v="12"/>
    <x v="0"/>
    <n v="234.04423"/>
    <n v="232.926356438851"/>
  </r>
  <r>
    <s v="30"/>
    <s v="30"/>
    <s v="Oddělení geriatrie"/>
    <x v="28"/>
    <s v="3011"/>
    <s v="lůžkové oddělení 46, 47"/>
    <s v="3011 - lůžkové oddělení 46, 47"/>
    <s v="50115050     obvazový materiál (sk.Z_502)"/>
    <x v="12"/>
    <x v="1"/>
    <n v="250.68938000000003"/>
    <n v="248.57647800755399"/>
  </r>
  <r>
    <s v="30"/>
    <s v="30"/>
    <s v="Oddělení geriatrie"/>
    <x v="28"/>
    <s v="3011"/>
    <s v="lůžkové oddělení 46, 47"/>
    <s v="3011 - lůžkové oddělení 46, 47"/>
    <s v="50115050     obvazový materiál (sk.Z_502)"/>
    <x v="12"/>
    <x v="2"/>
    <n v="189.13882000000001"/>
    <n v="254.906451971064"/>
  </r>
  <r>
    <s v="30"/>
    <s v="30"/>
    <s v="Oddělení geriatrie"/>
    <x v="28"/>
    <s v="3011"/>
    <s v="lůžkové oddělení 46, 47"/>
    <s v="3011 - lůžkové oddělení 46, 47"/>
    <s v="50115060     ostatní ZPr - mimo níže uvedené (sk.Z_503)"/>
    <x v="1"/>
    <x v="0"/>
    <n v="278.69585000000001"/>
    <n v="258.46838719263599"/>
  </r>
  <r>
    <s v="30"/>
    <s v="30"/>
    <s v="Oddělení geriatrie"/>
    <x v="28"/>
    <s v="3011"/>
    <s v="lůžkové oddělení 46, 47"/>
    <s v="3011 - lůžkové oddělení 46, 47"/>
    <s v="50115060     ostatní ZPr - mimo níže uvedené (sk.Z_503)"/>
    <x v="1"/>
    <x v="1"/>
    <n v="235.30815000000001"/>
    <n v="252.69453432473699"/>
  </r>
  <r>
    <s v="30"/>
    <s v="30"/>
    <s v="Oddělení geriatrie"/>
    <x v="28"/>
    <s v="3011"/>
    <s v="lůžkové oddělení 46, 47"/>
    <s v="3011 - lůžkové oddělení 46, 47"/>
    <s v="50115060     ostatní ZPr - mimo níže uvedené (sk.Z_503)"/>
    <x v="1"/>
    <x v="2"/>
    <n v="171.08277000000004"/>
    <n v="231.433187235324"/>
  </r>
  <r>
    <s v="30"/>
    <s v="30"/>
    <s v="Oddělení geriatrie"/>
    <x v="28"/>
    <s v="3011"/>
    <s v="lůžkové oddělení 46, 47"/>
    <s v="3011 - lůžkové oddělení 46, 47"/>
    <s v="50115063     ostatní ZPr - vaky, sety (sk.Z_528)"/>
    <x v="13"/>
    <x v="0"/>
    <n v="44.820249999999"/>
    <n v="39.900425390583997"/>
  </r>
  <r>
    <s v="30"/>
    <s v="30"/>
    <s v="Oddělení geriatrie"/>
    <x v="28"/>
    <s v="3011"/>
    <s v="lůžkové oddělení 46, 47"/>
    <s v="3011 - lůžkové oddělení 46, 47"/>
    <s v="50115063     ostatní ZPr - vaky, sety (sk.Z_528)"/>
    <x v="13"/>
    <x v="1"/>
    <n v="46.078900000000004"/>
    <n v="43.907009339578003"/>
  </r>
  <r>
    <s v="30"/>
    <s v="30"/>
    <s v="Oddělení geriatrie"/>
    <x v="28"/>
    <s v="3011"/>
    <s v="lůžkové oddělení 46, 47"/>
    <s v="3011 - lůžkové oddělení 46, 47"/>
    <s v="50115063     ostatní ZPr - vaky, sety (sk.Z_528)"/>
    <x v="13"/>
    <x v="2"/>
    <n v="29.552100000000003"/>
    <n v="43.069391430609997"/>
  </r>
  <r>
    <s v="30"/>
    <s v="30"/>
    <s v="Oddělení geriatrie"/>
    <x v="28"/>
    <s v="3011"/>
    <s v="lůžkové oddělení 46, 47"/>
    <s v="3011 - lůžkové oddělení 46, 47"/>
    <s v="50115064     ostatní ZPr - šicí materiál (sk.Z_529)"/>
    <x v="21"/>
    <x v="0"/>
    <n v="1.2554799999999999"/>
    <n v="0"/>
  </r>
  <r>
    <s v="30"/>
    <s v="30"/>
    <s v="Oddělení geriatrie"/>
    <x v="28"/>
    <s v="3011"/>
    <s v="lůžkové oddělení 46, 47"/>
    <s v="3011 - lůžkové oddělení 46, 47"/>
    <s v="50115064     ostatní ZPr - šicí materiál (sk.Z_529)"/>
    <x v="21"/>
    <x v="1"/>
    <n v="0"/>
    <n v="1.230897419271"/>
  </r>
  <r>
    <s v="30"/>
    <s v="30"/>
    <s v="Oddělení geriatrie"/>
    <x v="28"/>
    <s v="3011"/>
    <s v="lůžkové oddělení 46, 47"/>
    <s v="3011 - lůžkové oddělení 46, 47"/>
    <s v="50115065     ostatní ZPr - vpichovací materiál (sk.Z_530)"/>
    <x v="14"/>
    <x v="0"/>
    <n v="3.5840000000000005"/>
    <n v="3.3254790026459999"/>
  </r>
  <r>
    <s v="30"/>
    <s v="30"/>
    <s v="Oddělení geriatrie"/>
    <x v="28"/>
    <s v="3011"/>
    <s v="lůžkové oddělení 46, 47"/>
    <s v="3011 - lůžkové oddělení 46, 47"/>
    <s v="50115065     ostatní ZPr - vpichovací materiál (sk.Z_530)"/>
    <x v="14"/>
    <x v="1"/>
    <n v="7.370000000000001"/>
    <n v="3.6765237031729998"/>
  </r>
  <r>
    <s v="30"/>
    <s v="30"/>
    <s v="Oddělení geriatrie"/>
    <x v="28"/>
    <s v="3011"/>
    <s v="lůžkové oddělení 46, 47"/>
    <s v="3011 - lůžkové oddělení 46, 47"/>
    <s v="50115065     ostatní ZPr - vpichovací materiál (sk.Z_530)"/>
    <x v="14"/>
    <x v="2"/>
    <n v="8.6975400000000018"/>
    <n v="3.7273816920509999"/>
  </r>
  <r>
    <s v="30"/>
    <s v="30"/>
    <s v="Oddělení geriatrie"/>
    <x v="28"/>
    <s v="3011"/>
    <s v="lůžkové oddělení 46, 47"/>
    <s v="3011 - lůžkové oddělení 46, 47"/>
    <s v="50115067     ostatní ZPr - rukavice (sk.Z_532)"/>
    <x v="15"/>
    <x v="0"/>
    <n v="96.036299999999017"/>
    <n v="101.03033119305501"/>
  </r>
  <r>
    <s v="30"/>
    <s v="30"/>
    <s v="Oddělení geriatrie"/>
    <x v="28"/>
    <s v="3011"/>
    <s v="lůžkové oddělení 46, 47"/>
    <s v="3011 - lůžkové oddělení 46, 47"/>
    <s v="50115067     ostatní ZPr - rukavice (sk.Z_532)"/>
    <x v="15"/>
    <x v="1"/>
    <n v="121.34521000000001"/>
    <n v="105.39526795251901"/>
  </r>
  <r>
    <s v="30"/>
    <s v="30"/>
    <s v="Oddělení geriatrie"/>
    <x v="28"/>
    <s v="3011"/>
    <s v="lůžkové oddělení 46, 47"/>
    <s v="3011 - lůžkové oddělení 46, 47"/>
    <s v="50115067     ostatní ZPr - rukavice (sk.Z_532)"/>
    <x v="15"/>
    <x v="2"/>
    <n v="81.355000000000004"/>
    <n v="121.999996157296"/>
  </r>
  <r>
    <s v="30"/>
    <s v="30"/>
    <s v="Oddělení geriatrie"/>
    <x v="28"/>
    <s v="3011"/>
    <s v="lůžkové oddělení 46, 47"/>
    <s v="3011 - lůžkové oddělení 46, 47"/>
    <s v="50115070     ostatní ZPr - katetry (sk.Z_513)"/>
    <x v="16"/>
    <x v="0"/>
    <n v="6.6946499999999993"/>
    <n v="22.170645596265"/>
  </r>
  <r>
    <s v="30"/>
    <s v="30"/>
    <s v="Oddělení geriatrie"/>
    <x v="28"/>
    <s v="3011"/>
    <s v="lůžkové oddělení 46, 47"/>
    <s v="3011 - lůžkové oddělení 46, 47"/>
    <s v="50115070     ostatní ZPr - katetry (sk.Z_513)"/>
    <x v="16"/>
    <x v="1"/>
    <n v="2.6778"/>
    <n v="6.694618542273"/>
  </r>
  <r>
    <s v="30"/>
    <s v="30"/>
    <s v="Oddělení geriatrie"/>
    <x v="28"/>
    <s v="3011"/>
    <s v="lůžkové oddělení 46, 47"/>
    <s v="3011 - lůžkové oddělení 46, 47"/>
    <s v="50115070     ostatní ZPr - katetry (sk.Z_513)"/>
    <x v="16"/>
    <x v="2"/>
    <n v="2.6778500000000003"/>
    <n v="6.9999997795160001"/>
  </r>
  <r>
    <s v="30"/>
    <s v="30"/>
    <s v="Oddělení geriatrie"/>
    <x v="28"/>
    <s v="3011"/>
    <s v="lůžkové oddělení 46, 47"/>
    <s v="3011 - lůžkové oddělení 46, 47"/>
    <s v="50115079     ostatní ZPr - intenzivní péče (sk.Z_542)"/>
    <x v="18"/>
    <x v="2"/>
    <n v="0.15540000000000001"/>
    <n v="0"/>
  </r>
  <r>
    <s v="30"/>
    <s v="30"/>
    <s v="Oddělení geriatrie"/>
    <x v="28"/>
    <s v="3021"/>
    <s v="ambulance"/>
    <s v="3021 - ambulance"/>
    <s v="50113     Léky a léčiva"/>
    <x v="2"/>
    <x v="0"/>
    <n v="27.30275"/>
    <n v="27.083066743577"/>
  </r>
  <r>
    <s v="30"/>
    <s v="30"/>
    <s v="Oddělení geriatrie"/>
    <x v="28"/>
    <s v="3021"/>
    <s v="ambulance"/>
    <s v="3021 - ambulance"/>
    <s v="50113     Léky a léčiva"/>
    <x v="2"/>
    <x v="1"/>
    <n v="33.352200000000003"/>
    <n v="37.324291259230002"/>
  </r>
  <r>
    <s v="30"/>
    <s v="30"/>
    <s v="Oddělení geriatrie"/>
    <x v="28"/>
    <s v="3021"/>
    <s v="ambulance"/>
    <s v="3021 - ambulance"/>
    <s v="50113     Léky a léčiva"/>
    <x v="2"/>
    <x v="2"/>
    <n v="22.970580000000002"/>
    <n v="26.820743913204002"/>
  </r>
  <r>
    <s v="30"/>
    <s v="30"/>
    <s v="Oddělení geriatrie"/>
    <x v="28"/>
    <s v="3021"/>
    <s v="ambulance"/>
    <s v="3021 - ambulance"/>
    <s v="50113001     léky - paušál+TISS (LEK)"/>
    <x v="3"/>
    <x v="0"/>
    <n v="27.227209999999999"/>
    <n v="27.083066743577"/>
  </r>
  <r>
    <s v="30"/>
    <s v="30"/>
    <s v="Oddělení geriatrie"/>
    <x v="28"/>
    <s v="3021"/>
    <s v="ambulance"/>
    <s v="3021 - ambulance"/>
    <s v="50113001     léky - paušál+TISS (LEK)"/>
    <x v="3"/>
    <x v="1"/>
    <n v="33.352200000000003"/>
    <n v="37.247832809595998"/>
  </r>
  <r>
    <s v="30"/>
    <s v="30"/>
    <s v="Oddělení geriatrie"/>
    <x v="28"/>
    <s v="3021"/>
    <s v="ambulance"/>
    <s v="3021 - ambulance"/>
    <s v="50113001     léky - paušál+TISS (LEK)"/>
    <x v="3"/>
    <x v="2"/>
    <n v="22.970580000000002"/>
    <n v="26.820743913204002"/>
  </r>
  <r>
    <s v="30"/>
    <s v="30"/>
    <s v="Oddělení geriatrie"/>
    <x v="28"/>
    <s v="3021"/>
    <s v="ambulance"/>
    <s v="3021 - ambulance"/>
    <s v="50113013     léky (paušál) - antibiotika (LEK)"/>
    <x v="7"/>
    <x v="0"/>
    <n v="7.5539999999999996E-2"/>
    <n v="0"/>
  </r>
  <r>
    <s v="30"/>
    <s v="30"/>
    <s v="Oddělení geriatrie"/>
    <x v="28"/>
    <s v="3021"/>
    <s v="ambulance"/>
    <s v="3021 - ambulance"/>
    <s v="50113013     léky (paušál) - antibiotika (LEK)"/>
    <x v="7"/>
    <x v="1"/>
    <n v="0"/>
    <n v="7.6458449634000003E-2"/>
  </r>
  <r>
    <s v="30"/>
    <s v="30"/>
    <s v="Oddělení geriatrie"/>
    <x v="28"/>
    <s v="3021"/>
    <s v="ambulance"/>
    <s v="3021 - ambulance"/>
    <s v="50115     Zdravotnické prostředky"/>
    <x v="0"/>
    <x v="0"/>
    <n v="21.507600000000004"/>
    <n v="23.482080527453"/>
  </r>
  <r>
    <s v="30"/>
    <s v="30"/>
    <s v="Oddělení geriatrie"/>
    <x v="28"/>
    <s v="3021"/>
    <s v="ambulance"/>
    <s v="3021 - ambulance"/>
    <s v="50115     Zdravotnické prostředky"/>
    <x v="0"/>
    <x v="1"/>
    <n v="22.796900000000001"/>
    <n v="23.431797754639"/>
  </r>
  <r>
    <s v="30"/>
    <s v="30"/>
    <s v="Oddělení geriatrie"/>
    <x v="28"/>
    <s v="3021"/>
    <s v="ambulance"/>
    <s v="3021 - ambulance"/>
    <s v="50115     Zdravotnické prostředky"/>
    <x v="0"/>
    <x v="2"/>
    <n v="12.3437"/>
    <n v="25.985630059959"/>
  </r>
  <r>
    <s v="30"/>
    <s v="30"/>
    <s v="Oddělení geriatrie"/>
    <x v="28"/>
    <s v="3021"/>
    <s v="ambulance"/>
    <s v="3021 - ambulance"/>
    <s v="50115050     obvazový materiál (sk.Z_502)"/>
    <x v="12"/>
    <x v="0"/>
    <n v="0.75425999999900006"/>
    <n v="1.4370564311780001"/>
  </r>
  <r>
    <s v="30"/>
    <s v="30"/>
    <s v="Oddělení geriatrie"/>
    <x v="28"/>
    <s v="3021"/>
    <s v="ambulance"/>
    <s v="3021 - ambulance"/>
    <s v="50115050     obvazový materiál (sk.Z_502)"/>
    <x v="12"/>
    <x v="1"/>
    <n v="0.99340000000000006"/>
    <n v="0.75597522605599998"/>
  </r>
  <r>
    <s v="30"/>
    <s v="30"/>
    <s v="Oddělení geriatrie"/>
    <x v="28"/>
    <s v="3021"/>
    <s v="ambulance"/>
    <s v="3021 - ambulance"/>
    <s v="50115050     obvazový materiál (sk.Z_502)"/>
    <x v="12"/>
    <x v="2"/>
    <n v="9.0120000000000006E-2"/>
    <n v="0.215599993209"/>
  </r>
  <r>
    <s v="30"/>
    <s v="30"/>
    <s v="Oddělení geriatrie"/>
    <x v="28"/>
    <s v="3021"/>
    <s v="ambulance"/>
    <s v="3021 - ambulance"/>
    <s v="50115060     ostatní ZPr - mimo níže uvedené (sk.Z_503)"/>
    <x v="1"/>
    <x v="0"/>
    <n v="15.06634"/>
    <n v="16.806955287933"/>
  </r>
  <r>
    <s v="30"/>
    <s v="30"/>
    <s v="Oddělení geriatrie"/>
    <x v="28"/>
    <s v="3021"/>
    <s v="ambulance"/>
    <s v="3021 - ambulance"/>
    <s v="50115060     ostatní ZPr - mimo níže uvedené (sk.Z_503)"/>
    <x v="1"/>
    <x v="1"/>
    <n v="15.324000000000002"/>
    <n v="17.066232872779999"/>
  </r>
  <r>
    <s v="30"/>
    <s v="30"/>
    <s v="Oddělení geriatrie"/>
    <x v="28"/>
    <s v="3021"/>
    <s v="ambulance"/>
    <s v="3021 - ambulance"/>
    <s v="50115060     ostatní ZPr - mimo níže uvedené (sk.Z_503)"/>
    <x v="1"/>
    <x v="2"/>
    <n v="9.5745799999999992"/>
    <n v="17.566804921778999"/>
  </r>
  <r>
    <s v="30"/>
    <s v="30"/>
    <s v="Oddělení geriatrie"/>
    <x v="28"/>
    <s v="3021"/>
    <s v="ambulance"/>
    <s v="3021 - ambulance"/>
    <s v="50115063     ostatní ZPr - vaky, sety (sk.Z_528)"/>
    <x v="13"/>
    <x v="0"/>
    <n v="4.7299999999990003"/>
    <n v="5.2380688083419997"/>
  </r>
  <r>
    <s v="30"/>
    <s v="30"/>
    <s v="Oddělení geriatrie"/>
    <x v="28"/>
    <s v="3021"/>
    <s v="ambulance"/>
    <s v="3021 - ambulance"/>
    <s v="50115063     ostatní ZPr - vaky, sety (sk.Z_528)"/>
    <x v="13"/>
    <x v="1"/>
    <n v="5.3104999999999993"/>
    <n v="4.6336232880489998"/>
  </r>
  <r>
    <s v="30"/>
    <s v="30"/>
    <s v="Oddělení geriatrie"/>
    <x v="28"/>
    <s v="3021"/>
    <s v="ambulance"/>
    <s v="3021 - ambulance"/>
    <s v="50115063     ostatní ZPr - vaky, sety (sk.Z_528)"/>
    <x v="13"/>
    <x v="2"/>
    <n v="2.4509999999999996"/>
    <n v="6.9306069945099997"/>
  </r>
  <r>
    <s v="30"/>
    <s v="30"/>
    <s v="Oddělení geriatrie"/>
    <x v="28"/>
    <s v="3021"/>
    <s v="ambulance"/>
    <s v="3021 - ambulance"/>
    <s v="50115064     ostatní ZPr - šicí materiál (sk.Z_529)"/>
    <x v="21"/>
    <x v="2"/>
    <n v="0"/>
    <n v="0.99999996850200001"/>
  </r>
  <r>
    <s v="30"/>
    <s v="30"/>
    <s v="Oddělení geriatrie"/>
    <x v="28"/>
    <s v="3021"/>
    <s v="ambulance"/>
    <s v="3021 - ambulance"/>
    <s v="50115065     ostatní ZPr - vpichovací materiál (sk.Z_530)"/>
    <x v="14"/>
    <x v="0"/>
    <n v="0.46500000000000002"/>
    <n v="0"/>
  </r>
  <r>
    <s v="30"/>
    <s v="30"/>
    <s v="Oddělení geriatrie"/>
    <x v="28"/>
    <s v="3021"/>
    <s v="ambulance"/>
    <s v="3021 - ambulance"/>
    <s v="50115065     ostatní ZPr - vpichovací materiál (sk.Z_530)"/>
    <x v="14"/>
    <x v="1"/>
    <n v="1.169"/>
    <n v="0.47700433090799998"/>
  </r>
  <r>
    <s v="30"/>
    <s v="30"/>
    <s v="Oddělení geriatrie"/>
    <x v="28"/>
    <s v="3021"/>
    <s v="ambulance"/>
    <s v="3021 - ambulance"/>
    <s v="50115065     ostatní ZPr - vpichovací materiál (sk.Z_530)"/>
    <x v="14"/>
    <x v="2"/>
    <n v="0.22800000000000001"/>
    <n v="0.27261818195699999"/>
  </r>
  <r>
    <s v="30"/>
    <s v="30"/>
    <s v="Oddělení geriatrie"/>
    <x v="28"/>
    <s v="3021"/>
    <s v="ambulance"/>
    <s v="3021 - ambulance"/>
    <s v="50115067     ostatní ZPr - rukavice (sk.Z_532)"/>
    <x v="15"/>
    <x v="0"/>
    <n v="0.49199999999999999"/>
    <n v="0"/>
  </r>
  <r>
    <s v="30"/>
    <s v="30"/>
    <s v="Oddělení geriatrie"/>
    <x v="28"/>
    <s v="3021"/>
    <s v="ambulance"/>
    <s v="3021 - ambulance"/>
    <s v="50115067     ostatní ZPr - rukavice (sk.Z_532)"/>
    <x v="15"/>
    <x v="1"/>
    <n v="0"/>
    <n v="0.498962036843"/>
  </r>
  <r>
    <s v="31"/>
    <s v="31"/>
    <s v="Traumatologické oddělení"/>
    <x v="29"/>
    <s v="3111"/>
    <s v="lůžkové oddělení 27"/>
    <s v="3111 - lůžkové oddělení 27"/>
    <s v="50113     Léky a léčiva"/>
    <x v="2"/>
    <x v="0"/>
    <n v="1108.2968999999991"/>
    <n v="1512.3193279403599"/>
  </r>
  <r>
    <s v="31"/>
    <s v="31"/>
    <s v="Traumatologické oddělení"/>
    <x v="29"/>
    <s v="3111"/>
    <s v="lůžkové oddělení 27"/>
    <s v="3111 - lůžkové oddělení 27"/>
    <s v="50113     Léky a léčiva"/>
    <x v="2"/>
    <x v="1"/>
    <n v="1028.26027"/>
    <n v="1161.02676844903"/>
  </r>
  <r>
    <s v="31"/>
    <s v="31"/>
    <s v="Traumatologické oddělení"/>
    <x v="29"/>
    <s v="3111"/>
    <s v="lůžkové oddělení 27"/>
    <s v="3111 - lůžkové oddělení 27"/>
    <s v="50113     Léky a léčiva"/>
    <x v="2"/>
    <x v="2"/>
    <n v="759.01030999999989"/>
    <n v="1086.9408813999801"/>
  </r>
  <r>
    <s v="31"/>
    <s v="31"/>
    <s v="Traumatologické oddělení"/>
    <x v="29"/>
    <s v="3111"/>
    <s v="lůžkové oddělení 27"/>
    <s v="3111 - lůžkové oddělení 27"/>
    <s v="50113001     léky - paušál+TISS (LEK)"/>
    <x v="3"/>
    <x v="0"/>
    <n v="697.90049999999894"/>
    <n v="954.38567534993899"/>
  </r>
  <r>
    <s v="31"/>
    <s v="31"/>
    <s v="Traumatologické oddělení"/>
    <x v="29"/>
    <s v="3111"/>
    <s v="lůžkové oddělení 27"/>
    <s v="3111 - lůžkové oddělení 27"/>
    <s v="50113001     léky - paušál+TISS (LEK)"/>
    <x v="3"/>
    <x v="1"/>
    <n v="536.86464999999998"/>
    <n v="669.96040744773495"/>
  </r>
  <r>
    <s v="31"/>
    <s v="31"/>
    <s v="Traumatologické oddělení"/>
    <x v="29"/>
    <s v="3111"/>
    <s v="lůžkové oddělení 27"/>
    <s v="3111 - lůžkové oddělení 27"/>
    <s v="50113001     léky - paušál+TISS (LEK)"/>
    <x v="3"/>
    <x v="2"/>
    <n v="419.18987999999996"/>
    <n v="619.25507545110395"/>
  </r>
  <r>
    <s v="31"/>
    <s v="31"/>
    <s v="Traumatologické oddělení"/>
    <x v="29"/>
    <s v="3111"/>
    <s v="lůžkové oddělení 27"/>
    <s v="3111 - lůžkové oddělení 27"/>
    <s v="50113002     léky - parenterální výživa (LEK)"/>
    <x v="17"/>
    <x v="2"/>
    <n v="29.446960000000001"/>
    <n v="10"/>
  </r>
  <r>
    <s v="31"/>
    <s v="31"/>
    <s v="Traumatologické oddělení"/>
    <x v="29"/>
    <s v="3111"/>
    <s v="lůžkové oddělení 27"/>
    <s v="3111 - lůžkové oddělení 27"/>
    <s v="50113006     léky - enterální výživa (LEK)"/>
    <x v="4"/>
    <x v="0"/>
    <n v="2.6188699999999998"/>
    <n v="17.593581865924001"/>
  </r>
  <r>
    <s v="31"/>
    <s v="31"/>
    <s v="Traumatologické oddělení"/>
    <x v="29"/>
    <s v="3111"/>
    <s v="lůžkové oddělení 27"/>
    <s v="3111 - lůžkové oddělení 27"/>
    <s v="50113006     léky - enterální výživa (LEK)"/>
    <x v="4"/>
    <x v="1"/>
    <n v="14.81615"/>
    <n v="3.4638658665630002"/>
  </r>
  <r>
    <s v="31"/>
    <s v="31"/>
    <s v="Traumatologické oddělení"/>
    <x v="29"/>
    <s v="3111"/>
    <s v="lůžkové oddělení 27"/>
    <s v="3111 - lůžkové oddělení 27"/>
    <s v="50113006     léky - enterální výživa (LEK)"/>
    <x v="4"/>
    <x v="2"/>
    <n v="0.90559999999999619"/>
    <n v="5"/>
  </r>
  <r>
    <s v="31"/>
    <s v="31"/>
    <s v="Traumatologické oddělení"/>
    <x v="29"/>
    <s v="3111"/>
    <s v="lůžkové oddělení 27"/>
    <s v="3111 - lůžkové oddělení 27"/>
    <s v="50113008     léky - krev.deriváty ZUL (TO)"/>
    <x v="5"/>
    <x v="0"/>
    <n v="2.81508"/>
    <n v="4.1781822147760002"/>
  </r>
  <r>
    <s v="31"/>
    <s v="31"/>
    <s v="Traumatologické oddělení"/>
    <x v="29"/>
    <s v="3111"/>
    <s v="lůžkové oddělení 27"/>
    <s v="3111 - lůžkové oddělení 27"/>
    <s v="50113008     léky - krev.deriváty ZUL (TO)"/>
    <x v="5"/>
    <x v="1"/>
    <n v="40.903199999999998"/>
    <n v="3.000026342005"/>
  </r>
  <r>
    <s v="31"/>
    <s v="31"/>
    <s v="Traumatologické oddělení"/>
    <x v="29"/>
    <s v="3111"/>
    <s v="lůžkové oddělení 27"/>
    <s v="3111 - lůžkové oddělení 27"/>
    <s v="50113008     léky - krev.deriváty ZUL (TO)"/>
    <x v="5"/>
    <x v="2"/>
    <n v="2.6322999999999999"/>
    <n v="46.974485630385999"/>
  </r>
  <r>
    <s v="31"/>
    <s v="31"/>
    <s v="Traumatologické oddělení"/>
    <x v="29"/>
    <s v="3111"/>
    <s v="lůžkové oddělení 27"/>
    <s v="3111 - lůžkové oddělení 27"/>
    <s v="50113013     léky (paušál) - antibiotika (LEK)"/>
    <x v="7"/>
    <x v="0"/>
    <n v="401.96438000000001"/>
    <n v="526.05556957601902"/>
  </r>
  <r>
    <s v="31"/>
    <s v="31"/>
    <s v="Traumatologické oddělení"/>
    <x v="29"/>
    <s v="3111"/>
    <s v="lůžkové oddělení 27"/>
    <s v="3111 - lůžkové oddělení 27"/>
    <s v="50113013     léky (paušál) - antibiotika (LEK)"/>
    <x v="7"/>
    <x v="1"/>
    <n v="434.35947000000004"/>
    <n v="481.61625444002902"/>
  </r>
  <r>
    <s v="31"/>
    <s v="31"/>
    <s v="Traumatologické oddělení"/>
    <x v="29"/>
    <s v="3111"/>
    <s v="lůžkové oddělení 27"/>
    <s v="3111 - lůžkové oddělení 27"/>
    <s v="50113013     léky (paušál) - antibiotika (LEK)"/>
    <x v="7"/>
    <x v="2"/>
    <n v="304.84197"/>
    <n v="401.64584839648103"/>
  </r>
  <r>
    <s v="31"/>
    <s v="31"/>
    <s v="Traumatologické oddělení"/>
    <x v="29"/>
    <s v="3111"/>
    <s v="lůžkové oddělení 27"/>
    <s v="3111 - lůžkové oddělení 27"/>
    <s v="50113014     léky (paušál) - antimykotika (LEK)"/>
    <x v="8"/>
    <x v="0"/>
    <n v="2.6277699999989999"/>
    <n v="8.9594798404549998"/>
  </r>
  <r>
    <s v="31"/>
    <s v="31"/>
    <s v="Traumatologické oddělení"/>
    <x v="29"/>
    <s v="3111"/>
    <s v="lůžkové oddělení 27"/>
    <s v="3111 - lůžkové oddělení 27"/>
    <s v="50113014     léky (paušál) - antimykotika (LEK)"/>
    <x v="8"/>
    <x v="1"/>
    <n v="1.3168"/>
    <n v="2.6319404977819998"/>
  </r>
  <r>
    <s v="31"/>
    <s v="31"/>
    <s v="Traumatologické oddělení"/>
    <x v="29"/>
    <s v="3111"/>
    <s v="lůžkové oddělení 27"/>
    <s v="3111 - lůžkové oddělení 27"/>
    <s v="50113014     léky (paušál) - antimykotika (LEK)"/>
    <x v="8"/>
    <x v="2"/>
    <n v="1.9936"/>
    <n v="4.0654719220080002"/>
  </r>
  <r>
    <s v="31"/>
    <s v="31"/>
    <s v="Traumatologické oddělení"/>
    <x v="29"/>
    <s v="3111"/>
    <s v="lůžkové oddělení 27"/>
    <s v="3111 - lůžkové oddělení 27"/>
    <s v="50113190     medicinální plyny"/>
    <x v="9"/>
    <x v="0"/>
    <n v="0.37030000000000002"/>
    <n v="1.1468390932450001"/>
  </r>
  <r>
    <s v="31"/>
    <s v="31"/>
    <s v="Traumatologické oddělení"/>
    <x v="29"/>
    <s v="3111"/>
    <s v="lůžkové oddělení 27"/>
    <s v="3111 - lůžkové oddělení 27"/>
    <s v="50113190     medicinální plyny"/>
    <x v="9"/>
    <x v="1"/>
    <n v="0"/>
    <n v="0.35427385491300001"/>
  </r>
  <r>
    <s v="31"/>
    <s v="31"/>
    <s v="Traumatologické oddělení"/>
    <x v="29"/>
    <s v="3111"/>
    <s v="lůžkové oddělení 27"/>
    <s v="3111 - lůžkové oddělení 27"/>
    <s v="50115     Zdravotnické prostředky"/>
    <x v="0"/>
    <x v="0"/>
    <n v="780.84648999999899"/>
    <n v="740.48656812635204"/>
  </r>
  <r>
    <s v="31"/>
    <s v="31"/>
    <s v="Traumatologické oddělení"/>
    <x v="29"/>
    <s v="3111"/>
    <s v="lůžkové oddělení 27"/>
    <s v="3111 - lůžkové oddělení 27"/>
    <s v="50115     Zdravotnické prostředky"/>
    <x v="0"/>
    <x v="1"/>
    <n v="734.76093000000003"/>
    <n v="781.79682234836605"/>
  </r>
  <r>
    <s v="31"/>
    <s v="31"/>
    <s v="Traumatologické oddělení"/>
    <x v="29"/>
    <s v="3111"/>
    <s v="lůžkové oddělení 27"/>
    <s v="3111 - lůžkové oddělení 27"/>
    <s v="50115     Zdravotnické prostředky"/>
    <x v="0"/>
    <x v="2"/>
    <n v="546.50324999999998"/>
    <n v="807.27568844275504"/>
  </r>
  <r>
    <s v="31"/>
    <s v="31"/>
    <s v="Traumatologické oddělení"/>
    <x v="29"/>
    <s v="3111"/>
    <s v="lůžkové oddělení 27"/>
    <s v="3111 - lůžkové oddělení 27"/>
    <s v="50115020     diagnostika laboratorní-LEK (sk.Z_501)"/>
    <x v="10"/>
    <x v="0"/>
    <n v="2.8408599999990001"/>
    <n v="7.3482112777469997"/>
  </r>
  <r>
    <s v="31"/>
    <s v="31"/>
    <s v="Traumatologické oddělení"/>
    <x v="29"/>
    <s v="3111"/>
    <s v="lůžkové oddělení 27"/>
    <s v="3111 - lůžkové oddělení 27"/>
    <s v="50115020     diagnostika laboratorní-LEK (sk.Z_501)"/>
    <x v="10"/>
    <x v="1"/>
    <n v="1.2940100000000001"/>
    <n v="2.8408569910970001"/>
  </r>
  <r>
    <s v="31"/>
    <s v="31"/>
    <s v="Traumatologické oddělení"/>
    <x v="29"/>
    <s v="3111"/>
    <s v="lůžkové oddělení 27"/>
    <s v="3111 - lůžkové oddělení 27"/>
    <s v="50115020     diagnostika laboratorní-LEK (sk.Z_501)"/>
    <x v="10"/>
    <x v="2"/>
    <n v="2.2607499999999998"/>
    <n v="2.9999999055069999"/>
  </r>
  <r>
    <s v="31"/>
    <s v="31"/>
    <s v="Traumatologické oddělení"/>
    <x v="29"/>
    <s v="3111"/>
    <s v="lůžkové oddělení 27"/>
    <s v="3111 - lůžkové oddělení 27"/>
    <s v="50115040     laboratorní materiál (sk.Z_505)"/>
    <x v="11"/>
    <x v="0"/>
    <n v="0.47249999999999998"/>
    <n v="0.94990943338099998"/>
  </r>
  <r>
    <s v="31"/>
    <s v="31"/>
    <s v="Traumatologické oddělení"/>
    <x v="29"/>
    <s v="3111"/>
    <s v="lůžkové oddělení 27"/>
    <s v="3111 - lůžkové oddělení 27"/>
    <s v="50115040     laboratorní materiál (sk.Z_505)"/>
    <x v="11"/>
    <x v="1"/>
    <n v="0"/>
    <n v="0.47252987061000001"/>
  </r>
  <r>
    <s v="31"/>
    <s v="31"/>
    <s v="Traumatologické oddělení"/>
    <x v="29"/>
    <s v="3111"/>
    <s v="lůžkové oddělení 27"/>
    <s v="3111 - lůžkové oddělení 27"/>
    <s v="50115050     obvazový materiál (sk.Z_502)"/>
    <x v="12"/>
    <x v="0"/>
    <n v="546.38754999999901"/>
    <n v="503.58026596402101"/>
  </r>
  <r>
    <s v="31"/>
    <s v="31"/>
    <s v="Traumatologické oddělení"/>
    <x v="29"/>
    <s v="3111"/>
    <s v="lůžkové oddělení 27"/>
    <s v="3111 - lůžkové oddělení 27"/>
    <s v="50115050     obvazový materiál (sk.Z_502)"/>
    <x v="12"/>
    <x v="1"/>
    <n v="505.10057999999992"/>
    <n v="547.63009032962805"/>
  </r>
  <r>
    <s v="31"/>
    <s v="31"/>
    <s v="Traumatologické oddělení"/>
    <x v="29"/>
    <s v="3111"/>
    <s v="lůžkové oddělení 27"/>
    <s v="3111 - lůžkové oddělení 27"/>
    <s v="50115050     obvazový materiál (sk.Z_502)"/>
    <x v="12"/>
    <x v="2"/>
    <n v="360.11017999999996"/>
    <n v="551.99998261333803"/>
  </r>
  <r>
    <s v="31"/>
    <s v="31"/>
    <s v="Traumatologické oddělení"/>
    <x v="29"/>
    <s v="3111"/>
    <s v="lůžkové oddělení 27"/>
    <s v="3111 - lůžkové oddělení 27"/>
    <s v="50115060     ostatní ZPr - mimo níže uvedené (sk.Z_503)"/>
    <x v="1"/>
    <x v="0"/>
    <n v="150.54553999999899"/>
    <n v="142.42312382558501"/>
  </r>
  <r>
    <s v="31"/>
    <s v="31"/>
    <s v="Traumatologické oddělení"/>
    <x v="29"/>
    <s v="3111"/>
    <s v="lůžkové oddělení 27"/>
    <s v="3111 - lůžkové oddělení 27"/>
    <s v="50115060     ostatní ZPr - mimo níže uvedené (sk.Z_503)"/>
    <x v="1"/>
    <x v="1"/>
    <n v="140.51010000000002"/>
    <n v="150.544405889232"/>
  </r>
  <r>
    <s v="31"/>
    <s v="31"/>
    <s v="Traumatologické oddělení"/>
    <x v="29"/>
    <s v="3111"/>
    <s v="lůžkové oddělení 27"/>
    <s v="3111 - lůžkové oddělení 27"/>
    <s v="50115060     ostatní ZPr - mimo níže uvedené (sk.Z_503)"/>
    <x v="1"/>
    <x v="2"/>
    <n v="112.43342000000001"/>
    <n v="159.433182352817"/>
  </r>
  <r>
    <s v="31"/>
    <s v="31"/>
    <s v="Traumatologické oddělení"/>
    <x v="29"/>
    <s v="3111"/>
    <s v="lůžkové oddělení 27"/>
    <s v="3111 - lůžkové oddělení 27"/>
    <s v="50115063     ostatní ZPr - vaky, sety (sk.Z_528)"/>
    <x v="13"/>
    <x v="0"/>
    <n v="41.339399999999003"/>
    <n v="42.053746847799999"/>
  </r>
  <r>
    <s v="31"/>
    <s v="31"/>
    <s v="Traumatologické oddělení"/>
    <x v="29"/>
    <s v="3111"/>
    <s v="lůžkové oddělení 27"/>
    <s v="3111 - lůžkové oddělení 27"/>
    <s v="50115063     ostatní ZPr - vaky, sety (sk.Z_528)"/>
    <x v="13"/>
    <x v="1"/>
    <n v="48.029800000000002"/>
    <n v="40.497083838054998"/>
  </r>
  <r>
    <s v="31"/>
    <s v="31"/>
    <s v="Traumatologické oddělení"/>
    <x v="29"/>
    <s v="3111"/>
    <s v="lůžkové oddělení 27"/>
    <s v="3111 - lůžkové oddělení 27"/>
    <s v="50115063     ostatní ZPr - vaky, sety (sk.Z_528)"/>
    <x v="13"/>
    <x v="2"/>
    <n v="35.992100000000001"/>
    <n v="51.560428828180001"/>
  </r>
  <r>
    <s v="31"/>
    <s v="31"/>
    <s v="Traumatologické oddělení"/>
    <x v="29"/>
    <s v="3111"/>
    <s v="lůžkové oddělení 27"/>
    <s v="3111 - lůžkové oddělení 27"/>
    <s v="50115065     ostatní ZPr - vpichovací materiál (sk.Z_530)"/>
    <x v="14"/>
    <x v="0"/>
    <n v="4.8269999999999991"/>
    <n v="4.4838003072779999"/>
  </r>
  <r>
    <s v="31"/>
    <s v="31"/>
    <s v="Traumatologické oddělení"/>
    <x v="29"/>
    <s v="3111"/>
    <s v="lůžkové oddělení 27"/>
    <s v="3111 - lůžkové oddělení 27"/>
    <s v="50115065     ostatní ZPr - vpichovací materiál (sk.Z_530)"/>
    <x v="14"/>
    <x v="1"/>
    <n v="7.0964399999999994"/>
    <n v="4.9516126995579999"/>
  </r>
  <r>
    <s v="31"/>
    <s v="31"/>
    <s v="Traumatologické oddělení"/>
    <x v="29"/>
    <s v="3111"/>
    <s v="lůžkové oddělení 27"/>
    <s v="3111 - lůžkové oddělení 27"/>
    <s v="50115065     ostatní ZPr - vpichovací materiál (sk.Z_530)"/>
    <x v="14"/>
    <x v="2"/>
    <n v="5.399"/>
    <n v="7.6933597576770003"/>
  </r>
  <r>
    <s v="31"/>
    <s v="31"/>
    <s v="Traumatologické oddělení"/>
    <x v="29"/>
    <s v="3111"/>
    <s v="lůžkové oddělení 27"/>
    <s v="3111 - lůžkové oddělení 27"/>
    <s v="50115067     ostatní ZPr - rukavice (sk.Z_532)"/>
    <x v="15"/>
    <x v="0"/>
    <n v="30.149000000000001"/>
    <n v="34.204614439944002"/>
  </r>
  <r>
    <s v="31"/>
    <s v="31"/>
    <s v="Traumatologické oddělení"/>
    <x v="29"/>
    <s v="3111"/>
    <s v="lůžkové oddělení 27"/>
    <s v="3111 - lůžkové oddělení 27"/>
    <s v="50115067     ostatní ZPr - rukavice (sk.Z_532)"/>
    <x v="15"/>
    <x v="1"/>
    <n v="32.729999999999997"/>
    <n v="30.575622863429"/>
  </r>
  <r>
    <s v="31"/>
    <s v="31"/>
    <s v="Traumatologické oddělení"/>
    <x v="29"/>
    <s v="3111"/>
    <s v="lůžkové oddělení 27"/>
    <s v="3111 - lůžkové oddělení 27"/>
    <s v="50115067     ostatní ZPr - rukavice (sk.Z_532)"/>
    <x v="15"/>
    <x v="2"/>
    <n v="24.656999999999996"/>
    <n v="33.588734985233003"/>
  </r>
  <r>
    <s v="31"/>
    <s v="31"/>
    <s v="Traumatologické oddělení"/>
    <x v="29"/>
    <s v="3111"/>
    <s v="lůžkové oddělení 27"/>
    <s v="3111 - lůžkové oddělení 27"/>
    <s v="50115070     ostatní ZPr - katetry (sk.Z_513)"/>
    <x v="16"/>
    <x v="0"/>
    <n v="4.2846400000000004"/>
    <n v="5.4428960305940004"/>
  </r>
  <r>
    <s v="31"/>
    <s v="31"/>
    <s v="Traumatologické oddělení"/>
    <x v="29"/>
    <s v="3111"/>
    <s v="lůžkové oddělení 27"/>
    <s v="3111 - lůžkové oddělení 27"/>
    <s v="50115070     ostatní ZPr - katetry (sk.Z_513)"/>
    <x v="16"/>
    <x v="1"/>
    <n v="0"/>
    <n v="4.2846198667540003"/>
  </r>
  <r>
    <s v="31"/>
    <s v="31"/>
    <s v="Traumatologické oddělení"/>
    <x v="29"/>
    <s v="3111"/>
    <s v="lůžkové oddělení 27"/>
    <s v="3111 - lůžkové oddělení 27"/>
    <s v="50115070     ostatní ZPr - katetry (sk.Z_513)"/>
    <x v="16"/>
    <x v="2"/>
    <n v="2.6778"/>
    <n v="0"/>
  </r>
  <r>
    <s v="31"/>
    <s v="31"/>
    <s v="Traumatologické oddělení"/>
    <x v="29"/>
    <s v="3111"/>
    <s v="lůžkové oddělení 27"/>
    <s v="3111 - lůžkové oddělení 27"/>
    <s v="50115079     ostatní ZPr - intenzivní péče (sk.Z_542)"/>
    <x v="18"/>
    <x v="2"/>
    <n v="2.9730000000000003"/>
    <n v="0"/>
  </r>
  <r>
    <s v="31"/>
    <s v="31"/>
    <s v="Traumatologické oddělení"/>
    <x v="29"/>
    <s v="3121"/>
    <s v="ambulance"/>
    <s v="3121 - ambulance"/>
    <s v="50113     Léky a léčiva"/>
    <x v="2"/>
    <x v="0"/>
    <n v="40.302229999999994"/>
    <n v="44.245932382097998"/>
  </r>
  <r>
    <s v="31"/>
    <s v="31"/>
    <s v="Traumatologické oddělení"/>
    <x v="29"/>
    <s v="3121"/>
    <s v="ambulance"/>
    <s v="3121 - ambulance"/>
    <s v="50113     Léky a léčiva"/>
    <x v="2"/>
    <x v="1"/>
    <n v="38.523029999999999"/>
    <n v="43.247596194932001"/>
  </r>
  <r>
    <s v="31"/>
    <s v="31"/>
    <s v="Traumatologické oddělení"/>
    <x v="29"/>
    <s v="3121"/>
    <s v="ambulance"/>
    <s v="3121 - ambulance"/>
    <s v="50113     Léky a léčiva"/>
    <x v="2"/>
    <x v="2"/>
    <n v="27.555720000000001"/>
    <n v="50.999998393623002"/>
  </r>
  <r>
    <s v="31"/>
    <s v="31"/>
    <s v="Traumatologické oddělení"/>
    <x v="29"/>
    <s v="3121"/>
    <s v="ambulance"/>
    <s v="3121 - ambulance"/>
    <s v="50113001     léky - paušál+TISS (LEK)"/>
    <x v="3"/>
    <x v="0"/>
    <n v="39.226369999999996"/>
    <n v="43.224330858058998"/>
  </r>
  <r>
    <s v="31"/>
    <s v="31"/>
    <s v="Traumatologické oddělení"/>
    <x v="29"/>
    <s v="3121"/>
    <s v="ambulance"/>
    <s v="3121 - ambulance"/>
    <s v="50113001     léky - paušál+TISS (LEK)"/>
    <x v="3"/>
    <x v="1"/>
    <n v="38.523029999999999"/>
    <n v="42.199712241733003"/>
  </r>
  <r>
    <s v="31"/>
    <s v="31"/>
    <s v="Traumatologické oddělení"/>
    <x v="29"/>
    <s v="3121"/>
    <s v="ambulance"/>
    <s v="3121 - ambulance"/>
    <s v="50113001     léky - paušál+TISS (LEK)"/>
    <x v="3"/>
    <x v="2"/>
    <n v="27.555720000000001"/>
    <n v="50.999998393623002"/>
  </r>
  <r>
    <s v="31"/>
    <s v="31"/>
    <s v="Traumatologické oddělení"/>
    <x v="29"/>
    <s v="3121"/>
    <s v="ambulance"/>
    <s v="3121 - ambulance"/>
    <s v="50113013     léky (paušál) - antibiotika (LEK)"/>
    <x v="7"/>
    <x v="0"/>
    <n v="0.33526"/>
    <n v="1.0216015240380001"/>
  </r>
  <r>
    <s v="31"/>
    <s v="31"/>
    <s v="Traumatologické oddělení"/>
    <x v="29"/>
    <s v="3121"/>
    <s v="ambulance"/>
    <s v="3121 - ambulance"/>
    <s v="50113013     léky (paušál) - antibiotika (LEK)"/>
    <x v="7"/>
    <x v="1"/>
    <n v="0"/>
    <n v="0.33933624337200002"/>
  </r>
  <r>
    <s v="31"/>
    <s v="31"/>
    <s v="Traumatologické oddělení"/>
    <x v="29"/>
    <s v="3121"/>
    <s v="ambulance"/>
    <s v="3121 - ambulance"/>
    <s v="50113190     medicinální plyny"/>
    <x v="9"/>
    <x v="0"/>
    <n v="0.74060000000000004"/>
    <n v="0"/>
  </r>
  <r>
    <s v="31"/>
    <s v="31"/>
    <s v="Traumatologické oddělení"/>
    <x v="29"/>
    <s v="3121"/>
    <s v="ambulance"/>
    <s v="3121 - ambulance"/>
    <s v="50113190     medicinální plyny"/>
    <x v="9"/>
    <x v="1"/>
    <n v="0"/>
    <n v="0.70854770982600002"/>
  </r>
  <r>
    <s v="31"/>
    <s v="31"/>
    <s v="Traumatologické oddělení"/>
    <x v="29"/>
    <s v="3121"/>
    <s v="ambulance"/>
    <s v="3121 - ambulance"/>
    <s v="50115     Zdravotnické prostředky"/>
    <x v="0"/>
    <x v="0"/>
    <n v="323.71789999999999"/>
    <n v="360.24124517100898"/>
  </r>
  <r>
    <s v="31"/>
    <s v="31"/>
    <s v="Traumatologické oddělení"/>
    <x v="29"/>
    <s v="3121"/>
    <s v="ambulance"/>
    <s v="3121 - ambulance"/>
    <s v="50115     Zdravotnické prostředky"/>
    <x v="0"/>
    <x v="1"/>
    <n v="286.78206999999998"/>
    <n v="293.82373860769098"/>
  </r>
  <r>
    <s v="31"/>
    <s v="31"/>
    <s v="Traumatologické oddělení"/>
    <x v="29"/>
    <s v="3121"/>
    <s v="ambulance"/>
    <s v="3121 - ambulance"/>
    <s v="50115     Zdravotnické prostředky"/>
    <x v="0"/>
    <x v="2"/>
    <n v="239.32948000000002"/>
    <n v="311.00029208074602"/>
  </r>
  <r>
    <s v="31"/>
    <s v="31"/>
    <s v="Traumatologické oddělení"/>
    <x v="29"/>
    <s v="3121"/>
    <s v="ambulance"/>
    <s v="3121 - ambulance"/>
    <s v="50115004     implant.umělé těl.náhr.-kovové (s.Z_506)"/>
    <x v="25"/>
    <x v="0"/>
    <n v="0.80891000000000002"/>
    <n v="1.67022218104"/>
  </r>
  <r>
    <s v="31"/>
    <s v="31"/>
    <s v="Traumatologické oddělení"/>
    <x v="29"/>
    <s v="3121"/>
    <s v="ambulance"/>
    <s v="3121 - ambulance"/>
    <s v="50115004     implant.umělé těl.náhr.-kovové (s.Z_506)"/>
    <x v="25"/>
    <x v="1"/>
    <n v="0"/>
    <n v="0.99999946155999997"/>
  </r>
  <r>
    <s v="31"/>
    <s v="31"/>
    <s v="Traumatologické oddělení"/>
    <x v="29"/>
    <s v="3121"/>
    <s v="ambulance"/>
    <s v="3121 - ambulance"/>
    <s v="50115050     obvazový materiál (sk.Z_502)"/>
    <x v="12"/>
    <x v="0"/>
    <n v="223.04787000000002"/>
    <n v="219.339010102983"/>
  </r>
  <r>
    <s v="31"/>
    <s v="31"/>
    <s v="Traumatologické oddělení"/>
    <x v="29"/>
    <s v="3121"/>
    <s v="ambulance"/>
    <s v="3121 - ambulance"/>
    <s v="50115050     obvazový materiál (sk.Z_502)"/>
    <x v="12"/>
    <x v="1"/>
    <n v="221.20455000000001"/>
    <n v="223.555092335175"/>
  </r>
  <r>
    <s v="31"/>
    <s v="31"/>
    <s v="Traumatologické oddělení"/>
    <x v="29"/>
    <s v="3121"/>
    <s v="ambulance"/>
    <s v="3121 - ambulance"/>
    <s v="50115050     obvazový materiál (sk.Z_502)"/>
    <x v="12"/>
    <x v="2"/>
    <n v="165.27601999999999"/>
    <n v="240.999992409084"/>
  </r>
  <r>
    <s v="31"/>
    <s v="31"/>
    <s v="Traumatologické oddělení"/>
    <x v="29"/>
    <s v="3121"/>
    <s v="ambulance"/>
    <s v="3121 - ambulance"/>
    <s v="50115051     nadstandard ZUM (hrazeno pac.) (sk.Z_520)"/>
    <x v="53"/>
    <x v="0"/>
    <n v="30.596879999998997"/>
    <n v="59.745637032982003"/>
  </r>
  <r>
    <s v="31"/>
    <s v="31"/>
    <s v="Traumatologické oddělení"/>
    <x v="29"/>
    <s v="3121"/>
    <s v="ambulance"/>
    <s v="3121 - ambulance"/>
    <s v="50115060     ostatní ZPr - mimo níže uvedené (sk.Z_503)"/>
    <x v="1"/>
    <x v="0"/>
    <n v="35.108809999999998"/>
    <n v="46.549961699470003"/>
  </r>
  <r>
    <s v="31"/>
    <s v="31"/>
    <s v="Traumatologické oddělení"/>
    <x v="29"/>
    <s v="3121"/>
    <s v="ambulance"/>
    <s v="3121 - ambulance"/>
    <s v="50115060     ostatní ZPr - mimo níže uvedené (sk.Z_503)"/>
    <x v="1"/>
    <x v="1"/>
    <n v="30.68375"/>
    <n v="34.108564631325997"/>
  </r>
  <r>
    <s v="31"/>
    <s v="31"/>
    <s v="Traumatologické oddělení"/>
    <x v="29"/>
    <s v="3121"/>
    <s v="ambulance"/>
    <s v="3121 - ambulance"/>
    <s v="50115060     ostatní ZPr - mimo níže uvedené (sk.Z_503)"/>
    <x v="1"/>
    <x v="2"/>
    <n v="37.264180000000003"/>
    <n v="35.196399973638997"/>
  </r>
  <r>
    <s v="31"/>
    <s v="31"/>
    <s v="Traumatologické oddělení"/>
    <x v="29"/>
    <s v="3121"/>
    <s v="ambulance"/>
    <s v="3121 - ambulance"/>
    <s v="50115064     ostatní ZPr - šicí materiál (sk.Z_529)"/>
    <x v="21"/>
    <x v="0"/>
    <n v="14.31593"/>
    <n v="13.379518937569999"/>
  </r>
  <r>
    <s v="31"/>
    <s v="31"/>
    <s v="Traumatologické oddělení"/>
    <x v="29"/>
    <s v="3121"/>
    <s v="ambulance"/>
    <s v="3121 - ambulance"/>
    <s v="50115064     ostatní ZPr - šicí materiál (sk.Z_529)"/>
    <x v="21"/>
    <x v="1"/>
    <n v="14.34267"/>
    <n v="14.035620871280001"/>
  </r>
  <r>
    <s v="31"/>
    <s v="31"/>
    <s v="Traumatologické oddělení"/>
    <x v="29"/>
    <s v="3121"/>
    <s v="ambulance"/>
    <s v="3121 - ambulance"/>
    <s v="50115064     ostatní ZPr - šicí materiál (sk.Z_529)"/>
    <x v="21"/>
    <x v="2"/>
    <n v="15.09478"/>
    <n v="15.064249525512"/>
  </r>
  <r>
    <s v="31"/>
    <s v="31"/>
    <s v="Traumatologické oddělení"/>
    <x v="29"/>
    <s v="3121"/>
    <s v="ambulance"/>
    <s v="3121 - ambulance"/>
    <s v="50115065     ostatní ZPr - vpichovací materiál (sk.Z_530)"/>
    <x v="14"/>
    <x v="0"/>
    <n v="0.36199999999999999"/>
    <n v="1.900311721272"/>
  </r>
  <r>
    <s v="31"/>
    <s v="31"/>
    <s v="Traumatologické oddělení"/>
    <x v="29"/>
    <s v="3121"/>
    <s v="ambulance"/>
    <s v="3121 - ambulance"/>
    <s v="50115065     ostatní ZPr - vpichovací materiál (sk.Z_530)"/>
    <x v="14"/>
    <x v="1"/>
    <n v="0.6329999999999999"/>
    <n v="1.3713453070720001"/>
  </r>
  <r>
    <s v="31"/>
    <s v="31"/>
    <s v="Traumatologické oddělení"/>
    <x v="29"/>
    <s v="3121"/>
    <s v="ambulance"/>
    <s v="3121 - ambulance"/>
    <s v="50115065     ostatní ZPr - vpichovací materiál (sk.Z_530)"/>
    <x v="14"/>
    <x v="2"/>
    <n v="0.74299999999999988"/>
    <n v="0.81899997420299997"/>
  </r>
  <r>
    <s v="31"/>
    <s v="31"/>
    <s v="Traumatologické oddělení"/>
    <x v="29"/>
    <s v="3121"/>
    <s v="ambulance"/>
    <s v="3121 - ambulance"/>
    <s v="50115067     ostatní ZPr - rukavice (sk.Z_532)"/>
    <x v="15"/>
    <x v="0"/>
    <n v="19.477499999999999"/>
    <n v="17.656583495688999"/>
  </r>
  <r>
    <s v="31"/>
    <s v="31"/>
    <s v="Traumatologické oddělení"/>
    <x v="29"/>
    <s v="3121"/>
    <s v="ambulance"/>
    <s v="3121 - ambulance"/>
    <s v="50115067     ostatní ZPr - rukavice (sk.Z_532)"/>
    <x v="15"/>
    <x v="1"/>
    <n v="19.918099999999999"/>
    <n v="19.753116001275"/>
  </r>
  <r>
    <s v="31"/>
    <s v="31"/>
    <s v="Traumatologické oddělení"/>
    <x v="29"/>
    <s v="3121"/>
    <s v="ambulance"/>
    <s v="3121 - ambulance"/>
    <s v="50115067     ostatní ZPr - rukavice (sk.Z_532)"/>
    <x v="15"/>
    <x v="2"/>
    <n v="20.951500000000003"/>
    <n v="18.920650198305999"/>
  </r>
  <r>
    <s v="31"/>
    <s v="31"/>
    <s v="Traumatologické oddělení"/>
    <x v="29"/>
    <s v="3131"/>
    <s v="JIP 27"/>
    <s v="3131 - JIP 27"/>
    <s v="50113     Léky a léčiva"/>
    <x v="2"/>
    <x v="0"/>
    <n v="1021.7900499999998"/>
    <n v="1453.97278181559"/>
  </r>
  <r>
    <s v="31"/>
    <s v="31"/>
    <s v="Traumatologické oddělení"/>
    <x v="29"/>
    <s v="3131"/>
    <s v="JIP 27"/>
    <s v="3131 - JIP 27"/>
    <s v="50113     Léky a léčiva"/>
    <x v="2"/>
    <x v="1"/>
    <n v="893.19786999999997"/>
    <n v="1052.1438310974399"/>
  </r>
  <r>
    <s v="31"/>
    <s v="31"/>
    <s v="Traumatologické oddělení"/>
    <x v="29"/>
    <s v="3131"/>
    <s v="JIP 27"/>
    <s v="3131 - JIP 27"/>
    <s v="50113     Léky a léčiva"/>
    <x v="2"/>
    <x v="2"/>
    <n v="678.39086999999995"/>
    <n v="1022.59419222894"/>
  </r>
  <r>
    <s v="31"/>
    <s v="31"/>
    <s v="Traumatologické oddělení"/>
    <x v="29"/>
    <s v="3131"/>
    <s v="JIP 27"/>
    <s v="3131 - JIP 27"/>
    <s v="50113001     léky - paušál+TISS (LEK)"/>
    <x v="3"/>
    <x v="0"/>
    <n v="652.28700999999899"/>
    <n v="902.89663447166902"/>
  </r>
  <r>
    <s v="31"/>
    <s v="31"/>
    <s v="Traumatologické oddělení"/>
    <x v="29"/>
    <s v="3131"/>
    <s v="JIP 27"/>
    <s v="3131 - JIP 27"/>
    <s v="50113001     léky - paušál+TISS (LEK)"/>
    <x v="3"/>
    <x v="1"/>
    <n v="572.67482000000007"/>
    <n v="631.84367812148105"/>
  </r>
  <r>
    <s v="31"/>
    <s v="31"/>
    <s v="Traumatologické oddělení"/>
    <x v="29"/>
    <s v="3131"/>
    <s v="JIP 27"/>
    <s v="3131 - JIP 27"/>
    <s v="50113001     léky - paušál+TISS (LEK)"/>
    <x v="3"/>
    <x v="2"/>
    <n v="434.17727000000002"/>
    <n v="647.71888273994205"/>
  </r>
  <r>
    <s v="31"/>
    <s v="31"/>
    <s v="Traumatologické oddělení"/>
    <x v="29"/>
    <s v="3131"/>
    <s v="JIP 27"/>
    <s v="3131 - JIP 27"/>
    <s v="50113002     léky - parenterální výživa (LEK)"/>
    <x v="17"/>
    <x v="2"/>
    <n v="22.991070000000001"/>
    <n v="31"/>
  </r>
  <r>
    <s v="31"/>
    <s v="31"/>
    <s v="Traumatologické oddělení"/>
    <x v="29"/>
    <s v="3131"/>
    <s v="JIP 27"/>
    <s v="3131 - JIP 27"/>
    <s v="50113006     léky - enterální výživa (LEK)"/>
    <x v="4"/>
    <x v="0"/>
    <n v="43.486649999999997"/>
    <n v="57.408481255620003"/>
  </r>
  <r>
    <s v="31"/>
    <s v="31"/>
    <s v="Traumatologické oddělení"/>
    <x v="29"/>
    <s v="3131"/>
    <s v="JIP 27"/>
    <s v="3131 - JIP 27"/>
    <s v="50113006     léky - enterální výživa (LEK)"/>
    <x v="4"/>
    <x v="1"/>
    <n v="36.891149999999989"/>
    <n v="57.517907565553003"/>
  </r>
  <r>
    <s v="31"/>
    <s v="31"/>
    <s v="Traumatologické oddělení"/>
    <x v="29"/>
    <s v="3131"/>
    <s v="JIP 27"/>
    <s v="3131 - JIP 27"/>
    <s v="50113006     léky - enterální výživa (LEK)"/>
    <x v="4"/>
    <x v="2"/>
    <n v="0.62119000000000035"/>
    <n v="8"/>
  </r>
  <r>
    <s v="31"/>
    <s v="31"/>
    <s v="Traumatologické oddělení"/>
    <x v="29"/>
    <s v="3131"/>
    <s v="JIP 27"/>
    <s v="3131 - JIP 27"/>
    <s v="50113008     léky - krev.deriváty ZUL (TO)"/>
    <x v="5"/>
    <x v="0"/>
    <n v="31.939579999999999"/>
    <n v="28.820804261677001"/>
  </r>
  <r>
    <s v="31"/>
    <s v="31"/>
    <s v="Traumatologické oddělení"/>
    <x v="29"/>
    <s v="3131"/>
    <s v="JIP 27"/>
    <s v="3131 - JIP 27"/>
    <s v="50113008     léky - krev.deriváty ZUL (TO)"/>
    <x v="5"/>
    <x v="1"/>
    <n v="53.045159999999996"/>
    <n v="32.000280981388002"/>
  </r>
  <r>
    <s v="31"/>
    <s v="31"/>
    <s v="Traumatologické oddělení"/>
    <x v="29"/>
    <s v="3131"/>
    <s v="JIP 27"/>
    <s v="3131 - JIP 27"/>
    <s v="50113008     léky - krev.deriváty ZUL (TO)"/>
    <x v="5"/>
    <x v="2"/>
    <n v="74.4876"/>
    <n v="72.590174554735995"/>
  </r>
  <r>
    <s v="31"/>
    <s v="31"/>
    <s v="Traumatologické oddělení"/>
    <x v="29"/>
    <s v="3131"/>
    <s v="JIP 27"/>
    <s v="3131 - JIP 27"/>
    <s v="50113011     léky - hemofilici ZUL (TO)"/>
    <x v="6"/>
    <x v="0"/>
    <n v="0"/>
    <n v="149.99843960993999"/>
  </r>
  <r>
    <s v="31"/>
    <s v="31"/>
    <s v="Traumatologické oddělení"/>
    <x v="29"/>
    <s v="3131"/>
    <s v="JIP 27"/>
    <s v="3131 - JIP 27"/>
    <s v="50113013     léky (paušál) - antibiotika (LEK)"/>
    <x v="7"/>
    <x v="0"/>
    <n v="257.58952999999997"/>
    <n v="280.935605681764"/>
  </r>
  <r>
    <s v="31"/>
    <s v="31"/>
    <s v="Traumatologické oddělení"/>
    <x v="29"/>
    <s v="3131"/>
    <s v="JIP 27"/>
    <s v="3131 - JIP 27"/>
    <s v="50113013     léky (paušál) - antibiotika (LEK)"/>
    <x v="7"/>
    <x v="1"/>
    <n v="209.01914000000002"/>
    <n v="294.81826047669199"/>
  </r>
  <r>
    <s v="31"/>
    <s v="31"/>
    <s v="Traumatologické oddělení"/>
    <x v="29"/>
    <s v="3131"/>
    <s v="JIP 27"/>
    <s v="3131 - JIP 27"/>
    <s v="50113013     léky (paušál) - antibiotika (LEK)"/>
    <x v="7"/>
    <x v="2"/>
    <n v="130.91618"/>
    <n v="237.999992503577"/>
  </r>
  <r>
    <s v="31"/>
    <s v="31"/>
    <s v="Traumatologické oddělení"/>
    <x v="29"/>
    <s v="3131"/>
    <s v="JIP 27"/>
    <s v="3131 - JIP 27"/>
    <s v="50113014     léky (paušál) - antimykotika (LEK)"/>
    <x v="8"/>
    <x v="0"/>
    <n v="23.526780000000002"/>
    <n v="14.034271976288"/>
  </r>
  <r>
    <s v="31"/>
    <s v="31"/>
    <s v="Traumatologické oddělení"/>
    <x v="29"/>
    <s v="3131"/>
    <s v="JIP 27"/>
    <s v="3131 - JIP 27"/>
    <s v="50113014     léky (paušál) - antimykotika (LEK)"/>
    <x v="8"/>
    <x v="1"/>
    <n v="4.4901"/>
    <n v="23.564119030366999"/>
  </r>
  <r>
    <s v="31"/>
    <s v="31"/>
    <s v="Traumatologické oddělení"/>
    <x v="29"/>
    <s v="3131"/>
    <s v="JIP 27"/>
    <s v="3131 - JIP 27"/>
    <s v="50113014     léky (paušál) - antimykotika (LEK)"/>
    <x v="8"/>
    <x v="2"/>
    <n v="1.53556"/>
    <n v="5.9999998110139998"/>
  </r>
  <r>
    <s v="31"/>
    <s v="31"/>
    <s v="Traumatologické oddělení"/>
    <x v="29"/>
    <s v="3131"/>
    <s v="JIP 27"/>
    <s v="3131 - JIP 27"/>
    <s v="50113190     medicinální plyny"/>
    <x v="9"/>
    <x v="0"/>
    <n v="12.960499999999"/>
    <n v="19.878544558628999"/>
  </r>
  <r>
    <s v="31"/>
    <s v="31"/>
    <s v="Traumatologické oddělení"/>
    <x v="29"/>
    <s v="3131"/>
    <s v="JIP 27"/>
    <s v="3131 - JIP 27"/>
    <s v="50113190     medicinální plyny"/>
    <x v="9"/>
    <x v="1"/>
    <n v="17.077500000000001"/>
    <n v="12.399584921957"/>
  </r>
  <r>
    <s v="31"/>
    <s v="31"/>
    <s v="Traumatologické oddělení"/>
    <x v="29"/>
    <s v="3131"/>
    <s v="JIP 27"/>
    <s v="3131 - JIP 27"/>
    <s v="50113190     medicinální plyny"/>
    <x v="9"/>
    <x v="2"/>
    <n v="13.661999999999999"/>
    <n v="19.285142619672001"/>
  </r>
  <r>
    <s v="31"/>
    <s v="31"/>
    <s v="Traumatologické oddělení"/>
    <x v="29"/>
    <s v="3131"/>
    <s v="JIP 27"/>
    <s v="3131 - JIP 27"/>
    <s v="50115     Zdravotnické prostředky"/>
    <x v="0"/>
    <x v="0"/>
    <n v="498.781509999999"/>
    <n v="483.82616162251998"/>
  </r>
  <r>
    <s v="31"/>
    <s v="31"/>
    <s v="Traumatologické oddělení"/>
    <x v="29"/>
    <s v="3131"/>
    <s v="JIP 27"/>
    <s v="3131 - JIP 27"/>
    <s v="50115     Zdravotnické prostředky"/>
    <x v="0"/>
    <x v="1"/>
    <n v="434.69038"/>
    <n v="499.50887944032399"/>
  </r>
  <r>
    <s v="31"/>
    <s v="31"/>
    <s v="Traumatologické oddělení"/>
    <x v="29"/>
    <s v="3131"/>
    <s v="JIP 27"/>
    <s v="3131 - JIP 27"/>
    <s v="50115     Zdravotnické prostředky"/>
    <x v="0"/>
    <x v="2"/>
    <n v="361.75704999999994"/>
    <n v="471.90005159561002"/>
  </r>
  <r>
    <s v="31"/>
    <s v="31"/>
    <s v="Traumatologické oddělení"/>
    <x v="29"/>
    <s v="3131"/>
    <s v="JIP 27"/>
    <s v="3131 - JIP 27"/>
    <s v="50115020     diagnostika laboratorní-LEK (sk.Z_501)"/>
    <x v="10"/>
    <x v="0"/>
    <n v="4.5090900000000005"/>
    <n v="7.2759732848469998"/>
  </r>
  <r>
    <s v="31"/>
    <s v="31"/>
    <s v="Traumatologické oddělení"/>
    <x v="29"/>
    <s v="3131"/>
    <s v="JIP 27"/>
    <s v="3131 - JIP 27"/>
    <s v="50115020     diagnostika laboratorní-LEK (sk.Z_501)"/>
    <x v="10"/>
    <x v="1"/>
    <n v="4.6964100000000002"/>
    <n v="5.5090852241889996"/>
  </r>
  <r>
    <s v="31"/>
    <s v="31"/>
    <s v="Traumatologické oddělení"/>
    <x v="29"/>
    <s v="3131"/>
    <s v="JIP 27"/>
    <s v="3131 - JIP 27"/>
    <s v="50115020     diagnostika laboratorní-LEK (sk.Z_501)"/>
    <x v="10"/>
    <x v="2"/>
    <n v="5.1052999999999997"/>
    <n v="5.6312254562410002"/>
  </r>
  <r>
    <s v="31"/>
    <s v="31"/>
    <s v="Traumatologické oddělení"/>
    <x v="29"/>
    <s v="3131"/>
    <s v="JIP 27"/>
    <s v="3131 - JIP 27"/>
    <s v="50115040     laboratorní materiál (sk.Z_505)"/>
    <x v="11"/>
    <x v="0"/>
    <n v="0.93599999999999994"/>
    <n v="0"/>
  </r>
  <r>
    <s v="31"/>
    <s v="31"/>
    <s v="Traumatologické oddělení"/>
    <x v="29"/>
    <s v="3131"/>
    <s v="JIP 27"/>
    <s v="3131 - JIP 27"/>
    <s v="50115040     laboratorní materiál (sk.Z_505)"/>
    <x v="11"/>
    <x v="1"/>
    <n v="0.94200000000000006"/>
    <n v="0.93605917225599999"/>
  </r>
  <r>
    <s v="31"/>
    <s v="31"/>
    <s v="Traumatologické oddělení"/>
    <x v="29"/>
    <s v="3131"/>
    <s v="JIP 27"/>
    <s v="3131 - JIP 27"/>
    <s v="50115040     laboratorní materiál (sk.Z_505)"/>
    <x v="11"/>
    <x v="2"/>
    <n v="0.6552"/>
    <n v="0.70424997781700005"/>
  </r>
  <r>
    <s v="31"/>
    <s v="31"/>
    <s v="Traumatologické oddělení"/>
    <x v="29"/>
    <s v="3131"/>
    <s v="JIP 27"/>
    <s v="3131 - JIP 27"/>
    <s v="50115050     obvazový materiál (sk.Z_502)"/>
    <x v="12"/>
    <x v="0"/>
    <n v="224.36714999999995"/>
    <n v="194.749029495689"/>
  </r>
  <r>
    <s v="31"/>
    <s v="31"/>
    <s v="Traumatologické oddělení"/>
    <x v="29"/>
    <s v="3131"/>
    <s v="JIP 27"/>
    <s v="3131 - JIP 27"/>
    <s v="50115050     obvazový materiál (sk.Z_502)"/>
    <x v="12"/>
    <x v="1"/>
    <n v="166.04978"/>
    <n v="219.87738321458301"/>
  </r>
  <r>
    <s v="31"/>
    <s v="31"/>
    <s v="Traumatologické oddělení"/>
    <x v="29"/>
    <s v="3131"/>
    <s v="JIP 27"/>
    <s v="3131 - JIP 27"/>
    <s v="50115050     obvazový materiál (sk.Z_502)"/>
    <x v="12"/>
    <x v="2"/>
    <n v="147.5153"/>
    <n v="199.99999370048499"/>
  </r>
  <r>
    <s v="31"/>
    <s v="31"/>
    <s v="Traumatologické oddělení"/>
    <x v="29"/>
    <s v="3131"/>
    <s v="JIP 27"/>
    <s v="3131 - JIP 27"/>
    <s v="50115060     ostatní ZPr - mimo níže uvedené (sk.Z_503)"/>
    <x v="1"/>
    <x v="0"/>
    <n v="195.73543999999998"/>
    <n v="201.779833978928"/>
  </r>
  <r>
    <s v="31"/>
    <s v="31"/>
    <s v="Traumatologické oddělení"/>
    <x v="29"/>
    <s v="3131"/>
    <s v="JIP 27"/>
    <s v="3131 - JIP 27"/>
    <s v="50115060     ostatní ZPr - mimo níže uvedené (sk.Z_503)"/>
    <x v="1"/>
    <x v="1"/>
    <n v="169.36616999999998"/>
    <n v="198.734309581194"/>
  </r>
  <r>
    <s v="31"/>
    <s v="31"/>
    <s v="Traumatologické oddělení"/>
    <x v="29"/>
    <s v="3131"/>
    <s v="JIP 27"/>
    <s v="3131 - JIP 27"/>
    <s v="50115060     ostatní ZPr - mimo níže uvedené (sk.Z_503)"/>
    <x v="1"/>
    <x v="2"/>
    <n v="119.52289000000002"/>
    <n v="171.58142703344799"/>
  </r>
  <r>
    <s v="31"/>
    <s v="31"/>
    <s v="Traumatologické oddělení"/>
    <x v="29"/>
    <s v="3131"/>
    <s v="JIP 27"/>
    <s v="3131 - JIP 27"/>
    <s v="50115063     ostatní ZPr - vaky, sety (sk.Z_528)"/>
    <x v="13"/>
    <x v="0"/>
    <n v="13.086959999999999"/>
    <n v="13.300179797266001"/>
  </r>
  <r>
    <s v="31"/>
    <s v="31"/>
    <s v="Traumatologické oddělení"/>
    <x v="29"/>
    <s v="3131"/>
    <s v="JIP 27"/>
    <s v="3131 - JIP 27"/>
    <s v="50115063     ostatní ZPr - vaky, sety (sk.Z_528)"/>
    <x v="13"/>
    <x v="1"/>
    <n v="30.441800000000004"/>
    <n v="12.820304994878001"/>
  </r>
  <r>
    <s v="31"/>
    <s v="31"/>
    <s v="Traumatologické oddělení"/>
    <x v="29"/>
    <s v="3131"/>
    <s v="JIP 27"/>
    <s v="3131 - JIP 27"/>
    <s v="50115063     ostatní ZPr - vaky, sety (sk.Z_528)"/>
    <x v="13"/>
    <x v="2"/>
    <n v="31.615000000000002"/>
    <n v="27.074544372535001"/>
  </r>
  <r>
    <s v="31"/>
    <s v="31"/>
    <s v="Traumatologické oddělení"/>
    <x v="29"/>
    <s v="3131"/>
    <s v="JIP 27"/>
    <s v="3131 - JIP 27"/>
    <s v="50115064     ostatní ZPr - šicí materiál (sk.Z_529)"/>
    <x v="21"/>
    <x v="0"/>
    <n v="0"/>
    <n v="0.94998453898500002"/>
  </r>
  <r>
    <s v="31"/>
    <s v="31"/>
    <s v="Traumatologické oddělení"/>
    <x v="29"/>
    <s v="3131"/>
    <s v="JIP 27"/>
    <s v="3131 - JIP 27"/>
    <s v="50115064     ostatní ZPr - šicí materiál (sk.Z_529)"/>
    <x v="21"/>
    <x v="1"/>
    <n v="2.6888399999999999"/>
    <n v="0"/>
  </r>
  <r>
    <s v="31"/>
    <s v="31"/>
    <s v="Traumatologické oddělení"/>
    <x v="29"/>
    <s v="3131"/>
    <s v="JIP 27"/>
    <s v="3131 - JIP 27"/>
    <s v="50115064     ostatní ZPr - šicí materiál (sk.Z_529)"/>
    <x v="21"/>
    <x v="2"/>
    <n v="1.28216"/>
    <n v="0"/>
  </r>
  <r>
    <s v="31"/>
    <s v="31"/>
    <s v="Traumatologické oddělení"/>
    <x v="29"/>
    <s v="3131"/>
    <s v="JIP 27"/>
    <s v="3131 - JIP 27"/>
    <s v="50115065     ostatní ZPr - vpichovací materiál (sk.Z_530)"/>
    <x v="14"/>
    <x v="0"/>
    <n v="3.7089999999990004"/>
    <n v="3.8005094261219998"/>
  </r>
  <r>
    <s v="31"/>
    <s v="31"/>
    <s v="Traumatologické oddělení"/>
    <x v="29"/>
    <s v="3131"/>
    <s v="JIP 27"/>
    <s v="3131 - JIP 27"/>
    <s v="50115065     ostatní ZPr - vpichovací materiál (sk.Z_530)"/>
    <x v="14"/>
    <x v="1"/>
    <n v="5.8146299999999993"/>
    <n v="3.8047506738469998"/>
  </r>
  <r>
    <s v="31"/>
    <s v="31"/>
    <s v="Traumatologické oddělení"/>
    <x v="29"/>
    <s v="3131"/>
    <s v="JIP 27"/>
    <s v="3131 - JIP 27"/>
    <s v="50115065     ostatní ZPr - vpichovací materiál (sk.Z_530)"/>
    <x v="14"/>
    <x v="2"/>
    <n v="3.3617999999999997"/>
    <n v="3.4179998923410002"/>
  </r>
  <r>
    <s v="31"/>
    <s v="31"/>
    <s v="Traumatologické oddělení"/>
    <x v="29"/>
    <s v="3131"/>
    <s v="JIP 27"/>
    <s v="3131 - JIP 27"/>
    <s v="50115067     ostatní ZPr - rukavice (sk.Z_532)"/>
    <x v="15"/>
    <x v="0"/>
    <n v="27.508000000000003"/>
    <n v="31.354229903282"/>
  </r>
  <r>
    <s v="31"/>
    <s v="31"/>
    <s v="Traumatologické oddělení"/>
    <x v="29"/>
    <s v="3131"/>
    <s v="JIP 27"/>
    <s v="3131 - JIP 27"/>
    <s v="50115067     ostatní ZPr - rukavice (sk.Z_532)"/>
    <x v="15"/>
    <x v="1"/>
    <n v="28.844000000000005"/>
    <n v="28.897252518957998"/>
  </r>
  <r>
    <s v="31"/>
    <s v="31"/>
    <s v="Traumatologické oddělení"/>
    <x v="29"/>
    <s v="3131"/>
    <s v="JIP 27"/>
    <s v="3131 - JIP 27"/>
    <s v="50115067     ostatní ZPr - rukavice (sk.Z_532)"/>
    <x v="15"/>
    <x v="2"/>
    <n v="20.448"/>
    <n v="29.490612233657998"/>
  </r>
  <r>
    <s v="31"/>
    <s v="31"/>
    <s v="Traumatologické oddělení"/>
    <x v="29"/>
    <s v="3131"/>
    <s v="JIP 27"/>
    <s v="3131 - JIP 27"/>
    <s v="50115070     ostatní ZPr - katetry (sk.Z_513)"/>
    <x v="16"/>
    <x v="0"/>
    <n v="28.929870000000005"/>
    <n v="30.616421197398001"/>
  </r>
  <r>
    <s v="31"/>
    <s v="31"/>
    <s v="Traumatologické oddělení"/>
    <x v="29"/>
    <s v="3131"/>
    <s v="JIP 27"/>
    <s v="3131 - JIP 27"/>
    <s v="50115070     ostatní ZPr - katetry (sk.Z_513)"/>
    <x v="16"/>
    <x v="1"/>
    <n v="25.84675"/>
    <n v="28.929734060415999"/>
  </r>
  <r>
    <s v="31"/>
    <s v="31"/>
    <s v="Traumatologické oddělení"/>
    <x v="29"/>
    <s v="3131"/>
    <s v="JIP 27"/>
    <s v="3131 - JIP 27"/>
    <s v="50115070     ostatní ZPr - katetry (sk.Z_513)"/>
    <x v="16"/>
    <x v="2"/>
    <n v="26.253860000000003"/>
    <n v="33.999998929081997"/>
  </r>
  <r>
    <s v="31"/>
    <s v="31"/>
    <s v="Traumatologické oddělení"/>
    <x v="29"/>
    <s v="3131"/>
    <s v="JIP 27"/>
    <s v="3131 - JIP 27"/>
    <s v="50115079     ostatní ZPr - intenzivní péče (sk.Z_542)"/>
    <x v="18"/>
    <x v="2"/>
    <n v="5.997539999999999"/>
    <n v="0"/>
  </r>
  <r>
    <s v="31"/>
    <s v="31"/>
    <s v="Traumatologické oddělení"/>
    <x v="29"/>
    <s v="3164"/>
    <s v="pracoviště COS"/>
    <s v="3164 - pracoviště COS"/>
    <s v="50115     Zdravotnické prostředky"/>
    <x v="0"/>
    <x v="0"/>
    <n v="11128.827180000009"/>
    <n v="12910.077023337501"/>
  </r>
  <r>
    <s v="31"/>
    <s v="31"/>
    <s v="Traumatologické oddělení"/>
    <x v="29"/>
    <s v="3164"/>
    <s v="pracoviště COS"/>
    <s v="3164 - pracoviště COS"/>
    <s v="50115     Zdravotnické prostředky"/>
    <x v="0"/>
    <x v="1"/>
    <n v="12235.123500000005"/>
    <n v="12457.140172561099"/>
  </r>
  <r>
    <s v="31"/>
    <s v="31"/>
    <s v="Traumatologické oddělení"/>
    <x v="29"/>
    <s v="3164"/>
    <s v="pracoviště COS"/>
    <s v="3164 - pracoviště COS"/>
    <s v="50115     Zdravotnické prostředky"/>
    <x v="0"/>
    <x v="2"/>
    <n v="9537.2565000000031"/>
    <n v="12545.5680917144"/>
  </r>
  <r>
    <s v="31"/>
    <s v="31"/>
    <s v="Traumatologické oddělení"/>
    <x v="29"/>
    <s v="3164"/>
    <s v="pracoviště COS"/>
    <s v="3164 - pracoviště COS"/>
    <s v="50115003     implant.umělé těl.náhr.-TEP (sk.Z_518)"/>
    <x v="47"/>
    <x v="2"/>
    <n v="0"/>
    <n v="239.99755988215"/>
  </r>
  <r>
    <s v="31"/>
    <s v="31"/>
    <s v="Traumatologické oddělení"/>
    <x v="29"/>
    <s v="3164"/>
    <s v="pracoviště COS"/>
    <s v="3164 - pracoviště COS"/>
    <s v="50115004     implant.umělé těl.náhr.-kovové (s.Z_506)"/>
    <x v="25"/>
    <x v="0"/>
    <n v="9807.1818400000047"/>
    <n v="10970.054393828401"/>
  </r>
  <r>
    <s v="31"/>
    <s v="31"/>
    <s v="Traumatologické oddělení"/>
    <x v="29"/>
    <s v="3164"/>
    <s v="pracoviště COS"/>
    <s v="3164 - pracoviště COS"/>
    <s v="50115004     implant.umělé těl.náhr.-kovové (s.Z_506)"/>
    <x v="25"/>
    <x v="1"/>
    <n v="10778.050190000004"/>
    <n v="10903.997581867399"/>
  </r>
  <r>
    <s v="31"/>
    <s v="31"/>
    <s v="Traumatologické oddělení"/>
    <x v="29"/>
    <s v="3164"/>
    <s v="pracoviště COS"/>
    <s v="3164 - pracoviště COS"/>
    <s v="50115004     implant.umělé těl.náhr.-kovové (s.Z_506)"/>
    <x v="25"/>
    <x v="2"/>
    <n v="8426.2933600000015"/>
    <n v="10716.9945489234"/>
  </r>
  <r>
    <s v="31"/>
    <s v="31"/>
    <s v="Traumatologické oddělení"/>
    <x v="29"/>
    <s v="3164"/>
    <s v="pracoviště COS"/>
    <s v="3164 - pracoviště COS"/>
    <s v="50115011     implant.umělé těl.náhr.-ostat.nákl.PZT(s.Z_515)"/>
    <x v="26"/>
    <x v="1"/>
    <n v="254.75768000000002"/>
    <n v="220.99992569532401"/>
  </r>
  <r>
    <s v="31"/>
    <s v="31"/>
    <s v="Traumatologické oddělení"/>
    <x v="29"/>
    <s v="3164"/>
    <s v="pracoviště COS"/>
    <s v="3164 - pracoviště COS"/>
    <s v="50115011     implant.umělé těl.náhr.-ostat.nákl.PZT(s.Z_515)"/>
    <x v="26"/>
    <x v="2"/>
    <n v="213.81625999999997"/>
    <n v="350"/>
  </r>
  <r>
    <s v="31"/>
    <s v="31"/>
    <s v="Traumatologické oddělení"/>
    <x v="29"/>
    <s v="3164"/>
    <s v="pracoviště COS"/>
    <s v="3164 - pracoviště COS"/>
    <s v="50115050     obvazový materiál (sk.Z_502)"/>
    <x v="12"/>
    <x v="0"/>
    <n v="21.912479999999"/>
    <n v="14.692620907559"/>
  </r>
  <r>
    <s v="31"/>
    <s v="31"/>
    <s v="Traumatologické oddělení"/>
    <x v="29"/>
    <s v="3164"/>
    <s v="pracoviště COS"/>
    <s v="3164 - pracoviště COS"/>
    <s v="50115050     obvazový materiál (sk.Z_502)"/>
    <x v="12"/>
    <x v="1"/>
    <n v="6.9740000000000002"/>
    <n v="21.962310107210001"/>
  </r>
  <r>
    <s v="31"/>
    <s v="31"/>
    <s v="Traumatologické oddělení"/>
    <x v="29"/>
    <s v="3164"/>
    <s v="pracoviště COS"/>
    <s v="3164 - pracoviště COS"/>
    <s v="50115050     obvazový materiál (sk.Z_502)"/>
    <x v="12"/>
    <x v="2"/>
    <n v="0"/>
    <n v="7.3748663783369999"/>
  </r>
  <r>
    <s v="31"/>
    <s v="31"/>
    <s v="Traumatologické oddělení"/>
    <x v="29"/>
    <s v="3164"/>
    <s v="pracoviště COS"/>
    <s v="3164 - pracoviště COS"/>
    <s v="50115060     ostatní ZPr - mimo níže uvedené (sk.Z_503)"/>
    <x v="1"/>
    <x v="0"/>
    <n v="922.70428999999899"/>
    <n v="1444.0858276592801"/>
  </r>
  <r>
    <s v="31"/>
    <s v="31"/>
    <s v="Traumatologické oddělení"/>
    <x v="29"/>
    <s v="3164"/>
    <s v="pracoviště COS"/>
    <s v="3164 - pracoviště COS"/>
    <s v="50115060     ostatní ZPr - mimo níže uvedené (sk.Z_503)"/>
    <x v="1"/>
    <x v="1"/>
    <n v="886.2029"/>
    <n v="1005.6989002528099"/>
  </r>
  <r>
    <s v="31"/>
    <s v="31"/>
    <s v="Traumatologické oddělení"/>
    <x v="29"/>
    <s v="3164"/>
    <s v="pracoviště COS"/>
    <s v="3164 - pracoviště COS"/>
    <s v="50115060     ostatní ZPr - mimo níže uvedené (sk.Z_503)"/>
    <x v="1"/>
    <x v="2"/>
    <n v="638.40654000000006"/>
    <n v="893.99997184116603"/>
  </r>
  <r>
    <s v="31"/>
    <s v="31"/>
    <s v="Traumatologické oddělení"/>
    <x v="29"/>
    <s v="3164"/>
    <s v="pracoviště COS"/>
    <s v="3164 - pracoviště COS"/>
    <s v="50115063     ostatní ZPr - vaky, sety (sk.Z_528)"/>
    <x v="13"/>
    <x v="0"/>
    <n v="23.570799999999998"/>
    <n v="34.675369684674003"/>
  </r>
  <r>
    <s v="31"/>
    <s v="31"/>
    <s v="Traumatologické oddělení"/>
    <x v="29"/>
    <s v="3164"/>
    <s v="pracoviště COS"/>
    <s v="3164 - pracoviště COS"/>
    <s v="50115063     ostatní ZPr - vaky, sety (sk.Z_528)"/>
    <x v="13"/>
    <x v="1"/>
    <n v="6.8607000000000005"/>
    <n v="23.090530189843001"/>
  </r>
  <r>
    <s v="31"/>
    <s v="31"/>
    <s v="Traumatologické oddělení"/>
    <x v="29"/>
    <s v="3164"/>
    <s v="pracoviště COS"/>
    <s v="3164 - pracoviště COS"/>
    <s v="50115063     ostatní ZPr - vaky, sety (sk.Z_528)"/>
    <x v="13"/>
    <x v="2"/>
    <n v="0"/>
    <n v="7.3650240904909996"/>
  </r>
  <r>
    <s v="31"/>
    <s v="31"/>
    <s v="Traumatologické oddělení"/>
    <x v="29"/>
    <s v="3164"/>
    <s v="pracoviště COS"/>
    <s v="3164 - pracoviště COS"/>
    <s v="50115064     ostatní ZPr - šicí materiál (sk.Z_529)"/>
    <x v="21"/>
    <x v="0"/>
    <n v="128.22180999999898"/>
    <n v="68.797430762667005"/>
  </r>
  <r>
    <s v="31"/>
    <s v="31"/>
    <s v="Traumatologické oddělení"/>
    <x v="29"/>
    <s v="3164"/>
    <s v="pracoviště COS"/>
    <s v="3164 - pracoviště COS"/>
    <s v="50115064     ostatní ZPr - šicí materiál (sk.Z_529)"/>
    <x v="21"/>
    <x v="1"/>
    <n v="110.63237000000001"/>
    <n v="116.711014904143"/>
  </r>
  <r>
    <s v="31"/>
    <s v="31"/>
    <s v="Traumatologické oddělení"/>
    <x v="29"/>
    <s v="3164"/>
    <s v="pracoviště COS"/>
    <s v="3164 - pracoviště COS"/>
    <s v="50115064     ostatní ZPr - šicí materiál (sk.Z_529)"/>
    <x v="21"/>
    <x v="2"/>
    <n v="65.971810000000005"/>
    <n v="108.346346587353"/>
  </r>
  <r>
    <s v="31"/>
    <s v="31"/>
    <s v="Traumatologické oddělení"/>
    <x v="29"/>
    <s v="3164"/>
    <s v="pracoviště COS"/>
    <s v="3164 - pracoviště COS"/>
    <s v="50115065     ostatní ZPr - vpichovací materiál (sk.Z_530)"/>
    <x v="14"/>
    <x v="0"/>
    <n v="4.4850000000000003"/>
    <n v="70.864408823326997"/>
  </r>
  <r>
    <s v="31"/>
    <s v="31"/>
    <s v="Traumatologické oddělení"/>
    <x v="29"/>
    <s v="3164"/>
    <s v="pracoviště COS"/>
    <s v="3164 - pracoviště COS"/>
    <s v="50115065     ostatní ZPr - vpichovací materiál (sk.Z_530)"/>
    <x v="14"/>
    <x v="1"/>
    <n v="11.495000000000001"/>
    <n v="0.60078370779300005"/>
  </r>
  <r>
    <s v="31"/>
    <s v="31"/>
    <s v="Traumatologické oddělení"/>
    <x v="29"/>
    <s v="3164"/>
    <s v="pracoviště COS"/>
    <s v="3164 - pracoviště COS"/>
    <s v="50115065     ostatní ZPr - vpichovací materiál (sk.Z_530)"/>
    <x v="14"/>
    <x v="2"/>
    <n v="0"/>
    <n v="11.494999637935001"/>
  </r>
  <r>
    <s v="31"/>
    <s v="31"/>
    <s v="Traumatologické oddělení"/>
    <x v="29"/>
    <s v="3164"/>
    <s v="pracoviště COS"/>
    <s v="3164 - pracoviště COS"/>
    <s v="50115066     ostatní ZPr - šicí materiál - robot (sk.Z_531)"/>
    <x v="44"/>
    <x v="0"/>
    <n v="0"/>
    <n v="78.904921475349994"/>
  </r>
  <r>
    <s v="31"/>
    <s v="31"/>
    <s v="Traumatologické oddělení"/>
    <x v="29"/>
    <s v="3164"/>
    <s v="pracoviště COS"/>
    <s v="3164 - pracoviště COS"/>
    <s v="50115067     ostatní ZPr - rukavice (sk.Z_532)"/>
    <x v="15"/>
    <x v="0"/>
    <n v="0"/>
    <n v="1.520167081092"/>
  </r>
  <r>
    <s v="31"/>
    <s v="31"/>
    <s v="Traumatologické oddělení"/>
    <x v="29"/>
    <s v="3164"/>
    <s v="pracoviště COS"/>
    <s v="3164 - pracoviště COS"/>
    <s v="50115070     ostatní ZPr - katetry (sk.Z_513)"/>
    <x v="16"/>
    <x v="0"/>
    <n v="1.0795300000000001"/>
    <n v="0.396482575891"/>
  </r>
  <r>
    <s v="31"/>
    <s v="31"/>
    <s v="Traumatologické oddělení"/>
    <x v="29"/>
    <s v="3164"/>
    <s v="pracoviště COS"/>
    <s v="3164 - pracoviště COS"/>
    <s v="50115070     ostatní ZPr - katetry (sk.Z_513)"/>
    <x v="16"/>
    <x v="1"/>
    <n v="0"/>
    <n v="1.0795249273580001"/>
  </r>
  <r>
    <s v="31"/>
    <s v="31"/>
    <s v="Traumatologické oddělení"/>
    <x v="29"/>
    <s v="3164"/>
    <s v="pracoviště COS"/>
    <s v="3164 - pracoviště COS"/>
    <s v="50115080     ostatní ZPr - staplery, extraktory (sk.Z_523)"/>
    <x v="30"/>
    <x v="0"/>
    <n v="219.67143000000002"/>
    <n v="226.08540053925799"/>
  </r>
  <r>
    <s v="31"/>
    <s v="31"/>
    <s v="Traumatologické oddělení"/>
    <x v="29"/>
    <s v="3164"/>
    <s v="pracoviště COS"/>
    <s v="3164 - pracoviště COS"/>
    <s v="50115080     ostatní ZPr - staplery, extraktory (sk.Z_523)"/>
    <x v="30"/>
    <x v="1"/>
    <n v="180.15065999999999"/>
    <n v="162.999600909208"/>
  </r>
  <r>
    <s v="31"/>
    <s v="31"/>
    <s v="Traumatologické oddělení"/>
    <x v="29"/>
    <s v="3164"/>
    <s v="pracoviště COS"/>
    <s v="3164 - pracoviště COS"/>
    <s v="50115080     ostatní ZPr - staplery, extraktory (sk.Z_523)"/>
    <x v="30"/>
    <x v="2"/>
    <n v="192.76853"/>
    <n v="209.99477437355799"/>
  </r>
  <r>
    <s v="31"/>
    <s v="31"/>
    <s v="Traumatologické oddělení"/>
    <x v="29"/>
    <s v="3166"/>
    <s v="pracoviště DK COS"/>
    <s v="3166 - pracoviště DK COS"/>
    <s v="50115     Zdravotnické prostředky"/>
    <x v="0"/>
    <x v="0"/>
    <n v="0"/>
    <n v="1.520167081092"/>
  </r>
  <r>
    <s v="31"/>
    <s v="31"/>
    <s v="Traumatologické oddělení"/>
    <x v="29"/>
    <s v="3166"/>
    <s v="pracoviště DK COS"/>
    <s v="3166 - pracoviště DK COS"/>
    <s v="50115067     ostatní ZPr - rukavice (sk.Z_532)"/>
    <x v="15"/>
    <x v="0"/>
    <n v="0"/>
    <n v="1.520167081092"/>
  </r>
  <r>
    <s v="32"/>
    <s v="32"/>
    <s v="Hemato-onkologická klinika"/>
    <x v="30"/>
    <s v="3211"/>
    <s v="lůžkové oddělení 5A"/>
    <s v="3211 - lůžkové oddělení 5A"/>
    <s v="50113     Léky a léčiva"/>
    <x v="2"/>
    <x v="0"/>
    <n v="15900.246520000012"/>
    <n v="15146.7026414174"/>
  </r>
  <r>
    <s v="32"/>
    <s v="32"/>
    <s v="Hemato-onkologická klinika"/>
    <x v="30"/>
    <s v="3211"/>
    <s v="lůžkové oddělení 5A"/>
    <s v="3211 - lůžkové oddělení 5A"/>
    <s v="50113     Léky a léčiva"/>
    <x v="2"/>
    <x v="1"/>
    <n v="19459.378030000011"/>
    <n v="17630.806802572701"/>
  </r>
  <r>
    <s v="32"/>
    <s v="32"/>
    <s v="Hemato-onkologická klinika"/>
    <x v="30"/>
    <s v="3211"/>
    <s v="lůžkové oddělení 5A"/>
    <s v="3211 - lůžkové oddělení 5A"/>
    <s v="50113     Léky a léčiva"/>
    <x v="2"/>
    <x v="2"/>
    <n v="9710.3091699999986"/>
    <n v="18539.5366164722"/>
  </r>
  <r>
    <s v="32"/>
    <s v="32"/>
    <s v="Hemato-onkologická klinika"/>
    <x v="30"/>
    <s v="3211"/>
    <s v="lůžkové oddělení 5A"/>
    <s v="3211 - lůžkové oddělení 5A"/>
    <s v="50113001     léky - paušál+TISS (LEK)"/>
    <x v="3"/>
    <x v="0"/>
    <n v="7905.8883700000088"/>
    <n v="6786.9357888959203"/>
  </r>
  <r>
    <s v="32"/>
    <s v="32"/>
    <s v="Hemato-onkologická klinika"/>
    <x v="30"/>
    <s v="3211"/>
    <s v="lůžkové oddělení 5A"/>
    <s v="3211 - lůžkové oddělení 5A"/>
    <s v="50113001     léky - paušál+TISS (LEK)"/>
    <x v="3"/>
    <x v="1"/>
    <n v="6370.7897200000034"/>
    <n v="7370.9116746053096"/>
  </r>
  <r>
    <s v="32"/>
    <s v="32"/>
    <s v="Hemato-onkologická klinika"/>
    <x v="30"/>
    <s v="3211"/>
    <s v="lůžkové oddělení 5A"/>
    <s v="3211 - lůžkové oddělení 5A"/>
    <s v="50113001     léky - paušál+TISS (LEK)"/>
    <x v="3"/>
    <x v="2"/>
    <n v="4295.9138300000022"/>
    <n v="6522.9997945413097"/>
  </r>
  <r>
    <s v="32"/>
    <s v="32"/>
    <s v="Hemato-onkologická klinika"/>
    <x v="30"/>
    <s v="3211"/>
    <s v="lůžkové oddělení 5A"/>
    <s v="3211 - lůžkové oddělení 5A"/>
    <s v="50113002     léky - parenterální výživa (LEK)"/>
    <x v="17"/>
    <x v="2"/>
    <n v="95.883970000000005"/>
    <n v="106"/>
  </r>
  <r>
    <s v="32"/>
    <s v="32"/>
    <s v="Hemato-onkologická klinika"/>
    <x v="30"/>
    <s v="3211"/>
    <s v="lůžkové oddělení 5A"/>
    <s v="3211 - lůžkové oddělení 5A"/>
    <s v="50113006     léky - enterální výživa (LEK)"/>
    <x v="4"/>
    <x v="0"/>
    <n v="85.979819999998995"/>
    <n v="86.446720064049998"/>
  </r>
  <r>
    <s v="32"/>
    <s v="32"/>
    <s v="Hemato-onkologická klinika"/>
    <x v="30"/>
    <s v="3211"/>
    <s v="lůžkové oddělení 5A"/>
    <s v="3211 - lůžkové oddělení 5A"/>
    <s v="50113006     léky - enterální výživa (LEK)"/>
    <x v="4"/>
    <x v="1"/>
    <n v="119.62379999999999"/>
    <n v="195.85136487073899"/>
  </r>
  <r>
    <s v="32"/>
    <s v="32"/>
    <s v="Hemato-onkologická klinika"/>
    <x v="30"/>
    <s v="3211"/>
    <s v="lůžkové oddělení 5A"/>
    <s v="3211 - lůžkové oddělení 5A"/>
    <s v="50113006     léky - enterální výživa (LEK)"/>
    <x v="4"/>
    <x v="2"/>
    <n v="28.633689999999987"/>
    <n v="4"/>
  </r>
  <r>
    <s v="32"/>
    <s v="32"/>
    <s v="Hemato-onkologická klinika"/>
    <x v="30"/>
    <s v="3211"/>
    <s v="lůžkové oddělení 5A"/>
    <s v="3211 - lůžkové oddělení 5A"/>
    <s v="50113007     léky - krev.deriváty ZUL (LEK)"/>
    <x v="45"/>
    <x v="0"/>
    <n v="0"/>
    <n v="15.564977482262"/>
  </r>
  <r>
    <s v="32"/>
    <s v="32"/>
    <s v="Hemato-onkologická klinika"/>
    <x v="30"/>
    <s v="3211"/>
    <s v="lůžkové oddělení 5A"/>
    <s v="3211 - lůžkové oddělení 5A"/>
    <s v="50113008     léky - krev.deriváty ZUL (TO)"/>
    <x v="5"/>
    <x v="0"/>
    <n v="2608.0780700000009"/>
    <n v="2750.0066915048401"/>
  </r>
  <r>
    <s v="32"/>
    <s v="32"/>
    <s v="Hemato-onkologická klinika"/>
    <x v="30"/>
    <s v="3211"/>
    <s v="lůžkové oddělení 5A"/>
    <s v="3211 - lůžkové oddělení 5A"/>
    <s v="50113008     léky - krev.deriváty ZUL (TO)"/>
    <x v="5"/>
    <x v="1"/>
    <n v="4888.2397000000019"/>
    <n v="3758.0242170834499"/>
  </r>
  <r>
    <s v="32"/>
    <s v="32"/>
    <s v="Hemato-onkologická klinika"/>
    <x v="30"/>
    <s v="3211"/>
    <s v="lůžkové oddělení 5A"/>
    <s v="3211 - lůžkové oddělení 5A"/>
    <s v="50113008     léky - krev.deriváty ZUL (TO)"/>
    <x v="5"/>
    <x v="2"/>
    <n v="2244.2601800000002"/>
    <n v="4279.2202653505801"/>
  </r>
  <r>
    <s v="32"/>
    <s v="32"/>
    <s v="Hemato-onkologická klinika"/>
    <x v="30"/>
    <s v="3211"/>
    <s v="lůžkové oddělení 5A"/>
    <s v="3211 - lůžkové oddělení 5A"/>
    <s v="50113011     léky - hemofilici ZUL (TO)"/>
    <x v="6"/>
    <x v="0"/>
    <n v="1139.0313200000001"/>
    <n v="1909.52871672937"/>
  </r>
  <r>
    <s v="32"/>
    <s v="32"/>
    <s v="Hemato-onkologická klinika"/>
    <x v="30"/>
    <s v="3211"/>
    <s v="lůžkové oddělení 5A"/>
    <s v="3211 - lůžkové oddělení 5A"/>
    <s v="50113011     léky - hemofilici ZUL (TO)"/>
    <x v="6"/>
    <x v="1"/>
    <n v="1646.7653299999999"/>
    <n v="1138.99999999998"/>
  </r>
  <r>
    <s v="32"/>
    <s v="32"/>
    <s v="Hemato-onkologická klinika"/>
    <x v="30"/>
    <s v="3211"/>
    <s v="lůžkové oddělení 5A"/>
    <s v="3211 - lůžkové oddělení 5A"/>
    <s v="50113011     léky - hemofilici ZUL (TO)"/>
    <x v="6"/>
    <x v="2"/>
    <n v="482.68139999999994"/>
    <n v="1739.7581478156301"/>
  </r>
  <r>
    <s v="32"/>
    <s v="32"/>
    <s v="Hemato-onkologická klinika"/>
    <x v="30"/>
    <s v="3211"/>
    <s v="lůžkové oddělení 5A"/>
    <s v="3211 - lůžkové oddělení 5A"/>
    <s v="50113013     léky (paušál) - antibiotika (LEK)"/>
    <x v="7"/>
    <x v="0"/>
    <n v="1935.512230000001"/>
    <n v="1810.8416658060901"/>
  </r>
  <r>
    <s v="32"/>
    <s v="32"/>
    <s v="Hemato-onkologická klinika"/>
    <x v="30"/>
    <s v="3211"/>
    <s v="lůžkové oddělení 5A"/>
    <s v="3211 - lůžkové oddělení 5A"/>
    <s v="50113013     léky (paušál) - antibiotika (LEK)"/>
    <x v="7"/>
    <x v="1"/>
    <n v="1950.03766"/>
    <n v="1590.8951233281"/>
  </r>
  <r>
    <s v="32"/>
    <s v="32"/>
    <s v="Hemato-onkologická klinika"/>
    <x v="30"/>
    <s v="3211"/>
    <s v="lůžkové oddělení 5A"/>
    <s v="3211 - lůžkové oddělení 5A"/>
    <s v="50113013     léky (paušál) - antibiotika (LEK)"/>
    <x v="7"/>
    <x v="2"/>
    <n v="849.19946000000004"/>
    <n v="1765.9999443752799"/>
  </r>
  <r>
    <s v="32"/>
    <s v="32"/>
    <s v="Hemato-onkologická klinika"/>
    <x v="30"/>
    <s v="3211"/>
    <s v="lůžkové oddělení 5A"/>
    <s v="3211 - lůžkové oddělení 5A"/>
    <s v="50113014     léky (paušál) - antimykotika (LEK)"/>
    <x v="8"/>
    <x v="0"/>
    <n v="2195.264790000002"/>
    <n v="1753.3854508843001"/>
  </r>
  <r>
    <s v="32"/>
    <s v="32"/>
    <s v="Hemato-onkologická klinika"/>
    <x v="30"/>
    <s v="3211"/>
    <s v="lůžkové oddělení 5A"/>
    <s v="3211 - lůžkové oddělení 5A"/>
    <s v="50113014     léky (paušál) - antimykotika (LEK)"/>
    <x v="8"/>
    <x v="1"/>
    <n v="4453.25936"/>
    <n v="3546.9521568409"/>
  </r>
  <r>
    <s v="32"/>
    <s v="32"/>
    <s v="Hemato-onkologická klinika"/>
    <x v="30"/>
    <s v="3211"/>
    <s v="lůžkové oddělení 5A"/>
    <s v="3211 - lůžkové oddělení 5A"/>
    <s v="50113014     léky (paušál) - antimykotika (LEK)"/>
    <x v="8"/>
    <x v="2"/>
    <n v="1305.9927299999999"/>
    <n v="4089.9998711749099"/>
  </r>
  <r>
    <s v="32"/>
    <s v="32"/>
    <s v="Hemato-onkologická klinika"/>
    <x v="30"/>
    <s v="3211"/>
    <s v="lůžkové oddělení 5A"/>
    <s v="3211 - lůžkové oddělení 5A"/>
    <s v="50113017     léky - dle §16 (LEK)"/>
    <x v="40"/>
    <x v="2"/>
    <n v="385.85448000000002"/>
    <n v="0"/>
  </r>
  <r>
    <s v="32"/>
    <s v="32"/>
    <s v="Hemato-onkologická klinika"/>
    <x v="30"/>
    <s v="3211"/>
    <s v="lůžkové oddělení 5A"/>
    <s v="3211 - lůžkové oddělení 5A"/>
    <s v="50113190     medicinální plyny"/>
    <x v="9"/>
    <x v="0"/>
    <n v="30.49192"/>
    <n v="33.992630050552002"/>
  </r>
  <r>
    <s v="32"/>
    <s v="32"/>
    <s v="Hemato-onkologická klinika"/>
    <x v="30"/>
    <s v="3211"/>
    <s v="lůžkové oddělení 5A"/>
    <s v="3211 - lůžkové oddělení 5A"/>
    <s v="50113190     medicinální plyny"/>
    <x v="9"/>
    <x v="1"/>
    <n v="30.662459999999999"/>
    <n v="29.172265844182999"/>
  </r>
  <r>
    <s v="32"/>
    <s v="32"/>
    <s v="Hemato-onkologická klinika"/>
    <x v="30"/>
    <s v="3211"/>
    <s v="lůžkové oddělení 5A"/>
    <s v="3211 - lůžkové oddělení 5A"/>
    <s v="50113190     medicinální plyny"/>
    <x v="9"/>
    <x v="2"/>
    <n v="21.889429999999997"/>
    <n v="31.558593214504999"/>
  </r>
  <r>
    <s v="32"/>
    <s v="32"/>
    <s v="Hemato-onkologická klinika"/>
    <x v="30"/>
    <s v="3211"/>
    <s v="lůžkové oddělení 5A"/>
    <s v="3211 - lůžkové oddělení 5A"/>
    <s v="50115     Zdravotnické prostředky"/>
    <x v="0"/>
    <x v="0"/>
    <n v="936.89053999999908"/>
    <n v="932.321344811264"/>
  </r>
  <r>
    <s v="32"/>
    <s v="32"/>
    <s v="Hemato-onkologická klinika"/>
    <x v="30"/>
    <s v="3211"/>
    <s v="lůžkové oddělení 5A"/>
    <s v="3211 - lůžkové oddělení 5A"/>
    <s v="50115     Zdravotnické prostředky"/>
    <x v="0"/>
    <x v="1"/>
    <n v="1312.48398"/>
    <n v="1180.16833776934"/>
  </r>
  <r>
    <s v="32"/>
    <s v="32"/>
    <s v="Hemato-onkologická klinika"/>
    <x v="30"/>
    <s v="3211"/>
    <s v="lůžkové oddělení 5A"/>
    <s v="3211 - lůžkové oddělení 5A"/>
    <s v="50115     Zdravotnické prostředky"/>
    <x v="0"/>
    <x v="2"/>
    <n v="1076.7368299999998"/>
    <n v="1409.27415191368"/>
  </r>
  <r>
    <s v="32"/>
    <s v="32"/>
    <s v="Hemato-onkologická klinika"/>
    <x v="30"/>
    <s v="3211"/>
    <s v="lůžkové oddělení 5A"/>
    <s v="3211 - lůžkové oddělení 5A"/>
    <s v="50115020     diagnostika laboratorní-LEK (sk.Z_501)"/>
    <x v="10"/>
    <x v="0"/>
    <n v="109.64643000000001"/>
    <n v="82.924994994602002"/>
  </r>
  <r>
    <s v="32"/>
    <s v="32"/>
    <s v="Hemato-onkologická klinika"/>
    <x v="30"/>
    <s v="3211"/>
    <s v="lůžkové oddělení 5A"/>
    <s v="3211 - lůžkové oddělení 5A"/>
    <s v="50115020     diagnostika laboratorní-LEK (sk.Z_501)"/>
    <x v="10"/>
    <x v="1"/>
    <n v="115.8356"/>
    <n v="121.646330456664"/>
  </r>
  <r>
    <s v="32"/>
    <s v="32"/>
    <s v="Hemato-onkologická klinika"/>
    <x v="30"/>
    <s v="3211"/>
    <s v="lůžkové oddělení 5A"/>
    <s v="3211 - lůžkové oddělení 5A"/>
    <s v="50115020     diagnostika laboratorní-LEK (sk.Z_501)"/>
    <x v="10"/>
    <x v="2"/>
    <n v="79.059849999999983"/>
    <n v="94.693594949178006"/>
  </r>
  <r>
    <s v="32"/>
    <s v="32"/>
    <s v="Hemato-onkologická klinika"/>
    <x v="30"/>
    <s v="3211"/>
    <s v="lůžkové oddělení 5A"/>
    <s v="3211 - lůžkové oddělení 5A"/>
    <s v="50115040     laboratorní materiál (sk.Z_505)"/>
    <x v="11"/>
    <x v="0"/>
    <n v="0.23250000000000001"/>
    <n v="0.96990752671500002"/>
  </r>
  <r>
    <s v="32"/>
    <s v="32"/>
    <s v="Hemato-onkologická klinika"/>
    <x v="30"/>
    <s v="3211"/>
    <s v="lůžkové oddělení 5A"/>
    <s v="3211 - lůžkové oddělení 5A"/>
    <s v="50115040     laboratorní materiál (sk.Z_505)"/>
    <x v="11"/>
    <x v="1"/>
    <n v="0.47175"/>
    <n v="0.23372146862900001"/>
  </r>
  <r>
    <s v="32"/>
    <s v="32"/>
    <s v="Hemato-onkologická klinika"/>
    <x v="30"/>
    <s v="3211"/>
    <s v="lůžkové oddělení 5A"/>
    <s v="3211 - lůžkové oddělení 5A"/>
    <s v="50115040     laboratorní materiál (sk.Z_505)"/>
    <x v="11"/>
    <x v="2"/>
    <n v="1.0057499999999999"/>
    <n v="0.47543525166900003"/>
  </r>
  <r>
    <s v="32"/>
    <s v="32"/>
    <s v="Hemato-onkologická klinika"/>
    <x v="30"/>
    <s v="3211"/>
    <s v="lůžkové oddělení 5A"/>
    <s v="3211 - lůžkové oddělení 5A"/>
    <s v="50115050     obvazový materiál (sk.Z_502)"/>
    <x v="12"/>
    <x v="0"/>
    <n v="111.60968999999899"/>
    <n v="106.34920541057799"/>
  </r>
  <r>
    <s v="32"/>
    <s v="32"/>
    <s v="Hemato-onkologická klinika"/>
    <x v="30"/>
    <s v="3211"/>
    <s v="lůžkové oddělení 5A"/>
    <s v="3211 - lůžkové oddělení 5A"/>
    <s v="50115050     obvazový materiál (sk.Z_502)"/>
    <x v="12"/>
    <x v="1"/>
    <n v="188.11759999999998"/>
    <n v="106.863501563268"/>
  </r>
  <r>
    <s v="32"/>
    <s v="32"/>
    <s v="Hemato-onkologická klinika"/>
    <x v="30"/>
    <s v="3211"/>
    <s v="lůžkové oddělení 5A"/>
    <s v="3211 - lůžkové oddělení 5A"/>
    <s v="50115050     obvazový materiál (sk.Z_502)"/>
    <x v="12"/>
    <x v="2"/>
    <n v="143.76952999999997"/>
    <n v="190.98373805873001"/>
  </r>
  <r>
    <s v="32"/>
    <s v="32"/>
    <s v="Hemato-onkologická klinika"/>
    <x v="30"/>
    <s v="3211"/>
    <s v="lůžkové oddělení 5A"/>
    <s v="3211 - lůžkové oddělení 5A"/>
    <s v="50115060     ostatní ZPr - mimo níže uvedené (sk.Z_503)"/>
    <x v="1"/>
    <x v="0"/>
    <n v="263.50851"/>
    <n v="241.662877863956"/>
  </r>
  <r>
    <s v="32"/>
    <s v="32"/>
    <s v="Hemato-onkologická klinika"/>
    <x v="30"/>
    <s v="3211"/>
    <s v="lůžkové oddělení 5A"/>
    <s v="3211 - lůžkové oddělení 5A"/>
    <s v="50115060     ostatní ZPr - mimo níže uvedené (sk.Z_503)"/>
    <x v="1"/>
    <x v="1"/>
    <n v="418.54016000000007"/>
    <n v="480.99864899916997"/>
  </r>
  <r>
    <s v="32"/>
    <s v="32"/>
    <s v="Hemato-onkologická klinika"/>
    <x v="30"/>
    <s v="3211"/>
    <s v="lůžkové oddělení 5A"/>
    <s v="3211 - lůžkové oddělení 5A"/>
    <s v="50115060     ostatní ZPr - mimo níže uvedené (sk.Z_503)"/>
    <x v="1"/>
    <x v="2"/>
    <n v="398.57797999999997"/>
    <n v="448.47849543623602"/>
  </r>
  <r>
    <s v="32"/>
    <s v="32"/>
    <s v="Hemato-onkologická klinika"/>
    <x v="30"/>
    <s v="3211"/>
    <s v="lůžkové oddělení 5A"/>
    <s v="3211 - lůžkové oddělení 5A"/>
    <s v="50115063     ostatní ZPr - vaky, sety (sk.Z_528)"/>
    <x v="13"/>
    <x v="0"/>
    <n v="114.221999999999"/>
    <n v="119.504721813138"/>
  </r>
  <r>
    <s v="32"/>
    <s v="32"/>
    <s v="Hemato-onkologická klinika"/>
    <x v="30"/>
    <s v="3211"/>
    <s v="lůžkové oddělení 5A"/>
    <s v="3211 - lůžkové oddělení 5A"/>
    <s v="50115063     ostatní ZPr - vaky, sety (sk.Z_528)"/>
    <x v="13"/>
    <x v="1"/>
    <n v="178.29446999999999"/>
    <n v="112.894660607993"/>
  </r>
  <r>
    <s v="32"/>
    <s v="32"/>
    <s v="Hemato-onkologická klinika"/>
    <x v="30"/>
    <s v="3211"/>
    <s v="lůžkové oddělení 5A"/>
    <s v="3211 - lůžkové oddělení 5A"/>
    <s v="50115063     ostatní ZPr - vaky, sety (sk.Z_528)"/>
    <x v="13"/>
    <x v="2"/>
    <n v="64.971969999999999"/>
    <n v="205.61729783084701"/>
  </r>
  <r>
    <s v="32"/>
    <s v="32"/>
    <s v="Hemato-onkologická klinika"/>
    <x v="30"/>
    <s v="3211"/>
    <s v="lůžkové oddělení 5A"/>
    <s v="3211 - lůžkové oddělení 5A"/>
    <s v="50115064     ostatní ZPr - šicí materiál (sk.Z_529)"/>
    <x v="21"/>
    <x v="0"/>
    <n v="2.9697500000000003"/>
    <n v="3"/>
  </r>
  <r>
    <s v="32"/>
    <s v="32"/>
    <s v="Hemato-onkologická klinika"/>
    <x v="30"/>
    <s v="3211"/>
    <s v="lůžkové oddělení 5A"/>
    <s v="3211 - lůžkové oddělení 5A"/>
    <s v="50115064     ostatní ZPr - šicí materiál (sk.Z_529)"/>
    <x v="21"/>
    <x v="1"/>
    <n v="5.9386200000000002"/>
    <n v="2.9116016271720002"/>
  </r>
  <r>
    <s v="32"/>
    <s v="32"/>
    <s v="Hemato-onkologická klinika"/>
    <x v="30"/>
    <s v="3211"/>
    <s v="lůžkové oddělení 5A"/>
    <s v="3211 - lůžkové oddělení 5A"/>
    <s v="50115064     ostatní ZPr - šicí materiál (sk.Z_529)"/>
    <x v="21"/>
    <x v="2"/>
    <n v="4.3596500000000002"/>
    <n v="4.2330146215719999"/>
  </r>
  <r>
    <s v="32"/>
    <s v="32"/>
    <s v="Hemato-onkologická klinika"/>
    <x v="30"/>
    <s v="3211"/>
    <s v="lůžkové oddělení 5A"/>
    <s v="3211 - lůžkové oddělení 5A"/>
    <s v="50115065     ostatní ZPr - vpichovací materiál (sk.Z_530)"/>
    <x v="14"/>
    <x v="0"/>
    <n v="102.26604999999901"/>
    <n v="128.011472145863"/>
  </r>
  <r>
    <s v="32"/>
    <s v="32"/>
    <s v="Hemato-onkologická klinika"/>
    <x v="30"/>
    <s v="3211"/>
    <s v="lůžkové oddělení 5A"/>
    <s v="3211 - lůžkové oddělení 5A"/>
    <s v="50115065     ostatní ZPr - vpichovací materiál (sk.Z_530)"/>
    <x v="14"/>
    <x v="1"/>
    <n v="143.26813000000001"/>
    <n v="125.906136046526"/>
  </r>
  <r>
    <s v="32"/>
    <s v="32"/>
    <s v="Hemato-onkologická klinika"/>
    <x v="30"/>
    <s v="3211"/>
    <s v="lůžkové oddělení 5A"/>
    <s v="3211 - lůžkové oddělení 5A"/>
    <s v="50115065     ostatní ZPr - vpichovací materiál (sk.Z_530)"/>
    <x v="14"/>
    <x v="2"/>
    <n v="138.25603000000001"/>
    <n v="160.171064693701"/>
  </r>
  <r>
    <s v="32"/>
    <s v="32"/>
    <s v="Hemato-onkologická klinika"/>
    <x v="30"/>
    <s v="3211"/>
    <s v="lůžkové oddělení 5A"/>
    <s v="3211 - lůžkové oddělení 5A"/>
    <s v="50115067     ostatní ZPr - rukavice (sk.Z_532)"/>
    <x v="15"/>
    <x v="0"/>
    <n v="90.370299999998991"/>
    <n v="82.120655608755996"/>
  </r>
  <r>
    <s v="32"/>
    <s v="32"/>
    <s v="Hemato-onkologická klinika"/>
    <x v="30"/>
    <s v="3211"/>
    <s v="lůžkové oddělení 5A"/>
    <s v="3211 - lůžkové oddělení 5A"/>
    <s v="50115067     ostatní ZPr - rukavice (sk.Z_532)"/>
    <x v="15"/>
    <x v="1"/>
    <n v="110.517"/>
    <n v="93.649087555883995"/>
  </r>
  <r>
    <s v="32"/>
    <s v="32"/>
    <s v="Hemato-onkologická klinika"/>
    <x v="30"/>
    <s v="3211"/>
    <s v="lůžkové oddělení 5A"/>
    <s v="3211 - lůžkové oddělení 5A"/>
    <s v="50115067     ostatní ZPr - rukavice (sk.Z_532)"/>
    <x v="15"/>
    <x v="2"/>
    <n v="107.61200000000002"/>
    <n v="113.306258170419"/>
  </r>
  <r>
    <s v="32"/>
    <s v="32"/>
    <s v="Hemato-onkologická klinika"/>
    <x v="30"/>
    <s v="3211"/>
    <s v="lůžkové oddělení 5A"/>
    <s v="3211 - lůžkové oddělení 5A"/>
    <s v="50115070     ostatní ZPr - katetry (sk.Z_513)"/>
    <x v="16"/>
    <x v="0"/>
    <n v="142.06530999999998"/>
    <n v="167.77750944765401"/>
  </r>
  <r>
    <s v="32"/>
    <s v="32"/>
    <s v="Hemato-onkologická klinika"/>
    <x v="30"/>
    <s v="3211"/>
    <s v="lůžkové oddělení 5A"/>
    <s v="3211 - lůžkové oddělení 5A"/>
    <s v="50115070     ostatní ZPr - katetry (sk.Z_513)"/>
    <x v="16"/>
    <x v="1"/>
    <n v="151.50065000000004"/>
    <n v="135.06464944403601"/>
  </r>
  <r>
    <s v="32"/>
    <s v="32"/>
    <s v="Hemato-onkologická klinika"/>
    <x v="30"/>
    <s v="3211"/>
    <s v="lůžkové oddělení 5A"/>
    <s v="3211 - lůžkové oddělení 5A"/>
    <s v="50115070     ostatní ZPr - katetry (sk.Z_513)"/>
    <x v="16"/>
    <x v="2"/>
    <n v="135.35285000000002"/>
    <n v="191.31525290132799"/>
  </r>
  <r>
    <s v="32"/>
    <s v="32"/>
    <s v="Hemato-onkologická klinika"/>
    <x v="30"/>
    <s v="3211"/>
    <s v="lůžkové oddělení 5A"/>
    <s v="3211 - lůžkové oddělení 5A"/>
    <s v="50115079     ostatní ZPr - intenzivní péče (sk.Z_542)"/>
    <x v="18"/>
    <x v="2"/>
    <n v="3.77122"/>
    <n v="0"/>
  </r>
  <r>
    <s v="32"/>
    <s v="32"/>
    <s v="Hemato-onkologická klinika"/>
    <x v="30"/>
    <s v="3221"/>
    <s v="ambulance"/>
    <s v="3221 - ambulance"/>
    <s v="50113     Léky a léčiva"/>
    <x v="2"/>
    <x v="0"/>
    <n v="27045.739480000018"/>
    <n v="26393.681352943298"/>
  </r>
  <r>
    <s v="32"/>
    <s v="32"/>
    <s v="Hemato-onkologická klinika"/>
    <x v="30"/>
    <s v="3221"/>
    <s v="ambulance"/>
    <s v="3221 - ambulance"/>
    <s v="50113     Léky a léčiva"/>
    <x v="2"/>
    <x v="1"/>
    <n v="34545.456290000009"/>
    <n v="29297.997730375799"/>
  </r>
  <r>
    <s v="32"/>
    <s v="32"/>
    <s v="Hemato-onkologická klinika"/>
    <x v="30"/>
    <s v="3221"/>
    <s v="ambulance"/>
    <s v="3221 - ambulance"/>
    <s v="50113     Léky a léčiva"/>
    <x v="2"/>
    <x v="2"/>
    <n v="32599.50351000001"/>
    <n v="38530.722731093403"/>
  </r>
  <r>
    <s v="32"/>
    <s v="32"/>
    <s v="Hemato-onkologická klinika"/>
    <x v="30"/>
    <s v="3221"/>
    <s v="ambulance"/>
    <s v="3221 - ambulance"/>
    <s v="50113001     léky - paušál+TISS (LEK)"/>
    <x v="3"/>
    <x v="0"/>
    <n v="14068.971300000008"/>
    <n v="14372.6113380426"/>
  </r>
  <r>
    <s v="32"/>
    <s v="32"/>
    <s v="Hemato-onkologická klinika"/>
    <x v="30"/>
    <s v="3221"/>
    <s v="ambulance"/>
    <s v="3221 - ambulance"/>
    <s v="50113001     léky - paušál+TISS (LEK)"/>
    <x v="3"/>
    <x v="1"/>
    <n v="10336.233180000003"/>
    <n v="15321.0706077138"/>
  </r>
  <r>
    <s v="32"/>
    <s v="32"/>
    <s v="Hemato-onkologická klinika"/>
    <x v="30"/>
    <s v="3221"/>
    <s v="ambulance"/>
    <s v="3221 - ambulance"/>
    <s v="50113001     léky - paušál+TISS (LEK)"/>
    <x v="3"/>
    <x v="2"/>
    <n v="4333.2626900000005"/>
    <n v="10102.99968178"/>
  </r>
  <r>
    <s v="32"/>
    <s v="32"/>
    <s v="Hemato-onkologická klinika"/>
    <x v="30"/>
    <s v="3221"/>
    <s v="ambulance"/>
    <s v="3221 - ambulance"/>
    <s v="50113007     léky - krev.deriváty ZUL (LEK)"/>
    <x v="45"/>
    <x v="2"/>
    <n v="47.499980000000001"/>
    <n v="0"/>
  </r>
  <r>
    <s v="32"/>
    <s v="32"/>
    <s v="Hemato-onkologická klinika"/>
    <x v="30"/>
    <s v="3221"/>
    <s v="ambulance"/>
    <s v="3221 - ambulance"/>
    <s v="50113008     léky - krev.deriváty ZUL (TO)"/>
    <x v="5"/>
    <x v="0"/>
    <n v="4309.0518000000029"/>
    <n v="2642.4699545885201"/>
  </r>
  <r>
    <s v="32"/>
    <s v="32"/>
    <s v="Hemato-onkologická klinika"/>
    <x v="30"/>
    <s v="3221"/>
    <s v="ambulance"/>
    <s v="3221 - ambulance"/>
    <s v="50113008     léky - krev.deriváty ZUL (TO)"/>
    <x v="5"/>
    <x v="1"/>
    <n v="5110.227520000004"/>
    <n v="5309.0378359001397"/>
  </r>
  <r>
    <s v="32"/>
    <s v="32"/>
    <s v="Hemato-onkologická klinika"/>
    <x v="30"/>
    <s v="3221"/>
    <s v="ambulance"/>
    <s v="3221 - ambulance"/>
    <s v="50113008     léky - krev.deriváty ZUL (TO)"/>
    <x v="5"/>
    <x v="2"/>
    <n v="3343.6577199999997"/>
    <n v="5239.1630847834904"/>
  </r>
  <r>
    <s v="32"/>
    <s v="32"/>
    <s v="Hemato-onkologická klinika"/>
    <x v="30"/>
    <s v="3221"/>
    <s v="ambulance"/>
    <s v="3221 - ambulance"/>
    <s v="50113011     léky - hemofilici ZUL (TO)"/>
    <x v="6"/>
    <x v="0"/>
    <n v="8630.8798400000105"/>
    <n v="9376.9284545361406"/>
  </r>
  <r>
    <s v="32"/>
    <s v="32"/>
    <s v="Hemato-onkologická klinika"/>
    <x v="30"/>
    <s v="3221"/>
    <s v="ambulance"/>
    <s v="3221 - ambulance"/>
    <s v="50113011     léky - hemofilici ZUL (TO)"/>
    <x v="6"/>
    <x v="1"/>
    <n v="8790.7787800000024"/>
    <n v="8630.9999999998508"/>
  </r>
  <r>
    <s v="32"/>
    <s v="32"/>
    <s v="Hemato-onkologická klinika"/>
    <x v="30"/>
    <s v="3221"/>
    <s v="ambulance"/>
    <s v="3221 - ambulance"/>
    <s v="50113011     léky - hemofilici ZUL (TO)"/>
    <x v="6"/>
    <x v="2"/>
    <n v="7512.2754800000002"/>
    <n v="8658.2415246725704"/>
  </r>
  <r>
    <s v="32"/>
    <s v="32"/>
    <s v="Hemato-onkologická klinika"/>
    <x v="30"/>
    <s v="3221"/>
    <s v="ambulance"/>
    <s v="3221 - ambulance"/>
    <s v="50113013     léky (paušál) - antibiotika (LEK)"/>
    <x v="7"/>
    <x v="0"/>
    <n v="1.32908"/>
    <n v="1.289326078335"/>
  </r>
  <r>
    <s v="32"/>
    <s v="32"/>
    <s v="Hemato-onkologická klinika"/>
    <x v="30"/>
    <s v="3221"/>
    <s v="ambulance"/>
    <s v="3221 - ambulance"/>
    <s v="50113013     léky (paušál) - antibiotika (LEK)"/>
    <x v="7"/>
    <x v="1"/>
    <n v="0.28966000000000003"/>
    <n v="1.3452395583750001"/>
  </r>
  <r>
    <s v="32"/>
    <s v="32"/>
    <s v="Hemato-onkologická klinika"/>
    <x v="30"/>
    <s v="3221"/>
    <s v="ambulance"/>
    <s v="3221 - ambulance"/>
    <s v="50113013     léky (paušál) - antibiotika (LEK)"/>
    <x v="7"/>
    <x v="2"/>
    <n v="0.57323000000000002"/>
    <n v="0.346913845557"/>
  </r>
  <r>
    <s v="32"/>
    <s v="32"/>
    <s v="Hemato-onkologická klinika"/>
    <x v="30"/>
    <s v="3221"/>
    <s v="ambulance"/>
    <s v="3221 - ambulance"/>
    <s v="50113014     léky (paušál) - antimykotika (LEK)"/>
    <x v="8"/>
    <x v="0"/>
    <n v="35.137160000000002"/>
    <n v="0"/>
  </r>
  <r>
    <s v="32"/>
    <s v="32"/>
    <s v="Hemato-onkologická klinika"/>
    <x v="30"/>
    <s v="3221"/>
    <s v="ambulance"/>
    <s v="3221 - ambulance"/>
    <s v="50113014     léky (paušál) - antimykotika (LEK)"/>
    <x v="8"/>
    <x v="1"/>
    <n v="0"/>
    <n v="35.189773348707"/>
  </r>
  <r>
    <s v="32"/>
    <s v="32"/>
    <s v="Hemato-onkologická klinika"/>
    <x v="30"/>
    <s v="3221"/>
    <s v="ambulance"/>
    <s v="3221 - ambulance"/>
    <s v="50113017     léky - dle §16 (LEK)"/>
    <x v="40"/>
    <x v="1"/>
    <n v="10306.816249999998"/>
    <n v="0"/>
  </r>
  <r>
    <s v="32"/>
    <s v="32"/>
    <s v="Hemato-onkologická klinika"/>
    <x v="30"/>
    <s v="3221"/>
    <s v="ambulance"/>
    <s v="3221 - ambulance"/>
    <s v="50113017     léky - dle §16 (LEK)"/>
    <x v="40"/>
    <x v="2"/>
    <n v="17354.190159999998"/>
    <n v="14528.2684945975"/>
  </r>
  <r>
    <s v="32"/>
    <s v="32"/>
    <s v="Hemato-onkologická klinika"/>
    <x v="30"/>
    <s v="3221"/>
    <s v="ambulance"/>
    <s v="3221 - ambulance"/>
    <s v="50113190     medicinální plyny"/>
    <x v="9"/>
    <x v="0"/>
    <n v="0.37030000000000002"/>
    <n v="0.38227969774800002"/>
  </r>
  <r>
    <s v="32"/>
    <s v="32"/>
    <s v="Hemato-onkologická klinika"/>
    <x v="30"/>
    <s v="3221"/>
    <s v="ambulance"/>
    <s v="3221 - ambulance"/>
    <s v="50113190     medicinální plyny"/>
    <x v="9"/>
    <x v="1"/>
    <n v="1.1109"/>
    <n v="0.35427385491300001"/>
  </r>
  <r>
    <s v="32"/>
    <s v="32"/>
    <s v="Hemato-onkologická klinika"/>
    <x v="30"/>
    <s v="3221"/>
    <s v="ambulance"/>
    <s v="3221 - ambulance"/>
    <s v="50113190     medicinální plyny"/>
    <x v="9"/>
    <x v="2"/>
    <n v="8.0442499999999999"/>
    <n v="1.703031414214"/>
  </r>
  <r>
    <s v="32"/>
    <s v="32"/>
    <s v="Hemato-onkologická klinika"/>
    <x v="30"/>
    <s v="3221"/>
    <s v="ambulance"/>
    <s v="3221 - ambulance"/>
    <s v="50115     Zdravotnické prostředky"/>
    <x v="0"/>
    <x v="0"/>
    <n v="858.08620999999891"/>
    <n v="837.80304548639799"/>
  </r>
  <r>
    <s v="32"/>
    <s v="32"/>
    <s v="Hemato-onkologická klinika"/>
    <x v="30"/>
    <s v="3221"/>
    <s v="ambulance"/>
    <s v="3221 - ambulance"/>
    <s v="50115     Zdravotnické prostředky"/>
    <x v="0"/>
    <x v="1"/>
    <n v="1101.6172600000002"/>
    <n v="1137.18661966684"/>
  </r>
  <r>
    <s v="32"/>
    <s v="32"/>
    <s v="Hemato-onkologická klinika"/>
    <x v="30"/>
    <s v="3221"/>
    <s v="ambulance"/>
    <s v="3221 - ambulance"/>
    <s v="50115     Zdravotnické prostředky"/>
    <x v="0"/>
    <x v="2"/>
    <n v="927.25302999999997"/>
    <n v="1168.51171477565"/>
  </r>
  <r>
    <s v="32"/>
    <s v="32"/>
    <s v="Hemato-onkologická klinika"/>
    <x v="30"/>
    <s v="3221"/>
    <s v="ambulance"/>
    <s v="3221 - ambulance"/>
    <s v="50115020     diagnostika laboratorní-LEK (sk.Z_501)"/>
    <x v="10"/>
    <x v="0"/>
    <n v="33.554049999998995"/>
    <n v="19.337498689061999"/>
  </r>
  <r>
    <s v="32"/>
    <s v="32"/>
    <s v="Hemato-onkologická klinika"/>
    <x v="30"/>
    <s v="3221"/>
    <s v="ambulance"/>
    <s v="3221 - ambulance"/>
    <s v="50115020     diagnostika laboratorní-LEK (sk.Z_501)"/>
    <x v="10"/>
    <x v="1"/>
    <n v="19.81129"/>
    <n v="53.55401943783"/>
  </r>
  <r>
    <s v="32"/>
    <s v="32"/>
    <s v="Hemato-onkologická klinika"/>
    <x v="30"/>
    <s v="3221"/>
    <s v="ambulance"/>
    <s v="3221 - ambulance"/>
    <s v="50115020     diagnostika laboratorní-LEK (sk.Z_501)"/>
    <x v="10"/>
    <x v="2"/>
    <n v="11.804510000000001"/>
    <n v="19.197822261393998"/>
  </r>
  <r>
    <s v="32"/>
    <s v="32"/>
    <s v="Hemato-onkologická klinika"/>
    <x v="30"/>
    <s v="3221"/>
    <s v="ambulance"/>
    <s v="3221 - ambulance"/>
    <s v="50115040     laboratorní materiál (sk.Z_505)"/>
    <x v="11"/>
    <x v="0"/>
    <n v="1.302"/>
    <n v="0.96990752671500002"/>
  </r>
  <r>
    <s v="32"/>
    <s v="32"/>
    <s v="Hemato-onkologická klinika"/>
    <x v="30"/>
    <s v="3221"/>
    <s v="ambulance"/>
    <s v="3221 - ambulance"/>
    <s v="50115040     laboratorní materiál (sk.Z_505)"/>
    <x v="11"/>
    <x v="1"/>
    <n v="2.3719000000000001"/>
    <n v="1.308840224324"/>
  </r>
  <r>
    <s v="32"/>
    <s v="32"/>
    <s v="Hemato-onkologická klinika"/>
    <x v="30"/>
    <s v="3221"/>
    <s v="ambulance"/>
    <s v="3221 - ambulance"/>
    <s v="50115040     laboratorní materiál (sk.Z_505)"/>
    <x v="11"/>
    <x v="2"/>
    <n v="1.3774900000000001"/>
    <n v="2.4908070471679999"/>
  </r>
  <r>
    <s v="32"/>
    <s v="32"/>
    <s v="Hemato-onkologická klinika"/>
    <x v="30"/>
    <s v="3221"/>
    <s v="ambulance"/>
    <s v="3221 - ambulance"/>
    <s v="50115050     obvazový materiál (sk.Z_502)"/>
    <x v="12"/>
    <x v="0"/>
    <n v="65.27891999999899"/>
    <n v="68.605745750780997"/>
  </r>
  <r>
    <s v="32"/>
    <s v="32"/>
    <s v="Hemato-onkologická klinika"/>
    <x v="30"/>
    <s v="3221"/>
    <s v="ambulance"/>
    <s v="3221 - ambulance"/>
    <s v="50115050     obvazový materiál (sk.Z_502)"/>
    <x v="12"/>
    <x v="1"/>
    <n v="90.166000000000011"/>
    <n v="66.427370854190997"/>
  </r>
  <r>
    <s v="32"/>
    <s v="32"/>
    <s v="Hemato-onkologická klinika"/>
    <x v="30"/>
    <s v="3221"/>
    <s v="ambulance"/>
    <s v="3221 - ambulance"/>
    <s v="50115050     obvazový materiál (sk.Z_502)"/>
    <x v="12"/>
    <x v="2"/>
    <n v="98.707130000000006"/>
    <n v="114.560147034865"/>
  </r>
  <r>
    <s v="32"/>
    <s v="32"/>
    <s v="Hemato-onkologická klinika"/>
    <x v="30"/>
    <s v="3221"/>
    <s v="ambulance"/>
    <s v="3221 - ambulance"/>
    <s v="50115060     ostatní ZPr - mimo níže uvedené (sk.Z_503)"/>
    <x v="1"/>
    <x v="0"/>
    <n v="274.97559000000001"/>
    <n v="258.61767722611398"/>
  </r>
  <r>
    <s v="32"/>
    <s v="32"/>
    <s v="Hemato-onkologická klinika"/>
    <x v="30"/>
    <s v="3221"/>
    <s v="ambulance"/>
    <s v="3221 - ambulance"/>
    <s v="50115060     ostatní ZPr - mimo níže uvedené (sk.Z_503)"/>
    <x v="1"/>
    <x v="1"/>
    <n v="368.31572999999997"/>
    <n v="481.99875096149702"/>
  </r>
  <r>
    <s v="32"/>
    <s v="32"/>
    <s v="Hemato-onkologická klinika"/>
    <x v="30"/>
    <s v="3221"/>
    <s v="ambulance"/>
    <s v="3221 - ambulance"/>
    <s v="50115060     ostatní ZPr - mimo níže uvedené (sk.Z_503)"/>
    <x v="1"/>
    <x v="2"/>
    <n v="317.74060999999995"/>
    <n v="394.94580801710202"/>
  </r>
  <r>
    <s v="32"/>
    <s v="32"/>
    <s v="Hemato-onkologická klinika"/>
    <x v="30"/>
    <s v="3221"/>
    <s v="ambulance"/>
    <s v="3221 - ambulance"/>
    <s v="50115063     ostatní ZPr - vaky, sety (sk.Z_528)"/>
    <x v="13"/>
    <x v="0"/>
    <n v="25.561900000000001"/>
    <n v="28.942037237261999"/>
  </r>
  <r>
    <s v="32"/>
    <s v="32"/>
    <s v="Hemato-onkologická klinika"/>
    <x v="30"/>
    <s v="3221"/>
    <s v="ambulance"/>
    <s v="3221 - ambulance"/>
    <s v="50115063     ostatní ZPr - vaky, sety (sk.Z_528)"/>
    <x v="13"/>
    <x v="1"/>
    <n v="28.021999999999998"/>
    <n v="25.041060280505999"/>
  </r>
  <r>
    <s v="32"/>
    <s v="32"/>
    <s v="Hemato-onkologická klinika"/>
    <x v="30"/>
    <s v="3221"/>
    <s v="ambulance"/>
    <s v="3221 - ambulance"/>
    <s v="50115063     ostatní ZPr - vaky, sety (sk.Z_528)"/>
    <x v="13"/>
    <x v="2"/>
    <n v="22.956900000000001"/>
    <n v="32.041294305920999"/>
  </r>
  <r>
    <s v="32"/>
    <s v="32"/>
    <s v="Hemato-onkologická klinika"/>
    <x v="30"/>
    <s v="3221"/>
    <s v="ambulance"/>
    <s v="3221 - ambulance"/>
    <s v="50115065     ostatní ZPr - vpichovací materiál (sk.Z_530)"/>
    <x v="14"/>
    <x v="0"/>
    <n v="426.06439999999998"/>
    <n v="434.21142737065497"/>
  </r>
  <r>
    <s v="32"/>
    <s v="32"/>
    <s v="Hemato-onkologická klinika"/>
    <x v="30"/>
    <s v="3221"/>
    <s v="ambulance"/>
    <s v="3221 - ambulance"/>
    <s v="50115065     ostatní ZPr - vpichovací materiál (sk.Z_530)"/>
    <x v="14"/>
    <x v="1"/>
    <n v="552.69870000000003"/>
    <n v="477.06361951472002"/>
  </r>
  <r>
    <s v="32"/>
    <s v="32"/>
    <s v="Hemato-onkologická klinika"/>
    <x v="30"/>
    <s v="3221"/>
    <s v="ambulance"/>
    <s v="3221 - ambulance"/>
    <s v="50115065     ostatní ZPr - vpichovací materiál (sk.Z_530)"/>
    <x v="14"/>
    <x v="2"/>
    <n v="443.38560000000001"/>
    <n v="563.403182817774"/>
  </r>
  <r>
    <s v="32"/>
    <s v="32"/>
    <s v="Hemato-onkologická klinika"/>
    <x v="30"/>
    <s v="3221"/>
    <s v="ambulance"/>
    <s v="3221 - ambulance"/>
    <s v="50115067     ostatní ZPr - rukavice (sk.Z_532)"/>
    <x v="15"/>
    <x v="0"/>
    <n v="31.349349999999998"/>
    <n v="27.118751685806"/>
  </r>
  <r>
    <s v="32"/>
    <s v="32"/>
    <s v="Hemato-onkologická klinika"/>
    <x v="30"/>
    <s v="3221"/>
    <s v="ambulance"/>
    <s v="3221 - ambulance"/>
    <s v="50115067     ostatní ZPr - rukavice (sk.Z_532)"/>
    <x v="15"/>
    <x v="1"/>
    <n v="40.231639999999999"/>
    <n v="31.792958393766"/>
  </r>
  <r>
    <s v="32"/>
    <s v="32"/>
    <s v="Hemato-onkologická klinika"/>
    <x v="30"/>
    <s v="3221"/>
    <s v="ambulance"/>
    <s v="3221 - ambulance"/>
    <s v="50115067     ostatní ZPr - rukavice (sk.Z_532)"/>
    <x v="15"/>
    <x v="2"/>
    <n v="31.249650000000003"/>
    <n v="41.872653291429003"/>
  </r>
  <r>
    <s v="32"/>
    <s v="32"/>
    <s v="Hemato-onkologická klinika"/>
    <x v="30"/>
    <s v="3221"/>
    <s v="ambulance"/>
    <s v="3221 - ambulance"/>
    <s v="50115079     ostatní ZPr - intenzivní péče (sk.Z_542)"/>
    <x v="18"/>
    <x v="2"/>
    <n v="3.1140000000000001E-2"/>
    <n v="0"/>
  </r>
  <r>
    <s v="32"/>
    <s v="32"/>
    <s v="Hemato-onkologická klinika"/>
    <x v="30"/>
    <s v="3231"/>
    <s v="JIP 5B"/>
    <s v="3231 - JIP 5B"/>
    <s v="50113     Léky a léčiva"/>
    <x v="2"/>
    <x v="0"/>
    <n v="21541.373830000008"/>
    <n v="20542.6136306675"/>
  </r>
  <r>
    <s v="32"/>
    <s v="32"/>
    <s v="Hemato-onkologická klinika"/>
    <x v="30"/>
    <s v="3231"/>
    <s v="JIP 5B"/>
    <s v="3231 - JIP 5B"/>
    <s v="50113     Léky a léčiva"/>
    <x v="2"/>
    <x v="1"/>
    <n v="25746.523800000006"/>
    <n v="25793.821964311599"/>
  </r>
  <r>
    <s v="32"/>
    <s v="32"/>
    <s v="Hemato-onkologická klinika"/>
    <x v="30"/>
    <s v="3231"/>
    <s v="JIP 5B"/>
    <s v="3231 - JIP 5B"/>
    <s v="50113     Léky a léčiva"/>
    <x v="2"/>
    <x v="2"/>
    <n v="14635.31294"/>
    <n v="24651.8382707132"/>
  </r>
  <r>
    <s v="32"/>
    <s v="32"/>
    <s v="Hemato-onkologická klinika"/>
    <x v="30"/>
    <s v="3231"/>
    <s v="JIP 5B"/>
    <s v="3231 - JIP 5B"/>
    <s v="50113001     léky - paušál+TISS (LEK)"/>
    <x v="3"/>
    <x v="0"/>
    <n v="8420.9657500000085"/>
    <n v="7762.2138705391199"/>
  </r>
  <r>
    <s v="32"/>
    <s v="32"/>
    <s v="Hemato-onkologická klinika"/>
    <x v="30"/>
    <s v="3231"/>
    <s v="JIP 5B"/>
    <s v="3231 - JIP 5B"/>
    <s v="50113001     léky - paušál+TISS (LEK)"/>
    <x v="3"/>
    <x v="1"/>
    <n v="9099.1369300000115"/>
    <n v="9149.7416907218594"/>
  </r>
  <r>
    <s v="32"/>
    <s v="32"/>
    <s v="Hemato-onkologická klinika"/>
    <x v="30"/>
    <s v="3231"/>
    <s v="JIP 5B"/>
    <s v="3231 - JIP 5B"/>
    <s v="50113001     léky - paušál+TISS (LEK)"/>
    <x v="3"/>
    <x v="2"/>
    <n v="6585.2446200000022"/>
    <n v="9173.9997110412296"/>
  </r>
  <r>
    <s v="32"/>
    <s v="32"/>
    <s v="Hemato-onkologická klinika"/>
    <x v="30"/>
    <s v="3231"/>
    <s v="JIP 5B"/>
    <s v="3231 - JIP 5B"/>
    <s v="50113002     léky - parenterální výživa (LEK)"/>
    <x v="17"/>
    <x v="2"/>
    <n v="291.43569000000002"/>
    <n v="190"/>
  </r>
  <r>
    <s v="32"/>
    <s v="32"/>
    <s v="Hemato-onkologická klinika"/>
    <x v="30"/>
    <s v="3231"/>
    <s v="JIP 5B"/>
    <s v="3231 - JIP 5B"/>
    <s v="50113006     léky - enterální výživa (LEK)"/>
    <x v="4"/>
    <x v="0"/>
    <n v="177.14239000000001"/>
    <n v="188.114230619604"/>
  </r>
  <r>
    <s v="32"/>
    <s v="32"/>
    <s v="Hemato-onkologická klinika"/>
    <x v="30"/>
    <s v="3231"/>
    <s v="JIP 5B"/>
    <s v="3231 - JIP 5B"/>
    <s v="50113006     léky - enterální výživa (LEK)"/>
    <x v="4"/>
    <x v="1"/>
    <n v="239.49269000000001"/>
    <n v="276.877736635931"/>
  </r>
  <r>
    <s v="32"/>
    <s v="32"/>
    <s v="Hemato-onkologická klinika"/>
    <x v="30"/>
    <s v="3231"/>
    <s v="JIP 5B"/>
    <s v="3231 - JIP 5B"/>
    <s v="50113006     léky - enterální výživa (LEK)"/>
    <x v="4"/>
    <x v="2"/>
    <n v="11.55708999999996"/>
    <n v="14"/>
  </r>
  <r>
    <s v="32"/>
    <s v="32"/>
    <s v="Hemato-onkologická klinika"/>
    <x v="30"/>
    <s v="3231"/>
    <s v="JIP 5B"/>
    <s v="3231 - JIP 5B"/>
    <s v="50113007     léky - krev.deriváty ZUL (LEK)"/>
    <x v="45"/>
    <x v="0"/>
    <n v="42.670200000000001"/>
    <n v="169.89808090673799"/>
  </r>
  <r>
    <s v="32"/>
    <s v="32"/>
    <s v="Hemato-onkologická klinika"/>
    <x v="30"/>
    <s v="3231"/>
    <s v="JIP 5B"/>
    <s v="3231 - JIP 5B"/>
    <s v="50113007     léky - krev.deriváty ZUL (LEK)"/>
    <x v="45"/>
    <x v="1"/>
    <n v="6.7259799999999998"/>
    <n v="41.569799464341997"/>
  </r>
  <r>
    <s v="32"/>
    <s v="32"/>
    <s v="Hemato-onkologická klinika"/>
    <x v="30"/>
    <s v="3231"/>
    <s v="JIP 5B"/>
    <s v="3231 - JIP 5B"/>
    <s v="50113007     léky - krev.deriváty ZUL (LEK)"/>
    <x v="45"/>
    <x v="2"/>
    <n v="0"/>
    <n v="14.340277326093"/>
  </r>
  <r>
    <s v="32"/>
    <s v="32"/>
    <s v="Hemato-onkologická klinika"/>
    <x v="30"/>
    <s v="3231"/>
    <s v="JIP 5B"/>
    <s v="3231 - JIP 5B"/>
    <s v="50113008     léky - krev.deriváty ZUL (TO)"/>
    <x v="5"/>
    <x v="0"/>
    <n v="2037.22855"/>
    <n v="2108.9678844055402"/>
  </r>
  <r>
    <s v="32"/>
    <s v="32"/>
    <s v="Hemato-onkologická klinika"/>
    <x v="30"/>
    <s v="3231"/>
    <s v="JIP 5B"/>
    <s v="3231 - JIP 5B"/>
    <s v="50113008     léky - krev.deriváty ZUL (TO)"/>
    <x v="5"/>
    <x v="1"/>
    <n v="4174.8122600000024"/>
    <n v="3037.0178862215298"/>
  </r>
  <r>
    <s v="32"/>
    <s v="32"/>
    <s v="Hemato-onkologická klinika"/>
    <x v="30"/>
    <s v="3231"/>
    <s v="JIP 5B"/>
    <s v="3231 - JIP 5B"/>
    <s v="50113008     léky - krev.deriváty ZUL (TO)"/>
    <x v="5"/>
    <x v="2"/>
    <n v="1952.3874700000001"/>
    <n v="3369.9400626296201"/>
  </r>
  <r>
    <s v="32"/>
    <s v="32"/>
    <s v="Hemato-onkologická klinika"/>
    <x v="30"/>
    <s v="3231"/>
    <s v="JIP 5B"/>
    <s v="3231 - JIP 5B"/>
    <s v="50113011     léky - hemofilici ZUL (TO)"/>
    <x v="6"/>
    <x v="0"/>
    <n v="174.39924000000002"/>
    <n v="62.034731475012002"/>
  </r>
  <r>
    <s v="32"/>
    <s v="32"/>
    <s v="Hemato-onkologická klinika"/>
    <x v="30"/>
    <s v="3231"/>
    <s v="JIP 5B"/>
    <s v="3231 - JIP 5B"/>
    <s v="50113011     léky - hemofilici ZUL (TO)"/>
    <x v="6"/>
    <x v="1"/>
    <n v="0"/>
    <n v="174.99999999999699"/>
  </r>
  <r>
    <s v="32"/>
    <s v="32"/>
    <s v="Hemato-onkologická klinika"/>
    <x v="30"/>
    <s v="3231"/>
    <s v="JIP 5B"/>
    <s v="3231 - JIP 5B"/>
    <s v="50113011     léky - hemofilici ZUL (TO)"/>
    <x v="6"/>
    <x v="2"/>
    <n v="72.295810000000003"/>
    <n v="0"/>
  </r>
  <r>
    <s v="32"/>
    <s v="32"/>
    <s v="Hemato-onkologická klinika"/>
    <x v="30"/>
    <s v="3231"/>
    <s v="JIP 5B"/>
    <s v="3231 - JIP 5B"/>
    <s v="50113013     léky (paušál) - antibiotika (LEK)"/>
    <x v="7"/>
    <x v="0"/>
    <n v="3372.6163500000011"/>
    <n v="3610.8844782593701"/>
  </r>
  <r>
    <s v="32"/>
    <s v="32"/>
    <s v="Hemato-onkologická klinika"/>
    <x v="30"/>
    <s v="3231"/>
    <s v="JIP 5B"/>
    <s v="3231 - JIP 5B"/>
    <s v="50113013     léky (paušál) - antibiotika (LEK)"/>
    <x v="7"/>
    <x v="1"/>
    <n v="2727.8427800000013"/>
    <n v="3254.6013367345799"/>
  </r>
  <r>
    <s v="32"/>
    <s v="32"/>
    <s v="Hemato-onkologická klinika"/>
    <x v="30"/>
    <s v="3231"/>
    <s v="JIP 5B"/>
    <s v="3231 - JIP 5B"/>
    <s v="50113013     léky (paušál) - antibiotika (LEK)"/>
    <x v="7"/>
    <x v="2"/>
    <n v="1324.0578400000009"/>
    <n v="2834.99991070437"/>
  </r>
  <r>
    <s v="32"/>
    <s v="32"/>
    <s v="Hemato-onkologická klinika"/>
    <x v="30"/>
    <s v="3231"/>
    <s v="JIP 5B"/>
    <s v="3231 - JIP 5B"/>
    <s v="50113014     léky (paušál) - antimykotika (LEK)"/>
    <x v="8"/>
    <x v="0"/>
    <n v="7285.8594300000041"/>
    <n v="6606.50772441156"/>
  </r>
  <r>
    <s v="32"/>
    <s v="32"/>
    <s v="Hemato-onkologická klinika"/>
    <x v="30"/>
    <s v="3231"/>
    <s v="JIP 5B"/>
    <s v="3231 - JIP 5B"/>
    <s v="50113014     léky (paušál) - antimykotika (LEK)"/>
    <x v="8"/>
    <x v="1"/>
    <n v="9064.4517400000022"/>
    <n v="9829.8412486891993"/>
  </r>
  <r>
    <s v="32"/>
    <s v="32"/>
    <s v="Hemato-onkologická klinika"/>
    <x v="30"/>
    <s v="3231"/>
    <s v="JIP 5B"/>
    <s v="3231 - JIP 5B"/>
    <s v="50113014     léky (paušál) - antimykotika (LEK)"/>
    <x v="8"/>
    <x v="2"/>
    <n v="3457.8024900000009"/>
    <n v="9022.9997157973703"/>
  </r>
  <r>
    <s v="32"/>
    <s v="32"/>
    <s v="Hemato-onkologická klinika"/>
    <x v="30"/>
    <s v="3231"/>
    <s v="JIP 5B"/>
    <s v="3231 - JIP 5B"/>
    <s v="50113017     léky - dle §16 (LEK)"/>
    <x v="40"/>
    <x v="1"/>
    <n v="403.39895999999999"/>
    <n v="0"/>
  </r>
  <r>
    <s v="32"/>
    <s v="32"/>
    <s v="Hemato-onkologická klinika"/>
    <x v="30"/>
    <s v="3231"/>
    <s v="JIP 5B"/>
    <s v="3231 - JIP 5B"/>
    <s v="50113017     léky - dle §16 (LEK)"/>
    <x v="40"/>
    <x v="2"/>
    <n v="918.64250000000004"/>
    <n v="0"/>
  </r>
  <r>
    <s v="32"/>
    <s v="32"/>
    <s v="Hemato-onkologická klinika"/>
    <x v="30"/>
    <s v="3231"/>
    <s v="JIP 5B"/>
    <s v="3231 - JIP 5B"/>
    <s v="50113190     medicinální plyny"/>
    <x v="9"/>
    <x v="0"/>
    <n v="30.49192"/>
    <n v="33.992630050552002"/>
  </r>
  <r>
    <s v="32"/>
    <s v="32"/>
    <s v="Hemato-onkologická klinika"/>
    <x v="30"/>
    <s v="3231"/>
    <s v="JIP 5B"/>
    <s v="3231 - JIP 5B"/>
    <s v="50113190     medicinální plyny"/>
    <x v="9"/>
    <x v="1"/>
    <n v="30.662459999999999"/>
    <n v="29.172265844182999"/>
  </r>
  <r>
    <s v="32"/>
    <s v="32"/>
    <s v="Hemato-onkologická klinika"/>
    <x v="30"/>
    <s v="3231"/>
    <s v="JIP 5B"/>
    <s v="3231 - JIP 5B"/>
    <s v="50113190     medicinální plyny"/>
    <x v="9"/>
    <x v="2"/>
    <n v="21.889429999999997"/>
    <n v="31.558593214504999"/>
  </r>
  <r>
    <s v="32"/>
    <s v="32"/>
    <s v="Hemato-onkologická klinika"/>
    <x v="30"/>
    <s v="3231"/>
    <s v="JIP 5B"/>
    <s v="3231 - JIP 5B"/>
    <s v="50115     Zdravotnické prostředky"/>
    <x v="0"/>
    <x v="0"/>
    <n v="1605.3589500000014"/>
    <n v="1702.56182525791"/>
  </r>
  <r>
    <s v="32"/>
    <s v="32"/>
    <s v="Hemato-onkologická klinika"/>
    <x v="30"/>
    <s v="3231"/>
    <s v="JIP 5B"/>
    <s v="3231 - JIP 5B"/>
    <s v="50115     Zdravotnické prostředky"/>
    <x v="0"/>
    <x v="1"/>
    <n v="1706.965910000001"/>
    <n v="1832.91927963086"/>
  </r>
  <r>
    <s v="32"/>
    <s v="32"/>
    <s v="Hemato-onkologická klinika"/>
    <x v="30"/>
    <s v="3231"/>
    <s v="JIP 5B"/>
    <s v="3231 - JIP 5B"/>
    <s v="50115     Zdravotnické prostředky"/>
    <x v="0"/>
    <x v="2"/>
    <n v="1229.1843699999999"/>
    <n v="1710.3624872707801"/>
  </r>
  <r>
    <s v="32"/>
    <s v="32"/>
    <s v="Hemato-onkologická klinika"/>
    <x v="30"/>
    <s v="3231"/>
    <s v="JIP 5B"/>
    <s v="3231 - JIP 5B"/>
    <s v="50115020     diagnostika laboratorní-LEK (sk.Z_501)"/>
    <x v="10"/>
    <x v="0"/>
    <n v="152.15328"/>
    <n v="157.56042131344901"/>
  </r>
  <r>
    <s v="32"/>
    <s v="32"/>
    <s v="Hemato-onkologická klinika"/>
    <x v="30"/>
    <s v="3231"/>
    <s v="JIP 5B"/>
    <s v="3231 - JIP 5B"/>
    <s v="50115020     diagnostika laboratorní-LEK (sk.Z_501)"/>
    <x v="10"/>
    <x v="1"/>
    <n v="123.33416"/>
    <n v="152.15311884657601"/>
  </r>
  <r>
    <s v="32"/>
    <s v="32"/>
    <s v="Hemato-onkologická klinika"/>
    <x v="30"/>
    <s v="3231"/>
    <s v="JIP 5B"/>
    <s v="3231 - JIP 5B"/>
    <s v="50115020     diagnostika laboratorní-LEK (sk.Z_501)"/>
    <x v="10"/>
    <x v="2"/>
    <n v="74.702790000000007"/>
    <n v="113.894145249291"/>
  </r>
  <r>
    <s v="32"/>
    <s v="32"/>
    <s v="Hemato-onkologická klinika"/>
    <x v="30"/>
    <s v="3231"/>
    <s v="JIP 5B"/>
    <s v="3231 - JIP 5B"/>
    <s v="50115040     laboratorní materiál (sk.Z_505)"/>
    <x v="11"/>
    <x v="0"/>
    <n v="0.57950000000000002"/>
    <n v="0.77820149422200002"/>
  </r>
  <r>
    <s v="32"/>
    <s v="32"/>
    <s v="Hemato-onkologická klinika"/>
    <x v="30"/>
    <s v="3231"/>
    <s v="JIP 5B"/>
    <s v="3231 - JIP 5B"/>
    <s v="50115040     laboratorní materiál (sk.Z_505)"/>
    <x v="11"/>
    <x v="1"/>
    <n v="2.4885000000000002"/>
    <n v="0.582544477723"/>
  </r>
  <r>
    <s v="32"/>
    <s v="32"/>
    <s v="Hemato-onkologická klinika"/>
    <x v="30"/>
    <s v="3231"/>
    <s v="JIP 5B"/>
    <s v="3231 - JIP 5B"/>
    <s v="50115040     laboratorní materiál (sk.Z_505)"/>
    <x v="11"/>
    <x v="2"/>
    <n v="0.43662999999999996"/>
    <n v="2.2683325759309998"/>
  </r>
  <r>
    <s v="32"/>
    <s v="32"/>
    <s v="Hemato-onkologická klinika"/>
    <x v="30"/>
    <s v="3231"/>
    <s v="JIP 5B"/>
    <s v="3231 - JIP 5B"/>
    <s v="50115050     obvazový materiál (sk.Z_502)"/>
    <x v="12"/>
    <x v="0"/>
    <n v="160.22631999999999"/>
    <n v="132.801036904906"/>
  </r>
  <r>
    <s v="32"/>
    <s v="32"/>
    <s v="Hemato-onkologická klinika"/>
    <x v="30"/>
    <s v="3231"/>
    <s v="JIP 5B"/>
    <s v="3231 - JIP 5B"/>
    <s v="50115050     obvazový materiál (sk.Z_502)"/>
    <x v="12"/>
    <x v="1"/>
    <n v="234.59773999999999"/>
    <n v="163.59069043562201"/>
  </r>
  <r>
    <s v="32"/>
    <s v="32"/>
    <s v="Hemato-onkologická klinika"/>
    <x v="30"/>
    <s v="3231"/>
    <s v="JIP 5B"/>
    <s v="3231 - JIP 5B"/>
    <s v="50115050     obvazový materiál (sk.Z_502)"/>
    <x v="12"/>
    <x v="2"/>
    <n v="195.76211000000001"/>
    <n v="249.03201388669601"/>
  </r>
  <r>
    <s v="32"/>
    <s v="32"/>
    <s v="Hemato-onkologická klinika"/>
    <x v="30"/>
    <s v="3231"/>
    <s v="JIP 5B"/>
    <s v="3231 - JIP 5B"/>
    <s v="50115060     ostatní ZPr - mimo níže uvedené (sk.Z_503)"/>
    <x v="1"/>
    <x v="0"/>
    <n v="488.19613999999899"/>
    <n v="593.69182173613899"/>
  </r>
  <r>
    <s v="32"/>
    <s v="32"/>
    <s v="Hemato-onkologická klinika"/>
    <x v="30"/>
    <s v="3231"/>
    <s v="JIP 5B"/>
    <s v="3231 - JIP 5B"/>
    <s v="50115060     ostatní ZPr - mimo níže uvedené (sk.Z_503)"/>
    <x v="1"/>
    <x v="1"/>
    <n v="485.79879"/>
    <n v="710.997514668284"/>
  </r>
  <r>
    <s v="32"/>
    <s v="32"/>
    <s v="Hemato-onkologická klinika"/>
    <x v="30"/>
    <s v="3231"/>
    <s v="JIP 5B"/>
    <s v="3231 - JIP 5B"/>
    <s v="50115060     ostatní ZPr - mimo níže uvedené (sk.Z_503)"/>
    <x v="1"/>
    <x v="2"/>
    <n v="399.34928000000002"/>
    <n v="512.21322455055997"/>
  </r>
  <r>
    <s v="32"/>
    <s v="32"/>
    <s v="Hemato-onkologická klinika"/>
    <x v="30"/>
    <s v="3231"/>
    <s v="JIP 5B"/>
    <s v="3231 - JIP 5B"/>
    <s v="50115063     ostatní ZPr - vaky, sety (sk.Z_528)"/>
    <x v="13"/>
    <x v="0"/>
    <n v="252.90407999999999"/>
    <n v="223.59982067924"/>
  </r>
  <r>
    <s v="32"/>
    <s v="32"/>
    <s v="Hemato-onkologická klinika"/>
    <x v="30"/>
    <s v="3231"/>
    <s v="JIP 5B"/>
    <s v="3231 - JIP 5B"/>
    <s v="50115063     ostatní ZPr - vaky, sety (sk.Z_528)"/>
    <x v="13"/>
    <x v="1"/>
    <n v="261.55243000000002"/>
    <n v="243.75101284583701"/>
  </r>
  <r>
    <s v="32"/>
    <s v="32"/>
    <s v="Hemato-onkologická klinika"/>
    <x v="30"/>
    <s v="3231"/>
    <s v="JIP 5B"/>
    <s v="3231 - JIP 5B"/>
    <s v="50115063     ostatní ZPr - vaky, sety (sk.Z_528)"/>
    <x v="13"/>
    <x v="2"/>
    <n v="82.877300000000005"/>
    <n v="279.30005244236401"/>
  </r>
  <r>
    <s v="32"/>
    <s v="32"/>
    <s v="Hemato-onkologická klinika"/>
    <x v="30"/>
    <s v="3231"/>
    <s v="JIP 5B"/>
    <s v="3231 - JIP 5B"/>
    <s v="50115064     ostatní ZPr - šicí materiál (sk.Z_529)"/>
    <x v="21"/>
    <x v="0"/>
    <n v="14.08065"/>
    <n v="12.131324538765"/>
  </r>
  <r>
    <s v="32"/>
    <s v="32"/>
    <s v="Hemato-onkologická klinika"/>
    <x v="30"/>
    <s v="3231"/>
    <s v="JIP 5B"/>
    <s v="3231 - JIP 5B"/>
    <s v="50115064     ostatní ZPr - šicí materiál (sk.Z_529)"/>
    <x v="21"/>
    <x v="1"/>
    <n v="16.33812"/>
    <n v="14.804931050047999"/>
  </r>
  <r>
    <s v="32"/>
    <s v="32"/>
    <s v="Hemato-onkologická klinika"/>
    <x v="30"/>
    <s v="3231"/>
    <s v="JIP 5B"/>
    <s v="3231 - JIP 5B"/>
    <s v="50115064     ostatní ZPr - šicí materiál (sk.Z_529)"/>
    <x v="21"/>
    <x v="2"/>
    <n v="3.9541599999999999"/>
    <n v="10.351115537057"/>
  </r>
  <r>
    <s v="32"/>
    <s v="32"/>
    <s v="Hemato-onkologická klinika"/>
    <x v="30"/>
    <s v="3231"/>
    <s v="JIP 5B"/>
    <s v="3231 - JIP 5B"/>
    <s v="50115065     ostatní ZPr - vpichovací materiál (sk.Z_530)"/>
    <x v="14"/>
    <x v="0"/>
    <n v="104.193629999999"/>
    <n v="106.196015097768"/>
  </r>
  <r>
    <s v="32"/>
    <s v="32"/>
    <s v="Hemato-onkologická klinika"/>
    <x v="30"/>
    <s v="3231"/>
    <s v="JIP 5B"/>
    <s v="3231 - JIP 5B"/>
    <s v="50115065     ostatní ZPr - vpichovací materiál (sk.Z_530)"/>
    <x v="14"/>
    <x v="1"/>
    <n v="98.677120000000016"/>
    <n v="101.883479076464"/>
  </r>
  <r>
    <s v="32"/>
    <s v="32"/>
    <s v="Hemato-onkologická klinika"/>
    <x v="30"/>
    <s v="3231"/>
    <s v="JIP 5B"/>
    <s v="3231 - JIP 5B"/>
    <s v="50115065     ostatní ZPr - vpichovací materiál (sk.Z_530)"/>
    <x v="14"/>
    <x v="2"/>
    <n v="108.39144"/>
    <n v="76.465524019865995"/>
  </r>
  <r>
    <s v="32"/>
    <s v="32"/>
    <s v="Hemato-onkologická klinika"/>
    <x v="30"/>
    <s v="3231"/>
    <s v="JIP 5B"/>
    <s v="3231 - JIP 5B"/>
    <s v="50115067     ostatní ZPr - rukavice (sk.Z_532)"/>
    <x v="15"/>
    <x v="0"/>
    <n v="80.017999999998978"/>
    <n v="64.219974984101995"/>
  </r>
  <r>
    <s v="32"/>
    <s v="32"/>
    <s v="Hemato-onkologická klinika"/>
    <x v="30"/>
    <s v="3231"/>
    <s v="JIP 5B"/>
    <s v="3231 - JIP 5B"/>
    <s v="50115067     ostatní ZPr - rukavice (sk.Z_532)"/>
    <x v="15"/>
    <x v="1"/>
    <n v="98.823839999999976"/>
    <n v="92.150296988950004"/>
  </r>
  <r>
    <s v="32"/>
    <s v="32"/>
    <s v="Hemato-onkologická klinika"/>
    <x v="30"/>
    <s v="3231"/>
    <s v="JIP 5B"/>
    <s v="3231 - JIP 5B"/>
    <s v="50115067     ostatní ZPr - rukavice (sk.Z_532)"/>
    <x v="15"/>
    <x v="2"/>
    <n v="87.110500000000002"/>
    <n v="99.653105600634007"/>
  </r>
  <r>
    <s v="32"/>
    <s v="32"/>
    <s v="Hemato-onkologická klinika"/>
    <x v="30"/>
    <s v="3231"/>
    <s v="JIP 5B"/>
    <s v="3231 - JIP 5B"/>
    <s v="50115070     ostatní ZPr - katetry (sk.Z_513)"/>
    <x v="16"/>
    <x v="0"/>
    <n v="353.00735000000003"/>
    <n v="411.58320850931898"/>
  </r>
  <r>
    <s v="32"/>
    <s v="32"/>
    <s v="Hemato-onkologická klinika"/>
    <x v="30"/>
    <s v="3231"/>
    <s v="JIP 5B"/>
    <s v="3231 - JIP 5B"/>
    <s v="50115070     ostatní ZPr - katetry (sk.Z_513)"/>
    <x v="16"/>
    <x v="1"/>
    <n v="385.35520999999994"/>
    <n v="353.005691241352"/>
  </r>
  <r>
    <s v="32"/>
    <s v="32"/>
    <s v="Hemato-onkologická klinika"/>
    <x v="30"/>
    <s v="3231"/>
    <s v="JIP 5B"/>
    <s v="3231 - JIP 5B"/>
    <s v="50115070     ostatní ZPr - katetry (sk.Z_513)"/>
    <x v="16"/>
    <x v="2"/>
    <n v="275.24328000000003"/>
    <n v="367.18497340837598"/>
  </r>
  <r>
    <s v="32"/>
    <s v="32"/>
    <s v="Hemato-onkologická klinika"/>
    <x v="30"/>
    <s v="3231"/>
    <s v="JIP 5B"/>
    <s v="3231 - JIP 5B"/>
    <s v="50115079     ostatní ZPr - intenzivní péče (sk.Z_542)"/>
    <x v="18"/>
    <x v="2"/>
    <n v="1.3568800000000001"/>
    <n v="0"/>
  </r>
  <r>
    <s v="32"/>
    <s v="32"/>
    <s v="Hemato-onkologická klinika"/>
    <x v="30"/>
    <s v="3232"/>
    <s v="JIP 5C"/>
    <s v="3232 - JIP 5C"/>
    <s v="50113     Léky a léčiva"/>
    <x v="2"/>
    <x v="0"/>
    <n v="23874.711730000021"/>
    <n v="18311.368588765101"/>
  </r>
  <r>
    <s v="32"/>
    <s v="32"/>
    <s v="Hemato-onkologická klinika"/>
    <x v="30"/>
    <s v="3232"/>
    <s v="JIP 5C"/>
    <s v="3232 - JIP 5C"/>
    <s v="50113     Léky a léčiva"/>
    <x v="2"/>
    <x v="1"/>
    <n v="33725.512330000012"/>
    <n v="30047.308633836601"/>
  </r>
  <r>
    <s v="32"/>
    <s v="32"/>
    <s v="Hemato-onkologická klinika"/>
    <x v="30"/>
    <s v="3232"/>
    <s v="JIP 5C"/>
    <s v="3232 - JIP 5C"/>
    <s v="50113     Léky a léčiva"/>
    <x v="2"/>
    <x v="2"/>
    <n v="19501.540540000002"/>
    <n v="34265.169087506401"/>
  </r>
  <r>
    <s v="32"/>
    <s v="32"/>
    <s v="Hemato-onkologická klinika"/>
    <x v="30"/>
    <s v="3232"/>
    <s v="JIP 5C"/>
    <s v="3232 - JIP 5C"/>
    <s v="50113001     léky - paušál+TISS (LEK)"/>
    <x v="3"/>
    <x v="0"/>
    <n v="12755.065070000008"/>
    <n v="8581.4575509344395"/>
  </r>
  <r>
    <s v="32"/>
    <s v="32"/>
    <s v="Hemato-onkologická klinika"/>
    <x v="30"/>
    <s v="3232"/>
    <s v="JIP 5C"/>
    <s v="3232 - JIP 5C"/>
    <s v="50113001     léky - paušál+TISS (LEK)"/>
    <x v="3"/>
    <x v="1"/>
    <n v="10336.839440000003"/>
    <n v="16412.8716409021"/>
  </r>
  <r>
    <s v="32"/>
    <s v="32"/>
    <s v="Hemato-onkologická klinika"/>
    <x v="30"/>
    <s v="3232"/>
    <s v="JIP 5C"/>
    <s v="3232 - JIP 5C"/>
    <s v="50113001     léky - paušál+TISS (LEK)"/>
    <x v="3"/>
    <x v="2"/>
    <n v="8882.6333900000027"/>
    <n v="10340.232465478501"/>
  </r>
  <r>
    <s v="32"/>
    <s v="32"/>
    <s v="Hemato-onkologická klinika"/>
    <x v="30"/>
    <s v="3232"/>
    <s v="JIP 5C"/>
    <s v="3232 - JIP 5C"/>
    <s v="50113002     léky - parenterální výživa (LEK)"/>
    <x v="17"/>
    <x v="2"/>
    <n v="417.37033000000002"/>
    <n v="399"/>
  </r>
  <r>
    <s v="32"/>
    <s v="32"/>
    <s v="Hemato-onkologická klinika"/>
    <x v="30"/>
    <s v="3232"/>
    <s v="JIP 5C"/>
    <s v="3232 - JIP 5C"/>
    <s v="50113006     léky - enterální výživa (LEK)"/>
    <x v="4"/>
    <x v="0"/>
    <n v="279.88780000000003"/>
    <n v="282.084313121798"/>
  </r>
  <r>
    <s v="32"/>
    <s v="32"/>
    <s v="Hemato-onkologická klinika"/>
    <x v="30"/>
    <s v="3232"/>
    <s v="JIP 5C"/>
    <s v="3232 - JIP 5C"/>
    <s v="50113006     léky - enterální výživa (LEK)"/>
    <x v="4"/>
    <x v="1"/>
    <n v="365.82162000000005"/>
    <n v="379.46964346597099"/>
  </r>
  <r>
    <s v="32"/>
    <s v="32"/>
    <s v="Hemato-onkologická klinika"/>
    <x v="30"/>
    <s v="3232"/>
    <s v="JIP 5C"/>
    <s v="3232 - JIP 5C"/>
    <s v="50113006     léky - enterální výživa (LEK)"/>
    <x v="4"/>
    <x v="2"/>
    <n v="8.6031199999999899"/>
    <n v="10"/>
  </r>
  <r>
    <s v="32"/>
    <s v="32"/>
    <s v="Hemato-onkologická klinika"/>
    <x v="30"/>
    <s v="3232"/>
    <s v="JIP 5C"/>
    <s v="3232 - JIP 5C"/>
    <s v="50113007     léky - krev.deriváty ZUL (LEK)"/>
    <x v="45"/>
    <x v="0"/>
    <n v="72.26867"/>
    <n v="93.733709948222"/>
  </r>
  <r>
    <s v="32"/>
    <s v="32"/>
    <s v="Hemato-onkologická klinika"/>
    <x v="30"/>
    <s v="3232"/>
    <s v="JIP 5C"/>
    <s v="3232 - JIP 5C"/>
    <s v="50113007     léky - krev.deriváty ZUL (LEK)"/>
    <x v="45"/>
    <x v="1"/>
    <n v="0"/>
    <n v="70.404969263203"/>
  </r>
  <r>
    <s v="32"/>
    <s v="32"/>
    <s v="Hemato-onkologická klinika"/>
    <x v="30"/>
    <s v="3232"/>
    <s v="JIP 5C"/>
    <s v="3232 - JIP 5C"/>
    <s v="50113007     léky - krev.deriváty ZUL (LEK)"/>
    <x v="45"/>
    <x v="2"/>
    <n v="6"/>
    <n v="0"/>
  </r>
  <r>
    <s v="32"/>
    <s v="32"/>
    <s v="Hemato-onkologická klinika"/>
    <x v="30"/>
    <s v="3232"/>
    <s v="JIP 5C"/>
    <s v="3232 - JIP 5C"/>
    <s v="50113008     léky - krev.deriváty ZUL (TO)"/>
    <x v="5"/>
    <x v="0"/>
    <n v="5276.4045600000036"/>
    <n v="3265.4361088045298"/>
  </r>
  <r>
    <s v="32"/>
    <s v="32"/>
    <s v="Hemato-onkologická klinika"/>
    <x v="30"/>
    <s v="3232"/>
    <s v="JIP 5C"/>
    <s v="3232 - JIP 5C"/>
    <s v="50113008     léky - krev.deriváty ZUL (TO)"/>
    <x v="5"/>
    <x v="1"/>
    <n v="10537.905660000002"/>
    <n v="6276.0463268064796"/>
  </r>
  <r>
    <s v="32"/>
    <s v="32"/>
    <s v="Hemato-onkologická klinika"/>
    <x v="30"/>
    <s v="3232"/>
    <s v="JIP 5C"/>
    <s v="3232 - JIP 5C"/>
    <s v="50113008     léky - krev.deriváty ZUL (TO)"/>
    <x v="5"/>
    <x v="2"/>
    <n v="4758.1955000000007"/>
    <n v="11512.6758186639"/>
  </r>
  <r>
    <s v="32"/>
    <s v="32"/>
    <s v="Hemato-onkologická klinika"/>
    <x v="30"/>
    <s v="3232"/>
    <s v="JIP 5C"/>
    <s v="3232 - JIP 5C"/>
    <s v="50113013     léky (paušál) - antibiotika (LEK)"/>
    <x v="7"/>
    <x v="0"/>
    <n v="1679.6076200000011"/>
    <n v="1825.20216744255"/>
  </r>
  <r>
    <s v="32"/>
    <s v="32"/>
    <s v="Hemato-onkologická klinika"/>
    <x v="30"/>
    <s v="3232"/>
    <s v="JIP 5C"/>
    <s v="3232 - JIP 5C"/>
    <s v="50113013     léky (paušál) - antibiotika (LEK)"/>
    <x v="7"/>
    <x v="1"/>
    <n v="1695.0310399999998"/>
    <n v="1737.8954117149101"/>
  </r>
  <r>
    <s v="32"/>
    <s v="32"/>
    <s v="Hemato-onkologická klinika"/>
    <x v="30"/>
    <s v="3232"/>
    <s v="JIP 5C"/>
    <s v="3232 - JIP 5C"/>
    <s v="50113013     léky (paušál) - antibiotika (LEK)"/>
    <x v="7"/>
    <x v="2"/>
    <n v="1163.9654799999998"/>
    <n v="1756.9999446587599"/>
  </r>
  <r>
    <s v="32"/>
    <s v="32"/>
    <s v="Hemato-onkologická klinika"/>
    <x v="30"/>
    <s v="3232"/>
    <s v="JIP 5C"/>
    <s v="3232 - JIP 5C"/>
    <s v="50113014     léky (paušál) - antimykotika (LEK)"/>
    <x v="8"/>
    <x v="0"/>
    <n v="3811.4780100000035"/>
    <n v="4260.5661253109201"/>
  </r>
  <r>
    <s v="32"/>
    <s v="32"/>
    <s v="Hemato-onkologická klinika"/>
    <x v="30"/>
    <s v="3232"/>
    <s v="JIP 5C"/>
    <s v="3232 - JIP 5C"/>
    <s v="50113014     léky (paušál) - antimykotika (LEK)"/>
    <x v="8"/>
    <x v="1"/>
    <n v="6122.6150100000004"/>
    <n v="5170.6206416839004"/>
  </r>
  <r>
    <s v="32"/>
    <s v="32"/>
    <s v="Hemato-onkologická klinika"/>
    <x v="30"/>
    <s v="3232"/>
    <s v="JIP 5C"/>
    <s v="3232 - JIP 5C"/>
    <s v="50113014     léky (paušál) - antimykotika (LEK)"/>
    <x v="8"/>
    <x v="2"/>
    <n v="4264.7727200000018"/>
    <n v="6461.99979646266"/>
  </r>
  <r>
    <s v="32"/>
    <s v="32"/>
    <s v="Hemato-onkologická klinika"/>
    <x v="30"/>
    <s v="3232"/>
    <s v="JIP 5C"/>
    <s v="3232 - JIP 5C"/>
    <s v="50113017     léky - dle §16 (LEK)"/>
    <x v="40"/>
    <x v="1"/>
    <n v="4667.2995600000004"/>
    <n v="0"/>
  </r>
  <r>
    <s v="32"/>
    <s v="32"/>
    <s v="Hemato-onkologická klinika"/>
    <x v="30"/>
    <s v="3232"/>
    <s v="JIP 5C"/>
    <s v="3232 - JIP 5C"/>
    <s v="50113017     léky - dle §16 (LEK)"/>
    <x v="40"/>
    <x v="2"/>
    <n v="0"/>
    <n v="3784.26106224253"/>
  </r>
  <r>
    <s v="32"/>
    <s v="32"/>
    <s v="Hemato-onkologická klinika"/>
    <x v="30"/>
    <s v="3232"/>
    <s v="JIP 5C"/>
    <s v="3232 - JIP 5C"/>
    <s v="50113190     medicinální plyny"/>
    <x v="9"/>
    <x v="0"/>
    <n v="0"/>
    <n v="2.8886132026450002"/>
  </r>
  <r>
    <s v="32"/>
    <s v="32"/>
    <s v="Hemato-onkologická klinika"/>
    <x v="30"/>
    <s v="3232"/>
    <s v="JIP 5C"/>
    <s v="3232 - JIP 5C"/>
    <s v="50115     Zdravotnické prostředky"/>
    <x v="0"/>
    <x v="0"/>
    <n v="1605.6850200000008"/>
    <n v="1801.3239989747999"/>
  </r>
  <r>
    <s v="32"/>
    <s v="32"/>
    <s v="Hemato-onkologická klinika"/>
    <x v="30"/>
    <s v="3232"/>
    <s v="JIP 5C"/>
    <s v="3232 - JIP 5C"/>
    <s v="50115     Zdravotnické prostředky"/>
    <x v="0"/>
    <x v="1"/>
    <n v="1308.358500000001"/>
    <n v="1694.9115808576601"/>
  </r>
  <r>
    <s v="32"/>
    <s v="32"/>
    <s v="Hemato-onkologická klinika"/>
    <x v="30"/>
    <s v="3232"/>
    <s v="JIP 5C"/>
    <s v="3232 - JIP 5C"/>
    <s v="50115     Zdravotnické prostředky"/>
    <x v="0"/>
    <x v="2"/>
    <n v="1036.43004"/>
    <n v="1430.86039173583"/>
  </r>
  <r>
    <s v="32"/>
    <s v="32"/>
    <s v="Hemato-onkologická klinika"/>
    <x v="30"/>
    <s v="3232"/>
    <s v="JIP 5C"/>
    <s v="3232 - JIP 5C"/>
    <s v="50115020     diagnostika laboratorní-LEK (sk.Z_501)"/>
    <x v="10"/>
    <x v="0"/>
    <n v="314.41978999999998"/>
    <n v="409.14246470003002"/>
  </r>
  <r>
    <s v="32"/>
    <s v="32"/>
    <s v="Hemato-onkologická klinika"/>
    <x v="30"/>
    <s v="3232"/>
    <s v="JIP 5C"/>
    <s v="3232 - JIP 5C"/>
    <s v="50115020     diagnostika laboratorní-LEK (sk.Z_501)"/>
    <x v="10"/>
    <x v="1"/>
    <n v="77.67640999999999"/>
    <n v="282.41954987943501"/>
  </r>
  <r>
    <s v="32"/>
    <s v="32"/>
    <s v="Hemato-onkologická klinika"/>
    <x v="30"/>
    <s v="3232"/>
    <s v="JIP 5C"/>
    <s v="3232 - JIP 5C"/>
    <s v="50115020     diagnostika laboratorní-LEK (sk.Z_501)"/>
    <x v="10"/>
    <x v="2"/>
    <n v="30.820879999999999"/>
    <n v="76.998454357160995"/>
  </r>
  <r>
    <s v="32"/>
    <s v="32"/>
    <s v="Hemato-onkologická klinika"/>
    <x v="30"/>
    <s v="3232"/>
    <s v="JIP 5C"/>
    <s v="3232 - JIP 5C"/>
    <s v="50115040     laboratorní materiál (sk.Z_505)"/>
    <x v="11"/>
    <x v="0"/>
    <n v="1.1625000000000001"/>
    <n v="1.667283393712"/>
  </r>
  <r>
    <s v="32"/>
    <s v="32"/>
    <s v="Hemato-onkologická klinika"/>
    <x v="30"/>
    <s v="3232"/>
    <s v="JIP 5C"/>
    <s v="3232 - JIP 5C"/>
    <s v="50115040     laboratorní materiál (sk.Z_505)"/>
    <x v="11"/>
    <x v="1"/>
    <n v="1.24211"/>
    <n v="1.1686073431470001"/>
  </r>
  <r>
    <s v="32"/>
    <s v="32"/>
    <s v="Hemato-onkologická klinika"/>
    <x v="30"/>
    <s v="3232"/>
    <s v="JIP 5C"/>
    <s v="3232 - JIP 5C"/>
    <s v="50115040     laboratorní materiál (sk.Z_505)"/>
    <x v="11"/>
    <x v="2"/>
    <n v="1.43451"/>
    <n v="1.245655476552"/>
  </r>
  <r>
    <s v="32"/>
    <s v="32"/>
    <s v="Hemato-onkologická klinika"/>
    <x v="30"/>
    <s v="3232"/>
    <s v="JIP 5C"/>
    <s v="3232 - JIP 5C"/>
    <s v="50115050     obvazový materiál (sk.Z_502)"/>
    <x v="12"/>
    <x v="0"/>
    <n v="138.130639999999"/>
    <n v="121.278342608112"/>
  </r>
  <r>
    <s v="32"/>
    <s v="32"/>
    <s v="Hemato-onkologická klinika"/>
    <x v="30"/>
    <s v="3232"/>
    <s v="JIP 5C"/>
    <s v="3232 - JIP 5C"/>
    <s v="50115050     obvazový materiál (sk.Z_502)"/>
    <x v="12"/>
    <x v="1"/>
    <n v="173.50539000000001"/>
    <n v="143.44476910658"/>
  </r>
  <r>
    <s v="32"/>
    <s v="32"/>
    <s v="Hemato-onkologická klinika"/>
    <x v="30"/>
    <s v="3232"/>
    <s v="JIP 5C"/>
    <s v="3232 - JIP 5C"/>
    <s v="50115050     obvazový materiál (sk.Z_502)"/>
    <x v="12"/>
    <x v="2"/>
    <n v="166.88120000000004"/>
    <n v="221.77701135801601"/>
  </r>
  <r>
    <s v="32"/>
    <s v="32"/>
    <s v="Hemato-onkologická klinika"/>
    <x v="30"/>
    <s v="3232"/>
    <s v="JIP 5C"/>
    <s v="3232 - JIP 5C"/>
    <s v="50115060     ostatní ZPr - mimo níže uvedené (sk.Z_503)"/>
    <x v="1"/>
    <x v="0"/>
    <n v="523.76541999999904"/>
    <n v="562.15788589600504"/>
  </r>
  <r>
    <s v="32"/>
    <s v="32"/>
    <s v="Hemato-onkologická klinika"/>
    <x v="30"/>
    <s v="3232"/>
    <s v="JIP 5C"/>
    <s v="3232 - JIP 5C"/>
    <s v="50115060     ostatní ZPr - mimo níže uvedené (sk.Z_503)"/>
    <x v="1"/>
    <x v="1"/>
    <n v="622.1866500000001"/>
    <n v="674.99788428171905"/>
  </r>
  <r>
    <s v="32"/>
    <s v="32"/>
    <s v="Hemato-onkologická klinika"/>
    <x v="30"/>
    <s v="3232"/>
    <s v="JIP 5C"/>
    <s v="3232 - JIP 5C"/>
    <s v="50115060     ostatní ZPr - mimo níže uvedené (sk.Z_503)"/>
    <x v="1"/>
    <x v="2"/>
    <n v="518.10875999999996"/>
    <n v="663.43497594566895"/>
  </r>
  <r>
    <s v="32"/>
    <s v="32"/>
    <s v="Hemato-onkologická klinika"/>
    <x v="30"/>
    <s v="3232"/>
    <s v="JIP 5C"/>
    <s v="3232 - JIP 5C"/>
    <s v="50115063     ostatní ZPr - vaky, sety (sk.Z_528)"/>
    <x v="13"/>
    <x v="0"/>
    <n v="379.911"/>
    <n v="411.65568776791099"/>
  </r>
  <r>
    <s v="32"/>
    <s v="32"/>
    <s v="Hemato-onkologická klinika"/>
    <x v="30"/>
    <s v="3232"/>
    <s v="JIP 5C"/>
    <s v="3232 - JIP 5C"/>
    <s v="50115063     ostatní ZPr - vaky, sety (sk.Z_528)"/>
    <x v="13"/>
    <x v="1"/>
    <n v="245.809"/>
    <n v="340.17011908639103"/>
  </r>
  <r>
    <s v="32"/>
    <s v="32"/>
    <s v="Hemato-onkologická klinika"/>
    <x v="30"/>
    <s v="3232"/>
    <s v="JIP 5C"/>
    <s v="3232 - JIP 5C"/>
    <s v="50115063     ostatní ZPr - vaky, sety (sk.Z_528)"/>
    <x v="13"/>
    <x v="2"/>
    <n v="157.16574"/>
    <n v="277.09247315395203"/>
  </r>
  <r>
    <s v="32"/>
    <s v="32"/>
    <s v="Hemato-onkologická klinika"/>
    <x v="30"/>
    <s v="3232"/>
    <s v="JIP 5C"/>
    <s v="3232 - JIP 5C"/>
    <s v="50115064     ostatní ZPr - šicí materiál (sk.Z_529)"/>
    <x v="21"/>
    <x v="1"/>
    <n v="2.8243999999999998"/>
    <n v="2"/>
  </r>
  <r>
    <s v="32"/>
    <s v="32"/>
    <s v="Hemato-onkologická klinika"/>
    <x v="30"/>
    <s v="3232"/>
    <s v="JIP 5C"/>
    <s v="3232 - JIP 5C"/>
    <s v="50115064     ostatní ZPr - šicí materiál (sk.Z_529)"/>
    <x v="21"/>
    <x v="2"/>
    <n v="0"/>
    <n v="2.4158693059099998"/>
  </r>
  <r>
    <s v="32"/>
    <s v="32"/>
    <s v="Hemato-onkologická klinika"/>
    <x v="30"/>
    <s v="3232"/>
    <s v="JIP 5C"/>
    <s v="3232 - JIP 5C"/>
    <s v="50115065     ostatní ZPr - vpichovací materiál (sk.Z_530)"/>
    <x v="14"/>
    <x v="0"/>
    <n v="28.190139999999001"/>
    <n v="67.654037049218999"/>
  </r>
  <r>
    <s v="32"/>
    <s v="32"/>
    <s v="Hemato-onkologická klinika"/>
    <x v="30"/>
    <s v="3232"/>
    <s v="JIP 5C"/>
    <s v="3232 - JIP 5C"/>
    <s v="50115065     ostatní ZPr - vpichovací materiál (sk.Z_530)"/>
    <x v="14"/>
    <x v="1"/>
    <n v="25.058499999999999"/>
    <n v="32.917886271596998"/>
  </r>
  <r>
    <s v="32"/>
    <s v="32"/>
    <s v="Hemato-onkologická klinika"/>
    <x v="30"/>
    <s v="3232"/>
    <s v="JIP 5C"/>
    <s v="3232 - JIP 5C"/>
    <s v="50115065     ostatní ZPr - vpichovací materiál (sk.Z_530)"/>
    <x v="14"/>
    <x v="2"/>
    <n v="18.826000000000001"/>
    <n v="25.717266588043"/>
  </r>
  <r>
    <s v="32"/>
    <s v="32"/>
    <s v="Hemato-onkologická klinika"/>
    <x v="30"/>
    <s v="3232"/>
    <s v="JIP 5C"/>
    <s v="3232 - JIP 5C"/>
    <s v="50115067     ostatní ZPr - rukavice (sk.Z_532)"/>
    <x v="15"/>
    <x v="0"/>
    <n v="119.26754000000001"/>
    <n v="111.92771768857099"/>
  </r>
  <r>
    <s v="32"/>
    <s v="32"/>
    <s v="Hemato-onkologická klinika"/>
    <x v="30"/>
    <s v="3232"/>
    <s v="JIP 5C"/>
    <s v="3232 - JIP 5C"/>
    <s v="50115067     ostatní ZPr - rukavice (sk.Z_532)"/>
    <x v="15"/>
    <x v="1"/>
    <n v="117.08099999999999"/>
    <n v="118.955239028048"/>
  </r>
  <r>
    <s v="32"/>
    <s v="32"/>
    <s v="Hemato-onkologická klinika"/>
    <x v="30"/>
    <s v="3232"/>
    <s v="JIP 5C"/>
    <s v="3232 - JIP 5C"/>
    <s v="50115067     ostatní ZPr - rukavice (sk.Z_532)"/>
    <x v="15"/>
    <x v="2"/>
    <n v="93.445910000000012"/>
    <n v="115.678930916262"/>
  </r>
  <r>
    <s v="32"/>
    <s v="32"/>
    <s v="Hemato-onkologická klinika"/>
    <x v="30"/>
    <s v="3232"/>
    <s v="JIP 5C"/>
    <s v="3232 - JIP 5C"/>
    <s v="50115070     ostatní ZPr - katetry (sk.Z_513)"/>
    <x v="16"/>
    <x v="0"/>
    <n v="100.83798999999901"/>
    <n v="115.840579871239"/>
  </r>
  <r>
    <s v="32"/>
    <s v="32"/>
    <s v="Hemato-onkologická klinika"/>
    <x v="30"/>
    <s v="3232"/>
    <s v="JIP 5C"/>
    <s v="3232 - JIP 5C"/>
    <s v="50115070     ostatní ZPr - katetry (sk.Z_513)"/>
    <x v="16"/>
    <x v="1"/>
    <n v="42.97504"/>
    <n v="98.837525860737998"/>
  </r>
  <r>
    <s v="32"/>
    <s v="32"/>
    <s v="Hemato-onkologická klinika"/>
    <x v="30"/>
    <s v="3232"/>
    <s v="JIP 5C"/>
    <s v="3232 - JIP 5C"/>
    <s v="50115070     ostatní ZPr - katetry (sk.Z_513)"/>
    <x v="16"/>
    <x v="2"/>
    <n v="49.366340000000001"/>
    <n v="46.499754634261002"/>
  </r>
  <r>
    <s v="32"/>
    <s v="32"/>
    <s v="Hemato-onkologická klinika"/>
    <x v="30"/>
    <s v="3232"/>
    <s v="JIP 5C"/>
    <s v="3232 - JIP 5C"/>
    <s v="50115079     ostatní ZPr - intenzivní péče (sk.Z_542)"/>
    <x v="18"/>
    <x v="2"/>
    <n v="0.38069999999999998"/>
    <n v="0"/>
  </r>
  <r>
    <s v="32"/>
    <s v="32"/>
    <s v="Hemato-onkologická klinika"/>
    <x v="30"/>
    <s v="3241"/>
    <s v="laboratoř - SVLS"/>
    <s v="3241 - laboratoř - SVLS"/>
    <s v="50113     Léky a léčiva"/>
    <x v="2"/>
    <x v="0"/>
    <n v="140.60655"/>
    <n v="149.29223534037001"/>
  </r>
  <r>
    <s v="32"/>
    <s v="32"/>
    <s v="Hemato-onkologická klinika"/>
    <x v="30"/>
    <s v="3241"/>
    <s v="laboratoř - SVLS"/>
    <s v="3241 - laboratoř - SVLS"/>
    <s v="50113     Léky a léčiva"/>
    <x v="2"/>
    <x v="1"/>
    <n v="44.671120000000002"/>
    <n v="140.582728324144"/>
  </r>
  <r>
    <s v="32"/>
    <s v="32"/>
    <s v="Hemato-onkologická klinika"/>
    <x v="30"/>
    <s v="3241"/>
    <s v="laboratoř - SVLS"/>
    <s v="3241 - laboratoř - SVLS"/>
    <s v="50113     Léky a léčiva"/>
    <x v="2"/>
    <x v="2"/>
    <n v="13.29955"/>
    <n v="45.281886515738996"/>
  </r>
  <r>
    <s v="32"/>
    <s v="32"/>
    <s v="Hemato-onkologická klinika"/>
    <x v="30"/>
    <s v="3241"/>
    <s v="laboratoř - SVLS"/>
    <s v="3241 - laboratoř - SVLS"/>
    <s v="50113001     léky - paušál+TISS (LEK)"/>
    <x v="3"/>
    <x v="0"/>
    <n v="140.60655"/>
    <n v="149.29223534037001"/>
  </r>
  <r>
    <s v="32"/>
    <s v="32"/>
    <s v="Hemato-onkologická klinika"/>
    <x v="30"/>
    <s v="3241"/>
    <s v="laboratoř - SVLS"/>
    <s v="3241 - laboratoř - SVLS"/>
    <s v="50113001     léky - paušál+TISS (LEK)"/>
    <x v="3"/>
    <x v="1"/>
    <n v="44.671120000000002"/>
    <n v="140.582728324144"/>
  </r>
  <r>
    <s v="32"/>
    <s v="32"/>
    <s v="Hemato-onkologická klinika"/>
    <x v="30"/>
    <s v="3241"/>
    <s v="laboratoř - SVLS"/>
    <s v="3241 - laboratoř - SVLS"/>
    <s v="50113001     léky - paušál+TISS (LEK)"/>
    <x v="3"/>
    <x v="2"/>
    <n v="13.29955"/>
    <n v="45.281886515738996"/>
  </r>
  <r>
    <s v="32"/>
    <s v="32"/>
    <s v="Hemato-onkologická klinika"/>
    <x v="30"/>
    <s v="3241"/>
    <s v="laboratoř - SVLS"/>
    <s v="3241 - laboratoř - SVLS"/>
    <s v="50115     Zdravotnické prostředky"/>
    <x v="0"/>
    <x v="0"/>
    <n v="20173.578590000012"/>
    <n v="17193.813187089301"/>
  </r>
  <r>
    <s v="32"/>
    <s v="32"/>
    <s v="Hemato-onkologická klinika"/>
    <x v="30"/>
    <s v="3241"/>
    <s v="laboratoř - SVLS"/>
    <s v="3241 - laboratoř - SVLS"/>
    <s v="50115     Zdravotnické prostředky"/>
    <x v="0"/>
    <x v="1"/>
    <n v="12425.30251000001"/>
    <n v="20336.820409474502"/>
  </r>
  <r>
    <s v="32"/>
    <s v="32"/>
    <s v="Hemato-onkologická klinika"/>
    <x v="30"/>
    <s v="3241"/>
    <s v="laboratoř - SVLS"/>
    <s v="3241 - laboratoř - SVLS"/>
    <s v="50115     Zdravotnické prostředky"/>
    <x v="0"/>
    <x v="2"/>
    <n v="1589.6678100000008"/>
    <n v="4634.3659271505203"/>
  </r>
  <r>
    <s v="32"/>
    <s v="32"/>
    <s v="Hemato-onkologická klinika"/>
    <x v="30"/>
    <s v="3241"/>
    <s v="laboratoř - SVLS"/>
    <s v="3241 - laboratoř - SVLS"/>
    <s v="50115020     diagnostika laboratorní-LEK (sk.Z_501)"/>
    <x v="10"/>
    <x v="0"/>
    <n v="18700.737990000012"/>
    <n v="15709.5875008455"/>
  </r>
  <r>
    <s v="32"/>
    <s v="32"/>
    <s v="Hemato-onkologická klinika"/>
    <x v="30"/>
    <s v="3241"/>
    <s v="laboratoř - SVLS"/>
    <s v="3241 - laboratoř - SVLS"/>
    <s v="50115020     diagnostika laboratorní-LEK (sk.Z_501)"/>
    <x v="10"/>
    <x v="1"/>
    <n v="10939.927980000011"/>
    <n v="18861.721003188901"/>
  </r>
  <r>
    <s v="32"/>
    <s v="32"/>
    <s v="Hemato-onkologická klinika"/>
    <x v="30"/>
    <s v="3241"/>
    <s v="laboratoř - SVLS"/>
    <s v="3241 - laboratoř - SVLS"/>
    <s v="50115020     diagnostika laboratorní-LEK (sk.Z_501)"/>
    <x v="10"/>
    <x v="2"/>
    <n v="119.94218000000001"/>
    <n v="2699.99991338166"/>
  </r>
  <r>
    <s v="32"/>
    <s v="32"/>
    <s v="Hemato-onkologická klinika"/>
    <x v="30"/>
    <s v="3241"/>
    <s v="laboratoř - SVLS"/>
    <s v="3241 - laboratoř - SVLS"/>
    <s v="50115040     laboratorní materiál (sk.Z_505)"/>
    <x v="11"/>
    <x v="0"/>
    <n v="402.61688000000004"/>
    <n v="201.235371946182"/>
  </r>
  <r>
    <s v="32"/>
    <s v="32"/>
    <s v="Hemato-onkologická klinika"/>
    <x v="30"/>
    <s v="3241"/>
    <s v="laboratoř - SVLS"/>
    <s v="3241 - laboratoř - SVLS"/>
    <s v="50115040     laboratorní materiál (sk.Z_505)"/>
    <x v="11"/>
    <x v="1"/>
    <n v="580.04058000000009"/>
    <n v="488.72269253289699"/>
  </r>
  <r>
    <s v="32"/>
    <s v="32"/>
    <s v="Hemato-onkologická klinika"/>
    <x v="30"/>
    <s v="3241"/>
    <s v="laboratoř - SVLS"/>
    <s v="3241 - laboratoř - SVLS"/>
    <s v="50115040     laboratorní materiál (sk.Z_505)"/>
    <x v="11"/>
    <x v="2"/>
    <n v="572.94285000000002"/>
    <n v="619.99998047150302"/>
  </r>
  <r>
    <s v="32"/>
    <s v="32"/>
    <s v="Hemato-onkologická klinika"/>
    <x v="30"/>
    <s v="3241"/>
    <s v="laboratoř - SVLS"/>
    <s v="3241 - laboratoř - SVLS"/>
    <s v="50115050     obvazový materiál (sk.Z_502)"/>
    <x v="12"/>
    <x v="0"/>
    <n v="89.647049999999012"/>
    <n v="86.347161160165001"/>
  </r>
  <r>
    <s v="32"/>
    <s v="32"/>
    <s v="Hemato-onkologická klinika"/>
    <x v="30"/>
    <s v="3241"/>
    <s v="laboratoř - SVLS"/>
    <s v="3241 - laboratoř - SVLS"/>
    <s v="50115050     obvazový materiál (sk.Z_502)"/>
    <x v="12"/>
    <x v="1"/>
    <n v="52.511589999999998"/>
    <n v="72.850924927790999"/>
  </r>
  <r>
    <s v="32"/>
    <s v="32"/>
    <s v="Hemato-onkologická klinika"/>
    <x v="30"/>
    <s v="3241"/>
    <s v="laboratoř - SVLS"/>
    <s v="3241 - laboratoř - SVLS"/>
    <s v="50115050     obvazový materiál (sk.Z_502)"/>
    <x v="12"/>
    <x v="2"/>
    <n v="46.880619999999993"/>
    <n v="75.647062825757004"/>
  </r>
  <r>
    <s v="32"/>
    <s v="32"/>
    <s v="Hemato-onkologická klinika"/>
    <x v="30"/>
    <s v="3241"/>
    <s v="laboratoř - SVLS"/>
    <s v="3241 - laboratoř - SVLS"/>
    <s v="50115060     ostatní ZPr - mimo níže uvedené (sk.Z_503)"/>
    <x v="1"/>
    <x v="0"/>
    <n v="890.54685999999913"/>
    <n v="1132.4437350128601"/>
  </r>
  <r>
    <s v="32"/>
    <s v="32"/>
    <s v="Hemato-onkologická klinika"/>
    <x v="30"/>
    <s v="3241"/>
    <s v="laboratoř - SVLS"/>
    <s v="3241 - laboratoř - SVLS"/>
    <s v="50115060     ostatní ZPr - mimo níže uvedené (sk.Z_503)"/>
    <x v="1"/>
    <x v="1"/>
    <n v="814.82736"/>
    <n v="834.54204598697299"/>
  </r>
  <r>
    <s v="32"/>
    <s v="32"/>
    <s v="Hemato-onkologická klinika"/>
    <x v="30"/>
    <s v="3241"/>
    <s v="laboratoř - SVLS"/>
    <s v="3241 - laboratoř - SVLS"/>
    <s v="50115060     ostatní ZPr - mimo níže uvedené (sk.Z_503)"/>
    <x v="1"/>
    <x v="2"/>
    <n v="811.62530000000004"/>
    <n v="1200.97638867349"/>
  </r>
  <r>
    <s v="32"/>
    <s v="32"/>
    <s v="Hemato-onkologická klinika"/>
    <x v="30"/>
    <s v="3241"/>
    <s v="laboratoř - SVLS"/>
    <s v="3241 - laboratoř - SVLS"/>
    <s v="50115063     ostatní ZPr - vaky, sety (sk.Z_528)"/>
    <x v="13"/>
    <x v="0"/>
    <n v="38.295000000000002"/>
    <n v="15"/>
  </r>
  <r>
    <s v="32"/>
    <s v="32"/>
    <s v="Hemato-onkologická klinika"/>
    <x v="30"/>
    <s v="3241"/>
    <s v="laboratoř - SVLS"/>
    <s v="3241 - laboratoř - SVLS"/>
    <s v="50115063     ostatní ZPr - vaky, sety (sk.Z_528)"/>
    <x v="13"/>
    <x v="1"/>
    <n v="0"/>
    <n v="28.514720240431"/>
  </r>
  <r>
    <s v="32"/>
    <s v="32"/>
    <s v="Hemato-onkologická klinika"/>
    <x v="30"/>
    <s v="3241"/>
    <s v="laboratoř - SVLS"/>
    <s v="3241 - laboratoř - SVLS"/>
    <s v="50115065     ostatní ZPr - vpichovací materiál (sk.Z_530)"/>
    <x v="14"/>
    <x v="0"/>
    <n v="0.183"/>
    <n v="0"/>
  </r>
  <r>
    <s v="32"/>
    <s v="32"/>
    <s v="Hemato-onkologická klinika"/>
    <x v="30"/>
    <s v="3241"/>
    <s v="laboratoř - SVLS"/>
    <s v="3241 - laboratoř - SVLS"/>
    <s v="50115065     ostatní ZPr - vpichovací materiál (sk.Z_530)"/>
    <x v="14"/>
    <x v="1"/>
    <n v="0.249"/>
    <n v="0.18772428506700001"/>
  </r>
  <r>
    <s v="32"/>
    <s v="32"/>
    <s v="Hemato-onkologická klinika"/>
    <x v="30"/>
    <s v="3241"/>
    <s v="laboratoř - SVLS"/>
    <s v="3241 - laboratoř - SVLS"/>
    <s v="50115065     ostatní ZPr - vpichovací materiál (sk.Z_530)"/>
    <x v="14"/>
    <x v="2"/>
    <n v="9.6000000000000002E-2"/>
    <n v="0.25354262785499998"/>
  </r>
  <r>
    <s v="32"/>
    <s v="32"/>
    <s v="Hemato-onkologická klinika"/>
    <x v="30"/>
    <s v="3241"/>
    <s v="laboratoř - SVLS"/>
    <s v="3241 - laboratoř - SVLS"/>
    <s v="50115067     ostatní ZPr - rukavice (sk.Z_532)"/>
    <x v="15"/>
    <x v="0"/>
    <n v="51.551810000000003"/>
    <n v="49.199418124593997"/>
  </r>
  <r>
    <s v="32"/>
    <s v="32"/>
    <s v="Hemato-onkologická klinika"/>
    <x v="30"/>
    <s v="3241"/>
    <s v="laboratoř - SVLS"/>
    <s v="3241 - laboratoř - SVLS"/>
    <s v="50115067     ostatní ZPr - rukavice (sk.Z_532)"/>
    <x v="15"/>
    <x v="1"/>
    <n v="37.745999999999995"/>
    <n v="50.281298312426998"/>
  </r>
  <r>
    <s v="32"/>
    <s v="32"/>
    <s v="Hemato-onkologická klinika"/>
    <x v="30"/>
    <s v="3241"/>
    <s v="laboratoř - SVLS"/>
    <s v="3241 - laboratoř - SVLS"/>
    <s v="50115067     ostatní ZPr - rukavice (sk.Z_532)"/>
    <x v="15"/>
    <x v="2"/>
    <n v="38.180859999999996"/>
    <n v="37.489039170243998"/>
  </r>
  <r>
    <s v="32"/>
    <s v="32"/>
    <s v="Hemato-onkologická klinika"/>
    <x v="30"/>
    <s v="3242"/>
    <s v="tkáňová banka"/>
    <s v="3242 - tkáňová banka"/>
    <s v="50115     Zdravotnické prostředky"/>
    <x v="0"/>
    <x v="0"/>
    <n v="1120.7124700000002"/>
    <n v="958.87991205664002"/>
  </r>
  <r>
    <s v="32"/>
    <s v="32"/>
    <s v="Hemato-onkologická klinika"/>
    <x v="30"/>
    <s v="3242"/>
    <s v="tkáňová banka"/>
    <s v="3242 - tkáňová banka"/>
    <s v="50115     Zdravotnické prostředky"/>
    <x v="0"/>
    <x v="1"/>
    <n v="1239.9496500000002"/>
    <n v="1128.07718404663"/>
  </r>
  <r>
    <s v="32"/>
    <s v="32"/>
    <s v="Hemato-onkologická klinika"/>
    <x v="30"/>
    <s v="3242"/>
    <s v="tkáňová banka"/>
    <s v="3242 - tkáňová banka"/>
    <s v="50115     Zdravotnické prostředky"/>
    <x v="0"/>
    <x v="2"/>
    <n v="833.36688000000004"/>
    <n v="1316.88922677763"/>
  </r>
  <r>
    <s v="32"/>
    <s v="32"/>
    <s v="Hemato-onkologická klinika"/>
    <x v="30"/>
    <s v="3242"/>
    <s v="tkáňová banka"/>
    <s v="3242 - tkáňová banka"/>
    <s v="50115020     diagnostika laboratorní-LEK (sk.Z_501)"/>
    <x v="10"/>
    <x v="0"/>
    <n v="0"/>
    <n v="77.229128915106998"/>
  </r>
  <r>
    <s v="32"/>
    <s v="32"/>
    <s v="Hemato-onkologická klinika"/>
    <x v="30"/>
    <s v="3242"/>
    <s v="tkáňová banka"/>
    <s v="3242 - tkáňová banka"/>
    <s v="50115020     diagnostika laboratorní-LEK (sk.Z_501)"/>
    <x v="10"/>
    <x v="1"/>
    <n v="1.7950000000000001E-2"/>
    <n v="0"/>
  </r>
  <r>
    <s v="32"/>
    <s v="32"/>
    <s v="Hemato-onkologická klinika"/>
    <x v="30"/>
    <s v="3242"/>
    <s v="tkáňová banka"/>
    <s v="3242 - tkáňová banka"/>
    <s v="50115060     ostatní ZPr - mimo níže uvedené (sk.Z_503)"/>
    <x v="1"/>
    <x v="0"/>
    <n v="589.70146999999906"/>
    <n v="478.70416981904702"/>
  </r>
  <r>
    <s v="32"/>
    <s v="32"/>
    <s v="Hemato-onkologická klinika"/>
    <x v="30"/>
    <s v="3242"/>
    <s v="tkáňová banka"/>
    <s v="3242 - tkáňová banka"/>
    <s v="50115060     ostatní ZPr - mimo níže uvedené (sk.Z_503)"/>
    <x v="1"/>
    <x v="1"/>
    <n v="470.00919999999996"/>
    <n v="469.69842085618501"/>
  </r>
  <r>
    <s v="32"/>
    <s v="32"/>
    <s v="Hemato-onkologická klinika"/>
    <x v="30"/>
    <s v="3242"/>
    <s v="tkáňová banka"/>
    <s v="3242 - tkáňová banka"/>
    <s v="50115060     ostatní ZPr - mimo níže uvedené (sk.Z_503)"/>
    <x v="1"/>
    <x v="2"/>
    <n v="312.62188000000003"/>
    <n v="640.95099757638798"/>
  </r>
  <r>
    <s v="32"/>
    <s v="32"/>
    <s v="Hemato-onkologická klinika"/>
    <x v="30"/>
    <s v="3242"/>
    <s v="tkáňová banka"/>
    <s v="3242 - tkáňová banka"/>
    <s v="50115063     ostatní ZPr - vaky, sety (sk.Z_528)"/>
    <x v="13"/>
    <x v="0"/>
    <n v="521.81099999999901"/>
    <n v="400.95513835868798"/>
  </r>
  <r>
    <s v="32"/>
    <s v="32"/>
    <s v="Hemato-onkologická klinika"/>
    <x v="30"/>
    <s v="3242"/>
    <s v="tkáňová banka"/>
    <s v="3242 - tkáňová banka"/>
    <s v="50115063     ostatní ZPr - vaky, sety (sk.Z_528)"/>
    <x v="13"/>
    <x v="1"/>
    <n v="765.02250000000004"/>
    <n v="646.17880534376798"/>
  </r>
  <r>
    <s v="32"/>
    <s v="32"/>
    <s v="Hemato-onkologická klinika"/>
    <x v="30"/>
    <s v="3242"/>
    <s v="tkáňová banka"/>
    <s v="3242 - tkáňová banka"/>
    <s v="50115063     ostatní ZPr - vaky, sety (sk.Z_528)"/>
    <x v="13"/>
    <x v="2"/>
    <n v="510.21800000000002"/>
    <n v="670.94883612296599"/>
  </r>
  <r>
    <s v="32"/>
    <s v="32"/>
    <s v="Hemato-onkologická klinika"/>
    <x v="30"/>
    <s v="3242"/>
    <s v="tkáňová banka"/>
    <s v="3242 - tkáňová banka"/>
    <s v="50115065     ostatní ZPr - vpichovací materiál (sk.Z_530)"/>
    <x v="14"/>
    <x v="1"/>
    <n v="4.9000000000000004"/>
    <n v="5"/>
  </r>
  <r>
    <s v="32"/>
    <s v="32"/>
    <s v="Hemato-onkologická klinika"/>
    <x v="30"/>
    <s v="3242"/>
    <s v="tkáňová banka"/>
    <s v="3242 - tkáňová banka"/>
    <s v="50115065     ostatní ZPr - vpichovací materiál (sk.Z_530)"/>
    <x v="14"/>
    <x v="2"/>
    <n v="10.526999999999999"/>
    <n v="4.9893930782730003"/>
  </r>
  <r>
    <s v="32"/>
    <s v="32"/>
    <s v="Hemato-onkologická klinika"/>
    <x v="30"/>
    <s v="3242"/>
    <s v="tkáňová banka"/>
    <s v="3242 - tkáňová banka"/>
    <s v="50115067     ostatní ZPr - rukavice (sk.Z_532)"/>
    <x v="15"/>
    <x v="0"/>
    <n v="0"/>
    <n v="1.991474963797"/>
  </r>
  <r>
    <s v="32"/>
    <s v="32"/>
    <s v="Hemato-onkologická klinika"/>
    <x v="30"/>
    <s v="3242"/>
    <s v="tkáňová banka"/>
    <s v="3242 - tkáňová banka"/>
    <s v="50115070     ostatní ZPr - katetry (sk.Z_513)"/>
    <x v="16"/>
    <x v="0"/>
    <n v="9.1999999999999993"/>
    <n v="0"/>
  </r>
  <r>
    <s v="32"/>
    <s v="32"/>
    <s v="Hemato-onkologická klinika"/>
    <x v="30"/>
    <s v="3242"/>
    <s v="tkáňová banka"/>
    <s v="3242 - tkáňová banka"/>
    <s v="50115070     ostatní ZPr - katetry (sk.Z_513)"/>
    <x v="16"/>
    <x v="1"/>
    <n v="0"/>
    <n v="7.1999578466749998"/>
  </r>
  <r>
    <s v="32"/>
    <s v="32"/>
    <s v="Hemato-onkologická klinika"/>
    <x v="30"/>
    <s v="3243"/>
    <s v="laboratoř krevních obrazů a cytomorfologie"/>
    <s v="3243 - laboratoř krevních obrazů a cytomorfologie"/>
    <s v="50113     Léky a léčiva"/>
    <x v="2"/>
    <x v="1"/>
    <n v="0.12978999999999999"/>
    <n v="0"/>
  </r>
  <r>
    <s v="32"/>
    <s v="32"/>
    <s v="Hemato-onkologická klinika"/>
    <x v="30"/>
    <s v="3243"/>
    <s v="laboratoř krevních obrazů a cytomorfologie"/>
    <s v="3243 - laboratoř krevních obrazů a cytomorfologie"/>
    <s v="50113     Léky a léčiva"/>
    <x v="2"/>
    <x v="2"/>
    <n v="0.55091999999999997"/>
    <n v="0.12541737712500001"/>
  </r>
  <r>
    <s v="32"/>
    <s v="32"/>
    <s v="Hemato-onkologická klinika"/>
    <x v="30"/>
    <s v="3243"/>
    <s v="laboratoř krevních obrazů a cytomorfologie"/>
    <s v="3243 - laboratoř krevních obrazů a cytomorfologie"/>
    <s v="50113001     léky - paušál+TISS (LEK)"/>
    <x v="3"/>
    <x v="1"/>
    <n v="0.12978999999999999"/>
    <n v="0"/>
  </r>
  <r>
    <s v="32"/>
    <s v="32"/>
    <s v="Hemato-onkologická klinika"/>
    <x v="30"/>
    <s v="3243"/>
    <s v="laboratoř krevních obrazů a cytomorfologie"/>
    <s v="3243 - laboratoř krevních obrazů a cytomorfologie"/>
    <s v="50113001     léky - paušál+TISS (LEK)"/>
    <x v="3"/>
    <x v="2"/>
    <n v="0.55091999999999997"/>
    <n v="0.12541737712500001"/>
  </r>
  <r>
    <s v="32"/>
    <s v="32"/>
    <s v="Hemato-onkologická klinika"/>
    <x v="30"/>
    <s v="3243"/>
    <s v="laboratoř krevních obrazů a cytomorfologie"/>
    <s v="3243 - laboratoř krevních obrazů a cytomorfologie"/>
    <s v="50115     Zdravotnické prostředky"/>
    <x v="0"/>
    <x v="1"/>
    <n v="2461.8845700000002"/>
    <n v="98"/>
  </r>
  <r>
    <s v="32"/>
    <s v="32"/>
    <s v="Hemato-onkologická klinika"/>
    <x v="30"/>
    <s v="3243"/>
    <s v="laboratoř krevních obrazů a cytomorfologie"/>
    <s v="3243 - laboratoř krevních obrazů a cytomorfologie"/>
    <s v="50115     Zdravotnické prostředky"/>
    <x v="0"/>
    <x v="2"/>
    <n v="4036.1143300000008"/>
    <n v="4923.9998449059303"/>
  </r>
  <r>
    <s v="32"/>
    <s v="32"/>
    <s v="Hemato-onkologická klinika"/>
    <x v="30"/>
    <s v="3243"/>
    <s v="laboratoř krevních obrazů a cytomorfologie"/>
    <s v="3243 - laboratoř krevních obrazů a cytomorfologie"/>
    <s v="50115020     diagnostika laboratorní-LEK (sk.Z_501)"/>
    <x v="10"/>
    <x v="1"/>
    <n v="2461.8845700000002"/>
    <n v="98"/>
  </r>
  <r>
    <s v="32"/>
    <s v="32"/>
    <s v="Hemato-onkologická klinika"/>
    <x v="30"/>
    <s v="3243"/>
    <s v="laboratoř krevních obrazů a cytomorfologie"/>
    <s v="3243 - laboratoř krevních obrazů a cytomorfologie"/>
    <s v="50115020     diagnostika laboratorní-LEK (sk.Z_501)"/>
    <x v="10"/>
    <x v="2"/>
    <n v="4036.1143300000008"/>
    <n v="4923.9998449059303"/>
  </r>
  <r>
    <s v="32"/>
    <s v="32"/>
    <s v="Hemato-onkologická klinika"/>
    <x v="30"/>
    <s v="3244"/>
    <s v="laboratoř koagulační"/>
    <s v="3244 - laboratoř koagulační"/>
    <s v="50113     Léky a léčiva"/>
    <x v="2"/>
    <x v="2"/>
    <n v="9.2679999999999998E-2"/>
    <n v="0"/>
  </r>
  <r>
    <s v="32"/>
    <s v="32"/>
    <s v="Hemato-onkologická klinika"/>
    <x v="30"/>
    <s v="3244"/>
    <s v="laboratoř koagulační"/>
    <s v="3244 - laboratoř koagulační"/>
    <s v="50113001     léky - paušál+TISS (LEK)"/>
    <x v="3"/>
    <x v="2"/>
    <n v="9.2679999999999998E-2"/>
    <n v="0"/>
  </r>
  <r>
    <s v="32"/>
    <s v="32"/>
    <s v="Hemato-onkologická klinika"/>
    <x v="30"/>
    <s v="3244"/>
    <s v="laboratoř koagulační"/>
    <s v="3244 - laboratoř koagulační"/>
    <s v="50115     Zdravotnické prostředky"/>
    <x v="0"/>
    <x v="1"/>
    <n v="3888.2200800000001"/>
    <n v="957"/>
  </r>
  <r>
    <s v="32"/>
    <s v="32"/>
    <s v="Hemato-onkologická klinika"/>
    <x v="30"/>
    <s v="3244"/>
    <s v="laboratoř koagulační"/>
    <s v="3244 - laboratoř koagulační"/>
    <s v="50115     Zdravotnické prostředky"/>
    <x v="0"/>
    <x v="2"/>
    <n v="5394.0220400000017"/>
    <n v="7775.9997550748403"/>
  </r>
  <r>
    <s v="32"/>
    <s v="32"/>
    <s v="Hemato-onkologická klinika"/>
    <x v="30"/>
    <s v="3244"/>
    <s v="laboratoř koagulační"/>
    <s v="3244 - laboratoř koagulační"/>
    <s v="50115020     diagnostika laboratorní-LEK (sk.Z_501)"/>
    <x v="10"/>
    <x v="1"/>
    <n v="3888.2200800000001"/>
    <n v="957"/>
  </r>
  <r>
    <s v="32"/>
    <s v="32"/>
    <s v="Hemato-onkologická klinika"/>
    <x v="30"/>
    <s v="3244"/>
    <s v="laboratoř koagulační"/>
    <s v="3244 - laboratoř koagulační"/>
    <s v="50115020     diagnostika laboratorní-LEK (sk.Z_501)"/>
    <x v="10"/>
    <x v="2"/>
    <n v="5394.0220400000017"/>
    <n v="7775.9997550748403"/>
  </r>
  <r>
    <s v="32"/>
    <s v="32"/>
    <s v="Hemato-onkologická klinika"/>
    <x v="30"/>
    <s v="3245"/>
    <s v="laboratoř cytogenetiky a molekulární cytogenetiky"/>
    <s v="3245 - laboratoř cytogenetiky a molekulární cytogenetiky"/>
    <s v="50113     Léky a léčiva"/>
    <x v="2"/>
    <x v="1"/>
    <n v="1.24146"/>
    <n v="0"/>
  </r>
  <r>
    <s v="32"/>
    <s v="32"/>
    <s v="Hemato-onkologická klinika"/>
    <x v="30"/>
    <s v="3245"/>
    <s v="laboratoř cytogenetiky a molekulární cytogenetiky"/>
    <s v="3245 - laboratoř cytogenetiky a molekulární cytogenetiky"/>
    <s v="50113     Léky a léčiva"/>
    <x v="2"/>
    <x v="2"/>
    <n v="3.3730099999999998"/>
    <n v="0"/>
  </r>
  <r>
    <s v="32"/>
    <s v="32"/>
    <s v="Hemato-onkologická klinika"/>
    <x v="30"/>
    <s v="3245"/>
    <s v="laboratoř cytogenetiky a molekulární cytogenetiky"/>
    <s v="3245 - laboratoř cytogenetiky a molekulární cytogenetiky"/>
    <s v="50113001     léky - paušál+TISS (LEK)"/>
    <x v="3"/>
    <x v="1"/>
    <n v="1.24146"/>
    <n v="0"/>
  </r>
  <r>
    <s v="32"/>
    <s v="32"/>
    <s v="Hemato-onkologická klinika"/>
    <x v="30"/>
    <s v="3245"/>
    <s v="laboratoř cytogenetiky a molekulární cytogenetiky"/>
    <s v="3245 - laboratoř cytogenetiky a molekulární cytogenetiky"/>
    <s v="50113001     léky - paušál+TISS (LEK)"/>
    <x v="3"/>
    <x v="2"/>
    <n v="3.3730099999999998"/>
    <n v="0"/>
  </r>
  <r>
    <s v="32"/>
    <s v="32"/>
    <s v="Hemato-onkologická klinika"/>
    <x v="30"/>
    <s v="3245"/>
    <s v="laboratoř cytogenetiky a molekulární cytogenetiky"/>
    <s v="3245 - laboratoř cytogenetiky a molekulární cytogenetiky"/>
    <s v="50115     Zdravotnické prostředky"/>
    <x v="0"/>
    <x v="1"/>
    <n v="1280.54233"/>
    <n v="789"/>
  </r>
  <r>
    <s v="32"/>
    <s v="32"/>
    <s v="Hemato-onkologická klinika"/>
    <x v="30"/>
    <s v="3245"/>
    <s v="laboratoř cytogenetiky a molekulární cytogenetiky"/>
    <s v="3245 - laboratoř cytogenetiky a molekulární cytogenetiky"/>
    <s v="50115     Zdravotnické prostředky"/>
    <x v="0"/>
    <x v="2"/>
    <n v="1712.5490700000012"/>
    <n v="2559.9999193662102"/>
  </r>
  <r>
    <s v="32"/>
    <s v="32"/>
    <s v="Hemato-onkologická klinika"/>
    <x v="30"/>
    <s v="3245"/>
    <s v="laboratoř cytogenetiky a molekulární cytogenetiky"/>
    <s v="3245 - laboratoř cytogenetiky a molekulární cytogenetiky"/>
    <s v="50115020     diagnostika laboratorní-LEK (sk.Z_501)"/>
    <x v="10"/>
    <x v="1"/>
    <n v="1280.54233"/>
    <n v="789"/>
  </r>
  <r>
    <s v="32"/>
    <s v="32"/>
    <s v="Hemato-onkologická klinika"/>
    <x v="30"/>
    <s v="3245"/>
    <s v="laboratoř cytogenetiky a molekulární cytogenetiky"/>
    <s v="3245 - laboratoř cytogenetiky a molekulární cytogenetiky"/>
    <s v="50115020     diagnostika laboratorní-LEK (sk.Z_501)"/>
    <x v="10"/>
    <x v="2"/>
    <n v="1712.5490700000012"/>
    <n v="2559.9999193662102"/>
  </r>
  <r>
    <s v="32"/>
    <s v="32"/>
    <s v="Hemato-onkologická klinika"/>
    <x v="30"/>
    <s v="3246"/>
    <s v="laboratoř průtokové cytometrie"/>
    <s v="3246 - laboratoř průtokové cytometrie"/>
    <s v="50113     Léky a léčiva"/>
    <x v="2"/>
    <x v="1"/>
    <n v="12.93228"/>
    <n v="0"/>
  </r>
  <r>
    <s v="32"/>
    <s v="32"/>
    <s v="Hemato-onkologická klinika"/>
    <x v="30"/>
    <s v="3246"/>
    <s v="laboratoř průtokové cytometrie"/>
    <s v="3246 - laboratoř průtokové cytometrie"/>
    <s v="50113     Léky a léčiva"/>
    <x v="2"/>
    <x v="2"/>
    <n v="8.51919"/>
    <n v="0"/>
  </r>
  <r>
    <s v="32"/>
    <s v="32"/>
    <s v="Hemato-onkologická klinika"/>
    <x v="30"/>
    <s v="3246"/>
    <s v="laboratoř průtokové cytometrie"/>
    <s v="3246 - laboratoř průtokové cytometrie"/>
    <s v="50113001     léky - paušál+TISS (LEK)"/>
    <x v="3"/>
    <x v="1"/>
    <n v="12.93228"/>
    <n v="0"/>
  </r>
  <r>
    <s v="32"/>
    <s v="32"/>
    <s v="Hemato-onkologická klinika"/>
    <x v="30"/>
    <s v="3246"/>
    <s v="laboratoř průtokové cytometrie"/>
    <s v="3246 - laboratoř průtokové cytometrie"/>
    <s v="50113001     léky - paušál+TISS (LEK)"/>
    <x v="3"/>
    <x v="2"/>
    <n v="8.51919"/>
    <n v="0"/>
  </r>
  <r>
    <s v="32"/>
    <s v="32"/>
    <s v="Hemato-onkologická klinika"/>
    <x v="30"/>
    <s v="3246"/>
    <s v="laboratoř průtokové cytometrie"/>
    <s v="3246 - laboratoř průtokové cytometrie"/>
    <s v="50115     Zdravotnické prostředky"/>
    <x v="0"/>
    <x v="1"/>
    <n v="531.03183000000001"/>
    <n v="173"/>
  </r>
  <r>
    <s v="32"/>
    <s v="32"/>
    <s v="Hemato-onkologická klinika"/>
    <x v="30"/>
    <s v="3246"/>
    <s v="laboratoř průtokové cytometrie"/>
    <s v="3246 - laboratoř průtokové cytometrie"/>
    <s v="50115     Zdravotnické prostředky"/>
    <x v="0"/>
    <x v="2"/>
    <n v="888.47221000000013"/>
    <n v="1061.99996654957"/>
  </r>
  <r>
    <s v="32"/>
    <s v="32"/>
    <s v="Hemato-onkologická klinika"/>
    <x v="30"/>
    <s v="3246"/>
    <s v="laboratoř průtokové cytometrie"/>
    <s v="3246 - laboratoř průtokové cytometrie"/>
    <s v="50115020     diagnostika laboratorní-LEK (sk.Z_501)"/>
    <x v="10"/>
    <x v="1"/>
    <n v="531.03183000000001"/>
    <n v="173"/>
  </r>
  <r>
    <s v="32"/>
    <s v="32"/>
    <s v="Hemato-onkologická klinika"/>
    <x v="30"/>
    <s v="3246"/>
    <s v="laboratoř průtokové cytometrie"/>
    <s v="3246 - laboratoř průtokové cytometrie"/>
    <s v="50115020     diagnostika laboratorní-LEK (sk.Z_501)"/>
    <x v="10"/>
    <x v="2"/>
    <n v="888.47221000000013"/>
    <n v="1061.99996654957"/>
  </r>
  <r>
    <s v="32"/>
    <s v="32"/>
    <s v="Hemato-onkologická klinika"/>
    <x v="30"/>
    <s v="3247"/>
    <s v="laboratoř molekulární biologie"/>
    <s v="3247 - laboratoř molekulární biologie"/>
    <s v="50113     Léky a léčiva"/>
    <x v="2"/>
    <x v="1"/>
    <n v="9.0778300000000005"/>
    <n v="0"/>
  </r>
  <r>
    <s v="32"/>
    <s v="32"/>
    <s v="Hemato-onkologická klinika"/>
    <x v="30"/>
    <s v="3247"/>
    <s v="laboratoř molekulární biologie"/>
    <s v="3247 - laboratoř molekulární biologie"/>
    <s v="50113     Léky a léčiva"/>
    <x v="2"/>
    <x v="2"/>
    <n v="15.93966"/>
    <n v="0"/>
  </r>
  <r>
    <s v="32"/>
    <s v="32"/>
    <s v="Hemato-onkologická klinika"/>
    <x v="30"/>
    <s v="3247"/>
    <s v="laboratoř molekulární biologie"/>
    <s v="3247 - laboratoř molekulární biologie"/>
    <s v="50113001     léky - paušál+TISS (LEK)"/>
    <x v="3"/>
    <x v="1"/>
    <n v="9.0778300000000005"/>
    <n v="0"/>
  </r>
  <r>
    <s v="32"/>
    <s v="32"/>
    <s v="Hemato-onkologická klinika"/>
    <x v="30"/>
    <s v="3247"/>
    <s v="laboratoř molekulární biologie"/>
    <s v="3247 - laboratoř molekulární biologie"/>
    <s v="50113001     léky - paušál+TISS (LEK)"/>
    <x v="3"/>
    <x v="2"/>
    <n v="15.93966"/>
    <n v="0"/>
  </r>
  <r>
    <s v="32"/>
    <s v="32"/>
    <s v="Hemato-onkologická klinika"/>
    <x v="30"/>
    <s v="3247"/>
    <s v="laboratoř molekulární biologie"/>
    <s v="3247 - laboratoř molekulární biologie"/>
    <s v="50115     Zdravotnické prostředky"/>
    <x v="0"/>
    <x v="1"/>
    <n v="743.12130999999999"/>
    <n v="322"/>
  </r>
  <r>
    <s v="32"/>
    <s v="32"/>
    <s v="Hemato-onkologická klinika"/>
    <x v="30"/>
    <s v="3247"/>
    <s v="laboratoř molekulární biologie"/>
    <s v="3247 - laboratoř molekulární biologie"/>
    <s v="50115     Zdravotnické prostředky"/>
    <x v="0"/>
    <x v="2"/>
    <n v="2246.23551"/>
    <n v="1485.9999531946"/>
  </r>
  <r>
    <s v="32"/>
    <s v="32"/>
    <s v="Hemato-onkologická klinika"/>
    <x v="30"/>
    <s v="3247"/>
    <s v="laboratoř molekulární biologie"/>
    <s v="3247 - laboratoř molekulární biologie"/>
    <s v="50115020     diagnostika laboratorní-LEK (sk.Z_501)"/>
    <x v="10"/>
    <x v="1"/>
    <n v="743.12130999999999"/>
    <n v="322"/>
  </r>
  <r>
    <s v="32"/>
    <s v="32"/>
    <s v="Hemato-onkologická klinika"/>
    <x v="30"/>
    <s v="3247"/>
    <s v="laboratoř molekulární biologie"/>
    <s v="3247 - laboratoř molekulární biologie"/>
    <s v="50115020     diagnostika laboratorní-LEK (sk.Z_501)"/>
    <x v="10"/>
    <x v="2"/>
    <n v="2246.23551"/>
    <n v="1485.9999531946"/>
  </r>
  <r>
    <s v="32"/>
    <s v="32"/>
    <s v="Hemato-onkologická klinika"/>
    <x v="30"/>
    <s v="3248"/>
    <s v="laboratoř tkáňových kultur"/>
    <s v="3248 - laboratoř tkáňových kultur"/>
    <s v="50113     Léky a léčiva"/>
    <x v="2"/>
    <x v="1"/>
    <n v="32.279760000000003"/>
    <n v="0"/>
  </r>
  <r>
    <s v="32"/>
    <s v="32"/>
    <s v="Hemato-onkologická klinika"/>
    <x v="30"/>
    <s v="3248"/>
    <s v="laboratoř tkáňových kultur"/>
    <s v="3248 - laboratoř tkáňových kultur"/>
    <s v="50113     Léky a léčiva"/>
    <x v="2"/>
    <x v="2"/>
    <n v="33.183550000000004"/>
    <n v="0"/>
  </r>
  <r>
    <s v="32"/>
    <s v="32"/>
    <s v="Hemato-onkologická klinika"/>
    <x v="30"/>
    <s v="3248"/>
    <s v="laboratoř tkáňových kultur"/>
    <s v="3248 - laboratoř tkáňových kultur"/>
    <s v="50113001     léky - paušál+TISS (LEK)"/>
    <x v="3"/>
    <x v="1"/>
    <n v="32.279760000000003"/>
    <n v="0"/>
  </r>
  <r>
    <s v="32"/>
    <s v="32"/>
    <s v="Hemato-onkologická klinika"/>
    <x v="30"/>
    <s v="3248"/>
    <s v="laboratoř tkáňových kultur"/>
    <s v="3248 - laboratoř tkáňových kultur"/>
    <s v="50113001     léky - paušál+TISS (LEK)"/>
    <x v="3"/>
    <x v="2"/>
    <n v="33.183550000000004"/>
    <n v="0"/>
  </r>
  <r>
    <s v="32"/>
    <s v="32"/>
    <s v="Hemato-onkologická klinika"/>
    <x v="30"/>
    <s v="3248"/>
    <s v="laboratoř tkáňových kultur"/>
    <s v="3248 - laboratoř tkáňových kultur"/>
    <s v="50115     Zdravotnické prostředky"/>
    <x v="0"/>
    <x v="1"/>
    <n v="381.73029000000002"/>
    <n v="0"/>
  </r>
  <r>
    <s v="32"/>
    <s v="32"/>
    <s v="Hemato-onkologická klinika"/>
    <x v="30"/>
    <s v="3248"/>
    <s v="laboratoř tkáňových kultur"/>
    <s v="3248 - laboratoř tkáňových kultur"/>
    <s v="50115     Zdravotnické prostředky"/>
    <x v="0"/>
    <x v="2"/>
    <n v="197.01682"/>
    <n v="763.99997593585101"/>
  </r>
  <r>
    <s v="32"/>
    <s v="32"/>
    <s v="Hemato-onkologická klinika"/>
    <x v="30"/>
    <s v="3248"/>
    <s v="laboratoř tkáňových kultur"/>
    <s v="3248 - laboratoř tkáňových kultur"/>
    <s v="50115020     diagnostika laboratorní-LEK (sk.Z_501)"/>
    <x v="10"/>
    <x v="1"/>
    <n v="381.73029000000002"/>
    <n v="0"/>
  </r>
  <r>
    <s v="32"/>
    <s v="32"/>
    <s v="Hemato-onkologická klinika"/>
    <x v="30"/>
    <s v="3248"/>
    <s v="laboratoř tkáňových kultur"/>
    <s v="3248 - laboratoř tkáňových kultur"/>
    <s v="50115020     diagnostika laboratorní-LEK (sk.Z_501)"/>
    <x v="10"/>
    <x v="2"/>
    <n v="197.01682"/>
    <n v="763.99997593585101"/>
  </r>
  <r>
    <s v="32"/>
    <s v="32"/>
    <s v="Hemato-onkologická klinika"/>
    <x v="30"/>
    <s v="3294"/>
    <s v="centrum -  HOK"/>
    <s v="3294 - centrum -  HOK"/>
    <s v="50113     Léky a léčiva"/>
    <x v="2"/>
    <x v="0"/>
    <n v="164514.0038500001"/>
    <n v="157157.49999999299"/>
  </r>
  <r>
    <s v="32"/>
    <s v="32"/>
    <s v="Hemato-onkologická klinika"/>
    <x v="30"/>
    <s v="3294"/>
    <s v="centrum -  HOK"/>
    <s v="3294 - centrum -  HOK"/>
    <s v="50113     Léky a léčiva"/>
    <x v="2"/>
    <x v="1"/>
    <n v="176393.9797600001"/>
    <n v="173552.72222077701"/>
  </r>
  <r>
    <s v="32"/>
    <s v="32"/>
    <s v="Hemato-onkologická klinika"/>
    <x v="30"/>
    <s v="3294"/>
    <s v="centrum -  HOK"/>
    <s v="3294 - centrum -  HOK"/>
    <s v="50113     Léky a léčiva"/>
    <x v="2"/>
    <x v="2"/>
    <n v="161570.85697999998"/>
    <n v="210302.994505437"/>
  </r>
  <r>
    <s v="32"/>
    <s v="32"/>
    <s v="Hemato-onkologická klinika"/>
    <x v="30"/>
    <s v="3294"/>
    <s v="centrum -  HOK"/>
    <s v="3294 - centrum -  HOK"/>
    <s v="50113016     léky - spotřeba v centrech (LEK)"/>
    <x v="39"/>
    <x v="0"/>
    <n v="164514.0038500001"/>
    <n v="157157.49999999299"/>
  </r>
  <r>
    <s v="32"/>
    <s v="32"/>
    <s v="Hemato-onkologická klinika"/>
    <x v="30"/>
    <s v="3294"/>
    <s v="centrum -  HOK"/>
    <s v="3294 - centrum -  HOK"/>
    <s v="50113016     léky - spotřeba v centrech (LEK)"/>
    <x v="39"/>
    <x v="1"/>
    <n v="176393.9797600001"/>
    <n v="173552.72222077701"/>
  </r>
  <r>
    <s v="32"/>
    <s v="32"/>
    <s v="Hemato-onkologická klinika"/>
    <x v="30"/>
    <s v="3294"/>
    <s v="centrum -  HOK"/>
    <s v="3294 - centrum -  HOK"/>
    <s v="50113016     léky - spotřeba v centrech (LEK)"/>
    <x v="39"/>
    <x v="2"/>
    <n v="161570.85697999998"/>
    <n v="210302.994505437"/>
  </r>
  <r>
    <s v="33"/>
    <s v="33"/>
    <s v="Oddělení klinické biochemie"/>
    <x v="31"/>
    <s v="3341"/>
    <s v="centrální laboratoř"/>
    <s v="3341 - centrální laboratoř"/>
    <s v="50113     Léky a léčiva"/>
    <x v="2"/>
    <x v="0"/>
    <n v="29.140399999997999"/>
    <n v="17.859501835498001"/>
  </r>
  <r>
    <s v="33"/>
    <s v="33"/>
    <s v="Oddělení klinické biochemie"/>
    <x v="31"/>
    <s v="3341"/>
    <s v="centrální laboratoř"/>
    <s v="3341 - centrální laboratoř"/>
    <s v="50113     Léky a léčiva"/>
    <x v="2"/>
    <x v="1"/>
    <n v="8.35107"/>
    <n v="26.162471259339998"/>
  </r>
  <r>
    <s v="33"/>
    <s v="33"/>
    <s v="Oddělení klinické biochemie"/>
    <x v="31"/>
    <s v="3341"/>
    <s v="centrální laboratoř"/>
    <s v="3341 - centrální laboratoř"/>
    <s v="50113     Léky a léčiva"/>
    <x v="2"/>
    <x v="2"/>
    <n v="5.24498"/>
    <n v="15.676936484876"/>
  </r>
  <r>
    <s v="33"/>
    <s v="33"/>
    <s v="Oddělení klinické biochemie"/>
    <x v="31"/>
    <s v="3341"/>
    <s v="centrální laboratoř"/>
    <s v="3341 - centrální laboratoř"/>
    <s v="50113001     léky - paušál+TISS (LEK)"/>
    <x v="3"/>
    <x v="0"/>
    <n v="29.140399999997999"/>
    <n v="17.859501835498001"/>
  </r>
  <r>
    <s v="33"/>
    <s v="33"/>
    <s v="Oddělení klinické biochemie"/>
    <x v="31"/>
    <s v="3341"/>
    <s v="centrální laboratoř"/>
    <s v="3341 - centrální laboratoř"/>
    <s v="50113001     léky - paušál+TISS (LEK)"/>
    <x v="3"/>
    <x v="1"/>
    <n v="8.35107"/>
    <n v="26.162471259339998"/>
  </r>
  <r>
    <s v="33"/>
    <s v="33"/>
    <s v="Oddělení klinické biochemie"/>
    <x v="31"/>
    <s v="3341"/>
    <s v="centrální laboratoř"/>
    <s v="3341 - centrální laboratoř"/>
    <s v="50113001     léky - paušál+TISS (LEK)"/>
    <x v="3"/>
    <x v="2"/>
    <n v="5.24498"/>
    <n v="15.676936484876"/>
  </r>
  <r>
    <s v="33"/>
    <s v="33"/>
    <s v="Oddělení klinické biochemie"/>
    <x v="31"/>
    <s v="3341"/>
    <s v="centrální laboratoř"/>
    <s v="3341 - centrální laboratoř"/>
    <s v="50115     Zdravotnické prostředky"/>
    <x v="0"/>
    <x v="0"/>
    <n v="51563.242570000017"/>
    <n v="52889.698319628798"/>
  </r>
  <r>
    <s v="33"/>
    <s v="33"/>
    <s v="Oddělení klinické biochemie"/>
    <x v="31"/>
    <s v="3341"/>
    <s v="centrální laboratoř"/>
    <s v="3341 - centrální laboratoř"/>
    <s v="50115     Zdravotnické prostředky"/>
    <x v="0"/>
    <x v="1"/>
    <n v="58123.874800000027"/>
    <n v="56308.580540112598"/>
  </r>
  <r>
    <s v="33"/>
    <s v="33"/>
    <s v="Oddělení klinické biochemie"/>
    <x v="31"/>
    <s v="3341"/>
    <s v="centrální laboratoř"/>
    <s v="3341 - centrální laboratoř"/>
    <s v="50115     Zdravotnické prostředky"/>
    <x v="0"/>
    <x v="2"/>
    <n v="45406.533310000006"/>
    <n v="57418.857044022501"/>
  </r>
  <r>
    <s v="33"/>
    <s v="33"/>
    <s v="Oddělení klinické biochemie"/>
    <x v="31"/>
    <s v="3341"/>
    <s v="centrální laboratoř"/>
    <s v="3341 - centrální laboratoř"/>
    <s v="50115020     diagnostika laboratorní-LEK (sk.Z_501)"/>
    <x v="10"/>
    <x v="0"/>
    <n v="50191.215530000023"/>
    <n v="51504.046410981799"/>
  </r>
  <r>
    <s v="33"/>
    <s v="33"/>
    <s v="Oddělení klinické biochemie"/>
    <x v="31"/>
    <s v="3341"/>
    <s v="centrální laboratoř"/>
    <s v="3341 - centrální laboratoř"/>
    <s v="50115020     diagnostika laboratorní-LEK (sk.Z_501)"/>
    <x v="10"/>
    <x v="1"/>
    <n v="56503.073690000012"/>
    <n v="54931.517245905598"/>
  </r>
  <r>
    <s v="33"/>
    <s v="33"/>
    <s v="Oddělení klinické biochemie"/>
    <x v="31"/>
    <s v="3341"/>
    <s v="centrální laboratoř"/>
    <s v="3341 - centrální laboratoř"/>
    <s v="50115020     diagnostika laboratorní-LEK (sk.Z_501)"/>
    <x v="10"/>
    <x v="2"/>
    <n v="44775.719910000014"/>
    <n v="55852.998387355598"/>
  </r>
  <r>
    <s v="33"/>
    <s v="33"/>
    <s v="Oddělení klinické biochemie"/>
    <x v="31"/>
    <s v="3341"/>
    <s v="centrální laboratoř"/>
    <s v="3341 - centrální laboratoř"/>
    <s v="50115040     laboratorní materiál (sk.Z_505)"/>
    <x v="11"/>
    <x v="0"/>
    <n v="790.27168000000097"/>
    <n v="435.33838112663102"/>
  </r>
  <r>
    <s v="33"/>
    <s v="33"/>
    <s v="Oddělení klinické biochemie"/>
    <x v="31"/>
    <s v="3341"/>
    <s v="centrální laboratoř"/>
    <s v="3341 - centrální laboratoř"/>
    <s v="50115040     laboratorní materiál (sk.Z_505)"/>
    <x v="11"/>
    <x v="1"/>
    <n v="890.48158000000012"/>
    <n v="794.87184241608895"/>
  </r>
  <r>
    <s v="33"/>
    <s v="33"/>
    <s v="Oddělení klinické biochemie"/>
    <x v="31"/>
    <s v="3341"/>
    <s v="centrální laboratoř"/>
    <s v="3341 - centrální laboratoř"/>
    <s v="50115040     laboratorní materiál (sk.Z_505)"/>
    <x v="11"/>
    <x v="2"/>
    <n v="243.47846999999999"/>
    <n v="773.99997562087594"/>
  </r>
  <r>
    <s v="33"/>
    <s v="33"/>
    <s v="Oddělení klinické biochemie"/>
    <x v="31"/>
    <s v="3341"/>
    <s v="centrální laboratoř"/>
    <s v="3341 - centrální laboratoř"/>
    <s v="50115050     obvazový materiál (sk.Z_502)"/>
    <x v="12"/>
    <x v="0"/>
    <n v="4.8262400000000003"/>
    <n v="15.742012399386001"/>
  </r>
  <r>
    <s v="33"/>
    <s v="33"/>
    <s v="Oddělení klinické biochemie"/>
    <x v="31"/>
    <s v="3341"/>
    <s v="centrální laboratoř"/>
    <s v="3341 - centrální laboratoř"/>
    <s v="50115050     obvazový materiál (sk.Z_502)"/>
    <x v="12"/>
    <x v="1"/>
    <n v="4.5666700000000002"/>
    <n v="4.837215118134"/>
  </r>
  <r>
    <s v="33"/>
    <s v="33"/>
    <s v="Oddělení klinické biochemie"/>
    <x v="31"/>
    <s v="3341"/>
    <s v="centrální laboratoř"/>
    <s v="3341 - centrální laboratoř"/>
    <s v="50115050     obvazový materiál (sk.Z_502)"/>
    <x v="12"/>
    <x v="2"/>
    <n v="4.2159499999999994"/>
    <n v="6.8589243899580001"/>
  </r>
  <r>
    <s v="33"/>
    <s v="33"/>
    <s v="Oddělení klinické biochemie"/>
    <x v="31"/>
    <s v="3341"/>
    <s v="centrální laboratoř"/>
    <s v="3341 - centrální laboratoř"/>
    <s v="50115060     ostatní ZPr - mimo níže uvedené (sk.Z_503)"/>
    <x v="1"/>
    <x v="0"/>
    <n v="546.60562000000004"/>
    <n v="904.16737539128496"/>
  </r>
  <r>
    <s v="33"/>
    <s v="33"/>
    <s v="Oddělení klinické biochemie"/>
    <x v="31"/>
    <s v="3341"/>
    <s v="centrální laboratoř"/>
    <s v="3341 - centrální laboratoř"/>
    <s v="50115060     ostatní ZPr - mimo níže uvedené (sk.Z_503)"/>
    <x v="1"/>
    <x v="1"/>
    <n v="671.11106000000007"/>
    <n v="546.60150223390997"/>
  </r>
  <r>
    <s v="33"/>
    <s v="33"/>
    <s v="Oddělení klinické biochemie"/>
    <x v="31"/>
    <s v="3341"/>
    <s v="centrální laboratoř"/>
    <s v="3341 - centrální laboratoř"/>
    <s v="50115060     ostatní ZPr - mimo níže uvedené (sk.Z_503)"/>
    <x v="1"/>
    <x v="2"/>
    <n v="322.79497999999995"/>
    <n v="739.34385151181698"/>
  </r>
  <r>
    <s v="33"/>
    <s v="33"/>
    <s v="Oddělení klinické biochemie"/>
    <x v="31"/>
    <s v="3341"/>
    <s v="centrální laboratoř"/>
    <s v="3341 - centrální laboratoř"/>
    <s v="50115065     ostatní ZPr - vpichovací materiál (sk.Z_530)"/>
    <x v="14"/>
    <x v="0"/>
    <n v="1.2200000000000001E-2"/>
    <n v="0"/>
  </r>
  <r>
    <s v="33"/>
    <s v="33"/>
    <s v="Oddělení klinické biochemie"/>
    <x v="31"/>
    <s v="3341"/>
    <s v="centrální laboratoř"/>
    <s v="3341 - centrální laboratoř"/>
    <s v="50115065     ostatní ZPr - vpichovací materiál (sk.Z_530)"/>
    <x v="14"/>
    <x v="1"/>
    <n v="2.8517999999999999"/>
    <n v="1.2514952337E-2"/>
  </r>
  <r>
    <s v="33"/>
    <s v="33"/>
    <s v="Oddělení klinické biochemie"/>
    <x v="31"/>
    <s v="3341"/>
    <s v="centrální laboratoř"/>
    <s v="3341 - centrální laboratoř"/>
    <s v="50115065     ostatní ZPr - vpichovací materiál (sk.Z_530)"/>
    <x v="14"/>
    <x v="2"/>
    <n v="2.1040000000000001"/>
    <n v="0.99999996850200001"/>
  </r>
  <r>
    <s v="33"/>
    <s v="33"/>
    <s v="Oddělení klinické biochemie"/>
    <x v="31"/>
    <s v="3341"/>
    <s v="centrální laboratoř"/>
    <s v="3341 - centrální laboratoř"/>
    <s v="50115067     ostatní ZPr - rukavice (sk.Z_532)"/>
    <x v="15"/>
    <x v="0"/>
    <n v="30.311299999999001"/>
    <n v="30.404139729712"/>
  </r>
  <r>
    <s v="33"/>
    <s v="33"/>
    <s v="Oddělení klinické biochemie"/>
    <x v="31"/>
    <s v="3341"/>
    <s v="centrální laboratoř"/>
    <s v="3341 - centrální laboratoř"/>
    <s v="50115067     ostatní ZPr - rukavice (sk.Z_532)"/>
    <x v="15"/>
    <x v="1"/>
    <n v="51.79"/>
    <n v="30.740219486558999"/>
  </r>
  <r>
    <s v="33"/>
    <s v="33"/>
    <s v="Oddělení klinické biochemie"/>
    <x v="31"/>
    <s v="3341"/>
    <s v="centrální laboratoř"/>
    <s v="3341 - centrální laboratoř"/>
    <s v="50115067     ostatní ZPr - rukavice (sk.Z_532)"/>
    <x v="15"/>
    <x v="2"/>
    <n v="58.220000000000006"/>
    <n v="44.655905175789002"/>
  </r>
  <r>
    <s v="33"/>
    <s v="33"/>
    <s v="Oddělení klinické biochemie"/>
    <x v="31"/>
    <s v="3342"/>
    <s v="laboratoř DMP"/>
    <s v="3342 - laboratoř DMP"/>
    <s v="50113     Léky a léčiva"/>
    <x v="2"/>
    <x v="0"/>
    <n v="4.7365199999999996"/>
    <n v="2.188271245198"/>
  </r>
  <r>
    <s v="33"/>
    <s v="33"/>
    <s v="Oddělení klinické biochemie"/>
    <x v="31"/>
    <s v="3342"/>
    <s v="laboratoř DMP"/>
    <s v="3342 - laboratoř DMP"/>
    <s v="50113     Léky a léčiva"/>
    <x v="2"/>
    <x v="1"/>
    <n v="1.7452900000000002"/>
    <n v="7.5757160032110002"/>
  </r>
  <r>
    <s v="33"/>
    <s v="33"/>
    <s v="Oddělení klinické biochemie"/>
    <x v="31"/>
    <s v="3342"/>
    <s v="laboratoř DMP"/>
    <s v="3342 - laboratoř DMP"/>
    <s v="50113     Léky a léčiva"/>
    <x v="2"/>
    <x v="2"/>
    <n v="0.20216000000000001"/>
    <n v="3.1070351936030001"/>
  </r>
  <r>
    <s v="33"/>
    <s v="33"/>
    <s v="Oddělení klinické biochemie"/>
    <x v="31"/>
    <s v="3342"/>
    <s v="laboratoř DMP"/>
    <s v="3342 - laboratoř DMP"/>
    <s v="50113001     léky - paušál+TISS (LEK)"/>
    <x v="3"/>
    <x v="0"/>
    <n v="2.1758800000000003"/>
    <n v="2.188271245198"/>
  </r>
  <r>
    <s v="33"/>
    <s v="33"/>
    <s v="Oddělení klinické biochemie"/>
    <x v="31"/>
    <s v="3342"/>
    <s v="laboratoř DMP"/>
    <s v="3342 - laboratoř DMP"/>
    <s v="50113001     léky - paušál+TISS (LEK)"/>
    <x v="3"/>
    <x v="1"/>
    <n v="1.7452900000000002"/>
    <n v="5.1775282087720003"/>
  </r>
  <r>
    <s v="33"/>
    <s v="33"/>
    <s v="Oddělení klinické biochemie"/>
    <x v="31"/>
    <s v="3342"/>
    <s v="laboratoř DMP"/>
    <s v="3342 - laboratoř DMP"/>
    <s v="50113001     léky - paušál+TISS (LEK)"/>
    <x v="3"/>
    <x v="2"/>
    <n v="0.20216000000000001"/>
    <n v="3.1070351936030001"/>
  </r>
  <r>
    <s v="33"/>
    <s v="33"/>
    <s v="Oddělení klinické biochemie"/>
    <x v="31"/>
    <s v="3342"/>
    <s v="laboratoř DMP"/>
    <s v="3342 - laboratoř DMP"/>
    <s v="50113009     léky - RTG diagnostika ZUL (LEK)"/>
    <x v="22"/>
    <x v="0"/>
    <n v="2.5606400000000002"/>
    <n v="0"/>
  </r>
  <r>
    <s v="33"/>
    <s v="33"/>
    <s v="Oddělení klinické biochemie"/>
    <x v="31"/>
    <s v="3342"/>
    <s v="laboratoř DMP"/>
    <s v="3342 - laboratoř DMP"/>
    <s v="50113009     léky - RTG diagnostika ZUL (LEK)"/>
    <x v="22"/>
    <x v="1"/>
    <n v="0"/>
    <n v="2.398187794439"/>
  </r>
  <r>
    <s v="33"/>
    <s v="33"/>
    <s v="Oddělení klinické biochemie"/>
    <x v="31"/>
    <s v="3342"/>
    <s v="laboratoř DMP"/>
    <s v="3342 - laboratoř DMP"/>
    <s v="50115     Zdravotnické prostředky"/>
    <x v="0"/>
    <x v="0"/>
    <n v="2647.435620000002"/>
    <n v="2786.6546038168799"/>
  </r>
  <r>
    <s v="33"/>
    <s v="33"/>
    <s v="Oddělení klinické biochemie"/>
    <x v="31"/>
    <s v="3342"/>
    <s v="laboratoř DMP"/>
    <s v="3342 - laboratoř DMP"/>
    <s v="50115     Zdravotnické prostředky"/>
    <x v="0"/>
    <x v="1"/>
    <n v="2688.5292100000001"/>
    <n v="2647.8271069893899"/>
  </r>
  <r>
    <s v="33"/>
    <s v="33"/>
    <s v="Oddělení klinické biochemie"/>
    <x v="31"/>
    <s v="3342"/>
    <s v="laboratoř DMP"/>
    <s v="3342 - laboratoř DMP"/>
    <s v="50115     Zdravotnické prostředky"/>
    <x v="0"/>
    <x v="2"/>
    <n v="1396.6370800000002"/>
    <n v="2580.2438379004002"/>
  </r>
  <r>
    <s v="33"/>
    <s v="33"/>
    <s v="Oddělení klinické biochemie"/>
    <x v="31"/>
    <s v="3342"/>
    <s v="laboratoř DMP"/>
    <s v="3342 - laboratoř DMP"/>
    <s v="50115020     diagnostika laboratorní-LEK (sk.Z_501)"/>
    <x v="10"/>
    <x v="0"/>
    <n v="2372.4339700000019"/>
    <n v="2495.90490399798"/>
  </r>
  <r>
    <s v="33"/>
    <s v="33"/>
    <s v="Oddělení klinické biochemie"/>
    <x v="31"/>
    <s v="3342"/>
    <s v="laboratoř DMP"/>
    <s v="3342 - laboratoř DMP"/>
    <s v="50115020     diagnostika laboratorní-LEK (sk.Z_501)"/>
    <x v="10"/>
    <x v="1"/>
    <n v="2441.9904199999996"/>
    <n v="2372.4314572322301"/>
  </r>
  <r>
    <s v="33"/>
    <s v="33"/>
    <s v="Oddělení klinické biochemie"/>
    <x v="31"/>
    <s v="3342"/>
    <s v="laboratoř DMP"/>
    <s v="3342 - laboratoř DMP"/>
    <s v="50115020     diagnostika laboratorní-LEK (sk.Z_501)"/>
    <x v="10"/>
    <x v="2"/>
    <n v="1288.52538"/>
    <n v="2408.8623842030402"/>
  </r>
  <r>
    <s v="33"/>
    <s v="33"/>
    <s v="Oddělení klinické biochemie"/>
    <x v="31"/>
    <s v="3342"/>
    <s v="laboratoř DMP"/>
    <s v="3342 - laboratoř DMP"/>
    <s v="50115040     laboratorní materiál (sk.Z_505)"/>
    <x v="11"/>
    <x v="0"/>
    <n v="47.902609999999996"/>
    <n v="11.399369175417"/>
  </r>
  <r>
    <s v="33"/>
    <s v="33"/>
    <s v="Oddělení klinické biochemie"/>
    <x v="31"/>
    <s v="3342"/>
    <s v="laboratoř DMP"/>
    <s v="3342 - laboratoř DMP"/>
    <s v="50115040     laboratorní materiál (sk.Z_505)"/>
    <x v="11"/>
    <x v="1"/>
    <n v="111.12772"/>
    <n v="48.181450545258997"/>
  </r>
  <r>
    <s v="33"/>
    <s v="33"/>
    <s v="Oddělení klinické biochemie"/>
    <x v="31"/>
    <s v="3342"/>
    <s v="laboratoř DMP"/>
    <s v="3342 - laboratoř DMP"/>
    <s v="50115040     laboratorní materiál (sk.Z_505)"/>
    <x v="11"/>
    <x v="2"/>
    <n v="14.547160000000002"/>
    <n v="100.80244651965999"/>
  </r>
  <r>
    <s v="33"/>
    <s v="33"/>
    <s v="Oddělení klinické biochemie"/>
    <x v="31"/>
    <s v="3342"/>
    <s v="laboratoř DMP"/>
    <s v="3342 - laboratoř DMP"/>
    <s v="50115050     obvazový materiál (sk.Z_502)"/>
    <x v="12"/>
    <x v="0"/>
    <n v="5.0641000000000007"/>
    <n v="5.0497739832350002"/>
  </r>
  <r>
    <s v="33"/>
    <s v="33"/>
    <s v="Oddělení klinické biochemie"/>
    <x v="31"/>
    <s v="3342"/>
    <s v="laboratoř DMP"/>
    <s v="3342 - laboratoř DMP"/>
    <s v="50115050     obvazový materiál (sk.Z_502)"/>
    <x v="12"/>
    <x v="1"/>
    <n v="4.9762399999999998"/>
    <n v="5.0756160240149999"/>
  </r>
  <r>
    <s v="33"/>
    <s v="33"/>
    <s v="Oddělení klinické biochemie"/>
    <x v="31"/>
    <s v="3342"/>
    <s v="laboratoř DMP"/>
    <s v="3342 - laboratoř DMP"/>
    <s v="50115050     obvazový materiál (sk.Z_502)"/>
    <x v="12"/>
    <x v="2"/>
    <n v="6.3500000000000001E-2"/>
    <n v="2.6318370125909998"/>
  </r>
  <r>
    <s v="33"/>
    <s v="33"/>
    <s v="Oddělení klinické biochemie"/>
    <x v="31"/>
    <s v="3342"/>
    <s v="laboratoř DMP"/>
    <s v="3342 - laboratoř DMP"/>
    <s v="50115060     ostatní ZPr - mimo níže uvedené (sk.Z_503)"/>
    <x v="1"/>
    <x v="0"/>
    <n v="215.39852000000002"/>
    <n v="268.59978758688698"/>
  </r>
  <r>
    <s v="33"/>
    <s v="33"/>
    <s v="Oddělení klinické biochemie"/>
    <x v="31"/>
    <s v="3342"/>
    <s v="laboratoř DMP"/>
    <s v="3342 - laboratoř DMP"/>
    <s v="50115060     ostatní ZPr - mimo níže uvedené (sk.Z_503)"/>
    <x v="1"/>
    <x v="1"/>
    <n v="124.34366"/>
    <n v="215.39689732967"/>
  </r>
  <r>
    <s v="33"/>
    <s v="33"/>
    <s v="Oddělení klinické biochemie"/>
    <x v="31"/>
    <s v="3342"/>
    <s v="laboratoř DMP"/>
    <s v="3342 - laboratoř DMP"/>
    <s v="50115060     ostatní ZPr - mimo níže uvedené (sk.Z_503)"/>
    <x v="1"/>
    <x v="2"/>
    <n v="89.951039999999992"/>
    <n v="63.603076884284"/>
  </r>
  <r>
    <s v="33"/>
    <s v="33"/>
    <s v="Oddělení klinické biochemie"/>
    <x v="31"/>
    <s v="3342"/>
    <s v="laboratoř DMP"/>
    <s v="3342 - laboratoř DMP"/>
    <s v="50115065     ostatní ZPr - vpichovací materiál (sk.Z_530)"/>
    <x v="14"/>
    <x v="0"/>
    <n v="0.97360000000000002"/>
    <n v="0"/>
  </r>
  <r>
    <s v="33"/>
    <s v="33"/>
    <s v="Oddělení klinické biochemie"/>
    <x v="31"/>
    <s v="3342"/>
    <s v="laboratoř DMP"/>
    <s v="3342 - laboratoř DMP"/>
    <s v="50115065     ostatní ZPr - vpichovací materiál (sk.Z_530)"/>
    <x v="14"/>
    <x v="1"/>
    <n v="0"/>
    <n v="0.99873422918700006"/>
  </r>
  <r>
    <s v="33"/>
    <s v="33"/>
    <s v="Oddělení klinické biochemie"/>
    <x v="31"/>
    <s v="3342"/>
    <s v="laboratoř DMP"/>
    <s v="3342 - laboratoř DMP"/>
    <s v="50115067     ostatní ZPr - rukavice (sk.Z_532)"/>
    <x v="15"/>
    <x v="0"/>
    <n v="5.66282"/>
    <n v="5.700769073359"/>
  </r>
  <r>
    <s v="33"/>
    <s v="33"/>
    <s v="Oddělení klinické biochemie"/>
    <x v="31"/>
    <s v="3342"/>
    <s v="laboratoř DMP"/>
    <s v="3342 - laboratoř DMP"/>
    <s v="50115067     ostatní ZPr - rukavice (sk.Z_532)"/>
    <x v="15"/>
    <x v="1"/>
    <n v="6.09117"/>
    <n v="5.7429516290249998"/>
  </r>
  <r>
    <s v="33"/>
    <s v="33"/>
    <s v="Oddělení klinické biochemie"/>
    <x v="31"/>
    <s v="3342"/>
    <s v="laboratoř DMP"/>
    <s v="3342 - laboratoř DMP"/>
    <s v="50115067     ostatní ZPr - rukavice (sk.Z_532)"/>
    <x v="15"/>
    <x v="2"/>
    <n v="3.55"/>
    <n v="4.344093280829"/>
  </r>
  <r>
    <s v="33"/>
    <s v="33"/>
    <s v="Oddělení klinické biochemie"/>
    <x v="31"/>
    <s v="3343"/>
    <s v="centrální laboratorní příjem"/>
    <s v="3343 - centrální laboratorní příjem"/>
    <s v="50113     Léky a léčiva"/>
    <x v="2"/>
    <x v="0"/>
    <n v="7.1580000000000005E-2"/>
    <n v="0"/>
  </r>
  <r>
    <s v="33"/>
    <s v="33"/>
    <s v="Oddělení klinické biochemie"/>
    <x v="31"/>
    <s v="3343"/>
    <s v="centrální laboratorní příjem"/>
    <s v="3343 - centrální laboratorní příjem"/>
    <s v="50113     Léky a léčiva"/>
    <x v="2"/>
    <x v="1"/>
    <n v="0"/>
    <n v="7.1634221181000005E-2"/>
  </r>
  <r>
    <s v="33"/>
    <s v="33"/>
    <s v="Oddělení klinické biochemie"/>
    <x v="31"/>
    <s v="3343"/>
    <s v="centrální laboratorní příjem"/>
    <s v="3343 - centrální laboratorní příjem"/>
    <s v="50113001     léky - paušál+TISS (LEK)"/>
    <x v="3"/>
    <x v="0"/>
    <n v="7.1580000000000005E-2"/>
    <n v="0"/>
  </r>
  <r>
    <s v="33"/>
    <s v="33"/>
    <s v="Oddělení klinické biochemie"/>
    <x v="31"/>
    <s v="3343"/>
    <s v="centrální laboratorní příjem"/>
    <s v="3343 - centrální laboratorní příjem"/>
    <s v="50113001     léky - paušál+TISS (LEK)"/>
    <x v="3"/>
    <x v="1"/>
    <n v="0"/>
    <n v="7.1634221181000005E-2"/>
  </r>
  <r>
    <s v="33"/>
    <s v="33"/>
    <s v="Oddělení klinické biochemie"/>
    <x v="31"/>
    <s v="3343"/>
    <s v="centrální laboratorní příjem"/>
    <s v="3343 - centrální laboratorní příjem"/>
    <s v="50115     Zdravotnické prostředky"/>
    <x v="0"/>
    <x v="0"/>
    <n v="0"/>
    <n v="3.8004747104450001"/>
  </r>
  <r>
    <s v="33"/>
    <s v="33"/>
    <s v="Oddělení klinické biochemie"/>
    <x v="31"/>
    <s v="3343"/>
    <s v="centrální laboratorní příjem"/>
    <s v="3343 - centrální laboratorní příjem"/>
    <s v="50115067     ostatní ZPr - rukavice (sk.Z_532)"/>
    <x v="15"/>
    <x v="0"/>
    <n v="0"/>
    <n v="3.8004747104450001"/>
  </r>
  <r>
    <s v="33"/>
    <s v="33"/>
    <s v="Oddělení klinické biochemie"/>
    <x v="31"/>
    <s v="3344"/>
    <s v="OKB - pochůzková služba"/>
    <s v="3344 - OKB - pochůzková služba"/>
    <s v="50113     Léky a léčiva"/>
    <x v="2"/>
    <x v="0"/>
    <n v="0.45963999999999994"/>
    <n v="0"/>
  </r>
  <r>
    <s v="33"/>
    <s v="33"/>
    <s v="Oddělení klinické biochemie"/>
    <x v="31"/>
    <s v="3344"/>
    <s v="OKB - pochůzková služba"/>
    <s v="3344 - OKB - pochůzková služba"/>
    <s v="50113     Léky a léčiva"/>
    <x v="2"/>
    <x v="1"/>
    <n v="0.19464000000000001"/>
    <n v="0.459988173005"/>
  </r>
  <r>
    <s v="33"/>
    <s v="33"/>
    <s v="Oddělení klinické biochemie"/>
    <x v="31"/>
    <s v="3344"/>
    <s v="OKB - pochůzková služba"/>
    <s v="3344 - OKB - pochůzková služba"/>
    <s v="50113     Léky a léčiva"/>
    <x v="2"/>
    <x v="2"/>
    <n v="0"/>
    <n v="0.34650592742899999"/>
  </r>
  <r>
    <s v="33"/>
    <s v="33"/>
    <s v="Oddělení klinické biochemie"/>
    <x v="31"/>
    <s v="3344"/>
    <s v="OKB - pochůzková služba"/>
    <s v="3344 - OKB - pochůzková služba"/>
    <s v="50113001     léky - paušál+TISS (LEK)"/>
    <x v="3"/>
    <x v="0"/>
    <n v="0.45963999999999994"/>
    <n v="0"/>
  </r>
  <r>
    <s v="33"/>
    <s v="33"/>
    <s v="Oddělení klinické biochemie"/>
    <x v="31"/>
    <s v="3344"/>
    <s v="OKB - pochůzková služba"/>
    <s v="3344 - OKB - pochůzková služba"/>
    <s v="50113001     léky - paušál+TISS (LEK)"/>
    <x v="3"/>
    <x v="1"/>
    <n v="0.19464000000000001"/>
    <n v="0.459988173005"/>
  </r>
  <r>
    <s v="33"/>
    <s v="33"/>
    <s v="Oddělení klinické biochemie"/>
    <x v="31"/>
    <s v="3344"/>
    <s v="OKB - pochůzková služba"/>
    <s v="3344 - OKB - pochůzková služba"/>
    <s v="50113001     léky - paušál+TISS (LEK)"/>
    <x v="3"/>
    <x v="2"/>
    <n v="0"/>
    <n v="0.34650592742899999"/>
  </r>
  <r>
    <s v="33"/>
    <s v="33"/>
    <s v="Oddělení klinické biochemie"/>
    <x v="31"/>
    <s v="3344"/>
    <s v="OKB - pochůzková služba"/>
    <s v="3344 - OKB - pochůzková služba"/>
    <s v="50115     Zdravotnické prostředky"/>
    <x v="0"/>
    <x v="0"/>
    <n v="1.7903800000000001"/>
    <n v="9.5003410652479996"/>
  </r>
  <r>
    <s v="33"/>
    <s v="33"/>
    <s v="Oddělení klinické biochemie"/>
    <x v="31"/>
    <s v="3344"/>
    <s v="OKB - pochůzková služba"/>
    <s v="3344 - OKB - pochůzková služba"/>
    <s v="50115     Zdravotnické prostředky"/>
    <x v="0"/>
    <x v="1"/>
    <n v="0.25749"/>
    <n v="1.804864319542"/>
  </r>
  <r>
    <s v="33"/>
    <s v="33"/>
    <s v="Oddělení klinické biochemie"/>
    <x v="31"/>
    <s v="3344"/>
    <s v="OKB - pochůzková služba"/>
    <s v="3344 - OKB - pochůzková služba"/>
    <s v="50115     Zdravotnické prostředky"/>
    <x v="0"/>
    <x v="2"/>
    <n v="0"/>
    <n v="0.56228459381899998"/>
  </r>
  <r>
    <s v="33"/>
    <s v="33"/>
    <s v="Oddělení klinické biochemie"/>
    <x v="31"/>
    <s v="3344"/>
    <s v="OKB - pochůzková služba"/>
    <s v="3344 - OKB - pochůzková služba"/>
    <s v="50115050     obvazový materiál (sk.Z_502)"/>
    <x v="12"/>
    <x v="1"/>
    <n v="0.18895999999999999"/>
    <n v="0"/>
  </r>
  <r>
    <s v="33"/>
    <s v="33"/>
    <s v="Oddělení klinické biochemie"/>
    <x v="31"/>
    <s v="3344"/>
    <s v="OKB - pochůzková služba"/>
    <s v="3344 - OKB - pochůzková služba"/>
    <s v="50115050     obvazový materiál (sk.Z_502)"/>
    <x v="12"/>
    <x v="2"/>
    <n v="0"/>
    <n v="0.50923828247400005"/>
  </r>
  <r>
    <s v="33"/>
    <s v="33"/>
    <s v="Oddělení klinické biochemie"/>
    <x v="31"/>
    <s v="3344"/>
    <s v="OKB - pochůzková služba"/>
    <s v="3344 - OKB - pochůzková služba"/>
    <s v="50115060     ostatní ZPr - mimo níže uvedené (sk.Z_503)"/>
    <x v="1"/>
    <x v="0"/>
    <n v="0.76637999999999995"/>
    <n v="6.6499565285679996"/>
  </r>
  <r>
    <s v="33"/>
    <s v="33"/>
    <s v="Oddělení klinické biochemie"/>
    <x v="31"/>
    <s v="3344"/>
    <s v="OKB - pochůzková služba"/>
    <s v="3344 - OKB - pochůzková služba"/>
    <s v="50115060     ostatní ZPr - mimo níže uvedené (sk.Z_503)"/>
    <x v="1"/>
    <x v="1"/>
    <n v="6.8529999999999994E-2"/>
    <n v="0.76637422659800003"/>
  </r>
  <r>
    <s v="33"/>
    <s v="33"/>
    <s v="Oddělení klinické biochemie"/>
    <x v="31"/>
    <s v="3344"/>
    <s v="OKB - pochůzková služba"/>
    <s v="3344 - OKB - pochůzková služba"/>
    <s v="50115060     ostatní ZPr - mimo níže uvedené (sk.Z_503)"/>
    <x v="1"/>
    <x v="2"/>
    <n v="0"/>
    <n v="5.3046311344000001E-2"/>
  </r>
  <r>
    <s v="33"/>
    <s v="33"/>
    <s v="Oddělení klinické biochemie"/>
    <x v="31"/>
    <s v="3344"/>
    <s v="OKB - pochůzková služba"/>
    <s v="3344 - OKB - pochůzková služba"/>
    <s v="50115067     ostatní ZPr - rukavice (sk.Z_532)"/>
    <x v="15"/>
    <x v="0"/>
    <n v="1.024"/>
    <n v="2.8503845366789999"/>
  </r>
  <r>
    <s v="33"/>
    <s v="33"/>
    <s v="Oddělení klinické biochemie"/>
    <x v="31"/>
    <s v="3344"/>
    <s v="OKB - pochůzková služba"/>
    <s v="3344 - OKB - pochůzková služba"/>
    <s v="50115067     ostatní ZPr - rukavice (sk.Z_532)"/>
    <x v="15"/>
    <x v="1"/>
    <n v="0"/>
    <n v="1.0384900929430001"/>
  </r>
  <r>
    <s v="34"/>
    <s v="34"/>
    <s v="Radiologická klinika"/>
    <x v="32"/>
    <s v="3401"/>
    <s v="vedení klinického pracoviště"/>
    <s v="3401 - vedení klinického pracoviště"/>
    <s v="50113     Léky a léčiva"/>
    <x v="2"/>
    <x v="2"/>
    <n v="0.35994999999999999"/>
    <n v="0"/>
  </r>
  <r>
    <s v="34"/>
    <s v="34"/>
    <s v="Radiologická klinika"/>
    <x v="32"/>
    <s v="3401"/>
    <s v="vedení klinického pracoviště"/>
    <s v="3401 - vedení klinického pracoviště"/>
    <s v="50113001     léky - paušál+TISS (LEK)"/>
    <x v="3"/>
    <x v="2"/>
    <n v="0.35994999999999999"/>
    <n v="0"/>
  </r>
  <r>
    <s v="34"/>
    <s v="34"/>
    <s v="Radiologická klinika"/>
    <x v="32"/>
    <s v="3451"/>
    <s v="přístr. pracoviště -SVLS + magnet. rezonance"/>
    <s v="3451 - přístr. pracoviště -SVLS + magnet. rezonance"/>
    <s v="50113     Léky a léčiva"/>
    <x v="2"/>
    <x v="0"/>
    <n v="10199.032820000004"/>
    <n v="9913.3137093950609"/>
  </r>
  <r>
    <s v="34"/>
    <s v="34"/>
    <s v="Radiologická klinika"/>
    <x v="32"/>
    <s v="3451"/>
    <s v="přístr. pracoviště -SVLS + magnet. rezonance"/>
    <s v="3451 - přístr. pracoviště -SVLS + magnet. rezonance"/>
    <s v="50113     Léky a léčiva"/>
    <x v="2"/>
    <x v="1"/>
    <n v="10965.195700000006"/>
    <n v="11467.0659716545"/>
  </r>
  <r>
    <s v="34"/>
    <s v="34"/>
    <s v="Radiologická klinika"/>
    <x v="32"/>
    <s v="3451"/>
    <s v="přístr. pracoviště -SVLS + magnet. rezonance"/>
    <s v="3451 - přístr. pracoviště -SVLS + magnet. rezonance"/>
    <s v="50113     Léky a léčiva"/>
    <x v="2"/>
    <x v="2"/>
    <n v="7944.3722100000014"/>
    <n v="10375.21832394"/>
  </r>
  <r>
    <s v="34"/>
    <s v="34"/>
    <s v="Radiologická klinika"/>
    <x v="32"/>
    <s v="3451"/>
    <s v="přístr. pracoviště -SVLS + magnet. rezonance"/>
    <s v="3451 - přístr. pracoviště -SVLS + magnet. rezonance"/>
    <s v="50113001     léky - paušál+TISS (LEK)"/>
    <x v="3"/>
    <x v="0"/>
    <n v="127.17107999999899"/>
    <n v="127.485798549311"/>
  </r>
  <r>
    <s v="34"/>
    <s v="34"/>
    <s v="Radiologická klinika"/>
    <x v="32"/>
    <s v="3451"/>
    <s v="přístr. pracoviště -SVLS + magnet. rezonance"/>
    <s v="3451 - přístr. pracoviště -SVLS + magnet. rezonance"/>
    <s v="50113001     léky - paušál+TISS (LEK)"/>
    <x v="3"/>
    <x v="1"/>
    <n v="122.72002000000001"/>
    <n v="127.267410905039"/>
  </r>
  <r>
    <s v="34"/>
    <s v="34"/>
    <s v="Radiologická klinika"/>
    <x v="32"/>
    <s v="3451"/>
    <s v="přístr. pracoviště -SVLS + magnet. rezonance"/>
    <s v="3451 - přístr. pracoviště -SVLS + magnet. rezonance"/>
    <s v="50113001     léky - paušál+TISS (LEK)"/>
    <x v="3"/>
    <x v="2"/>
    <n v="91.301480000000012"/>
    <n v="120.93140298188"/>
  </r>
  <r>
    <s v="34"/>
    <s v="34"/>
    <s v="Radiologická klinika"/>
    <x v="32"/>
    <s v="3451"/>
    <s v="přístr. pracoviště -SVLS + magnet. rezonance"/>
    <s v="3451 - přístr. pracoviště -SVLS + magnet. rezonance"/>
    <s v="50113009     léky - RTG diagnostika ZUL (LEK)"/>
    <x v="22"/>
    <x v="0"/>
    <n v="9583.9898200000043"/>
    <n v="9754.7238939978397"/>
  </r>
  <r>
    <s v="34"/>
    <s v="34"/>
    <s v="Radiologická klinika"/>
    <x v="32"/>
    <s v="3451"/>
    <s v="přístr. pracoviště -SVLS + magnet. rezonance"/>
    <s v="3451 - přístr. pracoviště -SVLS + magnet. rezonance"/>
    <s v="50113009     léky - RTG diagnostika ZUL (LEK)"/>
    <x v="22"/>
    <x v="1"/>
    <n v="10811.163000000004"/>
    <n v="10873.041159177101"/>
  </r>
  <r>
    <s v="34"/>
    <s v="34"/>
    <s v="Radiologická klinika"/>
    <x v="32"/>
    <s v="3451"/>
    <s v="přístr. pracoviště -SVLS + magnet. rezonance"/>
    <s v="3451 - přístr. pracoviště -SVLS + magnet. rezonance"/>
    <s v="50113009     léky - RTG diagnostika ZUL (LEK)"/>
    <x v="22"/>
    <x v="2"/>
    <n v="7831.1431700000021"/>
    <n v="10221.6883792675"/>
  </r>
  <r>
    <s v="34"/>
    <s v="34"/>
    <s v="Radiologická klinika"/>
    <x v="32"/>
    <s v="3451"/>
    <s v="přístr. pracoviště -SVLS + magnet. rezonance"/>
    <s v="3451 - přístr. pracoviště -SVLS + magnet. rezonance"/>
    <s v="50113013     léky (paušál) - antibiotika (LEK)"/>
    <x v="7"/>
    <x v="1"/>
    <n v="0.1154"/>
    <n v="0"/>
  </r>
  <r>
    <s v="34"/>
    <s v="34"/>
    <s v="Radiologická klinika"/>
    <x v="32"/>
    <s v="3451"/>
    <s v="přístr. pracoviště -SVLS + magnet. rezonance"/>
    <s v="3451 - přístr. pracoviště -SVLS + magnet. rezonance"/>
    <s v="50113013     léky (paušál) - antibiotika (LEK)"/>
    <x v="7"/>
    <x v="2"/>
    <n v="3.8129999999999997E-2"/>
    <n v="0.110379382028"/>
  </r>
  <r>
    <s v="34"/>
    <s v="34"/>
    <s v="Radiologická klinika"/>
    <x v="32"/>
    <s v="3451"/>
    <s v="přístr. pracoviště -SVLS + magnet. rezonance"/>
    <s v="3451 - přístr. pracoviště -SVLS + magnet. rezonance"/>
    <s v="50113190     medicinální plyny"/>
    <x v="9"/>
    <x v="0"/>
    <n v="487.87192000000005"/>
    <n v="31.104016847905999"/>
  </r>
  <r>
    <s v="34"/>
    <s v="34"/>
    <s v="Radiologická klinika"/>
    <x v="32"/>
    <s v="3451"/>
    <s v="přístr. pracoviště -SVLS + magnet. rezonance"/>
    <s v="3451 - přístr. pracoviště -SVLS + magnet. rezonance"/>
    <s v="50113190     medicinální plyny"/>
    <x v="9"/>
    <x v="1"/>
    <n v="31.197279999999999"/>
    <n v="466.75740157235902"/>
  </r>
  <r>
    <s v="34"/>
    <s v="34"/>
    <s v="Radiologická klinika"/>
    <x v="32"/>
    <s v="3451"/>
    <s v="přístr. pracoviště -SVLS + magnet. rezonance"/>
    <s v="3451 - přístr. pracoviště -SVLS + magnet. rezonance"/>
    <s v="50113190     medicinální plyny"/>
    <x v="9"/>
    <x v="2"/>
    <n v="21.889429999999997"/>
    <n v="32.488162308602"/>
  </r>
  <r>
    <s v="34"/>
    <s v="34"/>
    <s v="Radiologická klinika"/>
    <x v="32"/>
    <s v="3451"/>
    <s v="přístr. pracoviště -SVLS + magnet. rezonance"/>
    <s v="3451 - přístr. pracoviště -SVLS + magnet. rezonance"/>
    <s v="50115     Zdravotnické prostředky"/>
    <x v="0"/>
    <x v="0"/>
    <n v="1155.9517100000012"/>
    <n v="1022.5352023758199"/>
  </r>
  <r>
    <s v="34"/>
    <s v="34"/>
    <s v="Radiologická klinika"/>
    <x v="32"/>
    <s v="3451"/>
    <s v="přístr. pracoviště -SVLS + magnet. rezonance"/>
    <s v="3451 - přístr. pracoviště -SVLS + magnet. rezonance"/>
    <s v="50115     Zdravotnické prostředky"/>
    <x v="0"/>
    <x v="1"/>
    <n v="931.51123000000007"/>
    <n v="1132.10185951737"/>
  </r>
  <r>
    <s v="34"/>
    <s v="34"/>
    <s v="Radiologická klinika"/>
    <x v="32"/>
    <s v="3451"/>
    <s v="přístr. pracoviště -SVLS + magnet. rezonance"/>
    <s v="3451 - přístr. pracoviště -SVLS + magnet. rezonance"/>
    <s v="50115     Zdravotnické prostředky"/>
    <x v="0"/>
    <x v="2"/>
    <n v="743.20355999999992"/>
    <n v="922.29556006042799"/>
  </r>
  <r>
    <s v="34"/>
    <s v="34"/>
    <s v="Radiologická klinika"/>
    <x v="32"/>
    <s v="3451"/>
    <s v="přístr. pracoviště -SVLS + magnet. rezonance"/>
    <s v="3451 - přístr. pracoviště -SVLS + magnet. rezonance"/>
    <s v="50115010     RTG materiál, filmy a chemikálie (sk.Z_504)"/>
    <x v="57"/>
    <x v="0"/>
    <n v="317.323100000002"/>
    <n v="175.78370776513"/>
  </r>
  <r>
    <s v="34"/>
    <s v="34"/>
    <s v="Radiologická klinika"/>
    <x v="32"/>
    <s v="3451"/>
    <s v="přístr. pracoviště -SVLS + magnet. rezonance"/>
    <s v="3451 - přístr. pracoviště -SVLS + magnet. rezonance"/>
    <s v="50115010     RTG materiál, filmy a chemikálie (sk.Z_504)"/>
    <x v="57"/>
    <x v="1"/>
    <n v="0"/>
    <n v="292.34062552574801"/>
  </r>
  <r>
    <s v="34"/>
    <s v="34"/>
    <s v="Radiologická klinika"/>
    <x v="32"/>
    <s v="3451"/>
    <s v="přístr. pracoviště -SVLS + magnet. rezonance"/>
    <s v="3451 - přístr. pracoviště -SVLS + magnet. rezonance"/>
    <s v="50115040     laboratorní materiál (sk.Z_505)"/>
    <x v="11"/>
    <x v="0"/>
    <n v="1.452"/>
    <n v="2.400165597245"/>
  </r>
  <r>
    <s v="34"/>
    <s v="34"/>
    <s v="Radiologická klinika"/>
    <x v="32"/>
    <s v="3451"/>
    <s v="přístr. pracoviště -SVLS + magnet. rezonance"/>
    <s v="3451 - přístr. pracoviště -SVLS + magnet. rezonance"/>
    <s v="50115040     laboratorní materiál (sk.Z_505)"/>
    <x v="11"/>
    <x v="1"/>
    <n v="1.1512"/>
    <n v="1.4520917928579999"/>
  </r>
  <r>
    <s v="34"/>
    <s v="34"/>
    <s v="Radiologická klinika"/>
    <x v="32"/>
    <s v="3451"/>
    <s v="přístr. pracoviště -SVLS + magnet. rezonance"/>
    <s v="3451 - přístr. pracoviště -SVLS + magnet. rezonance"/>
    <s v="50115040     laboratorní materiál (sk.Z_505)"/>
    <x v="11"/>
    <x v="2"/>
    <n v="0.50560000000000005"/>
    <n v="0.86079997288599996"/>
  </r>
  <r>
    <s v="34"/>
    <s v="34"/>
    <s v="Radiologická klinika"/>
    <x v="32"/>
    <s v="3451"/>
    <s v="přístr. pracoviště -SVLS + magnet. rezonance"/>
    <s v="3451 - přístr. pracoviště -SVLS + magnet. rezonance"/>
    <s v="50115050     obvazový materiál (sk.Z_502)"/>
    <x v="12"/>
    <x v="0"/>
    <n v="25.378819999999994"/>
    <n v="29.287600255560001"/>
  </r>
  <r>
    <s v="34"/>
    <s v="34"/>
    <s v="Radiologická klinika"/>
    <x v="32"/>
    <s v="3451"/>
    <s v="přístr. pracoviště -SVLS + magnet. rezonance"/>
    <s v="3451 - přístr. pracoviště -SVLS + magnet. rezonance"/>
    <s v="50115050     obvazový materiál (sk.Z_502)"/>
    <x v="12"/>
    <x v="1"/>
    <n v="27.805440000000001"/>
    <n v="25.436532742758999"/>
  </r>
  <r>
    <s v="34"/>
    <s v="34"/>
    <s v="Radiologická klinika"/>
    <x v="32"/>
    <s v="3451"/>
    <s v="přístr. pracoviště -SVLS + magnet. rezonance"/>
    <s v="3451 - přístr. pracoviště -SVLS + magnet. rezonance"/>
    <s v="50115050     obvazový materiál (sk.Z_502)"/>
    <x v="12"/>
    <x v="2"/>
    <n v="23.68281"/>
    <n v="29.371156906534001"/>
  </r>
  <r>
    <s v="34"/>
    <s v="34"/>
    <s v="Radiologická klinika"/>
    <x v="32"/>
    <s v="3451"/>
    <s v="přístr. pracoviště -SVLS + magnet. rezonance"/>
    <s v="3451 - přístr. pracoviště -SVLS + magnet. rezonance"/>
    <s v="50115060     ostatní ZPr - mimo níže uvedené (sk.Z_503)"/>
    <x v="1"/>
    <x v="0"/>
    <n v="777.44096999999897"/>
    <n v="751.99824490618403"/>
  </r>
  <r>
    <s v="34"/>
    <s v="34"/>
    <s v="Radiologická klinika"/>
    <x v="32"/>
    <s v="3451"/>
    <s v="přístr. pracoviště -SVLS + magnet. rezonance"/>
    <s v="3451 - přístr. pracoviště -SVLS + magnet. rezonance"/>
    <s v="50115060     ostatní ZPr - mimo níže uvedené (sk.Z_503)"/>
    <x v="1"/>
    <x v="1"/>
    <n v="861.0788100000002"/>
    <n v="777.435113272688"/>
  </r>
  <r>
    <s v="34"/>
    <s v="34"/>
    <s v="Radiologická klinika"/>
    <x v="32"/>
    <s v="3451"/>
    <s v="přístr. pracoviště -SVLS + magnet. rezonance"/>
    <s v="3451 - přístr. pracoviště -SVLS + magnet. rezonance"/>
    <s v="50115060     ostatní ZPr - mimo níže uvedené (sk.Z_503)"/>
    <x v="1"/>
    <x v="2"/>
    <n v="692.95999000000006"/>
    <n v="854.45396857451794"/>
  </r>
  <r>
    <s v="34"/>
    <s v="34"/>
    <s v="Radiologická klinika"/>
    <x v="32"/>
    <s v="3451"/>
    <s v="přístr. pracoviště -SVLS + magnet. rezonance"/>
    <s v="3451 - přístr. pracoviště -SVLS + magnet. rezonance"/>
    <s v="50115063     ostatní ZPr - vaky, sety (sk.Z_528)"/>
    <x v="13"/>
    <x v="0"/>
    <n v="0.40810000000000002"/>
    <n v="2.4"/>
  </r>
  <r>
    <s v="34"/>
    <s v="34"/>
    <s v="Radiologická klinika"/>
    <x v="32"/>
    <s v="3451"/>
    <s v="přístr. pracoviště -SVLS + magnet. rezonance"/>
    <s v="3451 - přístr. pracoviště -SVLS + magnet. rezonance"/>
    <s v="50115063     ostatní ZPr - vaky, sety (sk.Z_528)"/>
    <x v="13"/>
    <x v="1"/>
    <n v="0.49009999999999998"/>
    <n v="0.39978470694500001"/>
  </r>
  <r>
    <s v="34"/>
    <s v="34"/>
    <s v="Radiologická klinika"/>
    <x v="32"/>
    <s v="3451"/>
    <s v="přístr. pracoviště -SVLS + magnet. rezonance"/>
    <s v="3451 - přístr. pracoviště -SVLS + magnet. rezonance"/>
    <s v="50115063     ostatní ZPr - vaky, sety (sk.Z_528)"/>
    <x v="13"/>
    <x v="2"/>
    <n v="0.24510000000000001"/>
    <n v="0.352252334379"/>
  </r>
  <r>
    <s v="34"/>
    <s v="34"/>
    <s v="Radiologická klinika"/>
    <x v="32"/>
    <s v="3451"/>
    <s v="přístr. pracoviště -SVLS + magnet. rezonance"/>
    <s v="3451 - přístr. pracoviště -SVLS + magnet. rezonance"/>
    <s v="50115064     ostatní ZPr - šicí materiál (sk.Z_529)"/>
    <x v="21"/>
    <x v="2"/>
    <n v="1.28216"/>
    <n v="0"/>
  </r>
  <r>
    <s v="34"/>
    <s v="34"/>
    <s v="Radiologická klinika"/>
    <x v="32"/>
    <s v="3451"/>
    <s v="přístr. pracoviště -SVLS + magnet. rezonance"/>
    <s v="3451 - přístr. pracoviště -SVLS + magnet. rezonance"/>
    <s v="50115065     ostatní ZPr - vpichovací materiál (sk.Z_530)"/>
    <x v="14"/>
    <x v="0"/>
    <n v="1.2949999999989998"/>
    <n v="3.6"/>
  </r>
  <r>
    <s v="34"/>
    <s v="34"/>
    <s v="Radiologická klinika"/>
    <x v="32"/>
    <s v="3451"/>
    <s v="přístr. pracoviště -SVLS + magnet. rezonance"/>
    <s v="3451 - přístr. pracoviště -SVLS + magnet. rezonance"/>
    <s v="50115065     ostatní ZPr - vpichovací materiál (sk.Z_530)"/>
    <x v="14"/>
    <x v="1"/>
    <n v="1.6240000000000001"/>
    <n v="1.3284314161849999"/>
  </r>
  <r>
    <s v="34"/>
    <s v="34"/>
    <s v="Radiologická klinika"/>
    <x v="32"/>
    <s v="3451"/>
    <s v="přístr. pracoviště -SVLS + magnet. rezonance"/>
    <s v="3451 - přístr. pracoviště -SVLS + magnet. rezonance"/>
    <s v="50115065     ostatní ZPr - vpichovací materiál (sk.Z_530)"/>
    <x v="14"/>
    <x v="2"/>
    <n v="1.242"/>
    <n v="1.781693055836"/>
  </r>
  <r>
    <s v="34"/>
    <s v="34"/>
    <s v="Radiologická klinika"/>
    <x v="32"/>
    <s v="3451"/>
    <s v="přístr. pracoviště -SVLS + magnet. rezonance"/>
    <s v="3451 - přístr. pracoviště -SVLS + magnet. rezonance"/>
    <s v="50115067     ostatní ZPr - rukavice (sk.Z_532)"/>
    <x v="15"/>
    <x v="0"/>
    <n v="22.404999999999998"/>
    <n v="33.496758775379"/>
  </r>
  <r>
    <s v="34"/>
    <s v="34"/>
    <s v="Radiologická klinika"/>
    <x v="32"/>
    <s v="3451"/>
    <s v="přístr. pracoviště -SVLS + magnet. rezonance"/>
    <s v="3451 - přístr. pracoviště -SVLS + magnet. rezonance"/>
    <s v="50115067     ostatní ZPr - rukavice (sk.Z_532)"/>
    <x v="15"/>
    <x v="1"/>
    <n v="33.301999999999992"/>
    <n v="22.722041535544999"/>
  </r>
  <r>
    <s v="34"/>
    <s v="34"/>
    <s v="Radiologická klinika"/>
    <x v="32"/>
    <s v="3451"/>
    <s v="přístr. pracoviště -SVLS + magnet. rezonance"/>
    <s v="3451 - přístr. pracoviště -SVLS + magnet. rezonance"/>
    <s v="50115067     ostatní ZPr - rukavice (sk.Z_532)"/>
    <x v="15"/>
    <x v="2"/>
    <n v="23.285899999999998"/>
    <n v="29.822391080077999"/>
  </r>
  <r>
    <s v="34"/>
    <s v="34"/>
    <s v="Radiologická klinika"/>
    <x v="32"/>
    <s v="3451"/>
    <s v="přístr. pracoviště -SVLS + magnet. rezonance"/>
    <s v="3451 - přístr. pracoviště -SVLS + magnet. rezonance"/>
    <s v="50115070     ostatní ZPr - katetry (sk.Z_513)"/>
    <x v="16"/>
    <x v="0"/>
    <n v="10.248719999999999"/>
    <n v="23.568725076326"/>
  </r>
  <r>
    <s v="34"/>
    <s v="34"/>
    <s v="Radiologická klinika"/>
    <x v="32"/>
    <s v="3451"/>
    <s v="přístr. pracoviště -SVLS + magnet. rezonance"/>
    <s v="3451 - přístr. pracoviště -SVLS + magnet. rezonance"/>
    <s v="50115070     ostatní ZPr - katetry (sk.Z_513)"/>
    <x v="16"/>
    <x v="1"/>
    <n v="6.0596800000000002"/>
    <n v="10.987238524636"/>
  </r>
  <r>
    <s v="34"/>
    <s v="34"/>
    <s v="Radiologická klinika"/>
    <x v="32"/>
    <s v="3451"/>
    <s v="přístr. pracoviště -SVLS + magnet. rezonance"/>
    <s v="3451 - přístr. pracoviště -SVLS + magnet. rezonance"/>
    <s v="50115070     ostatní ZPr - katetry (sk.Z_513)"/>
    <x v="16"/>
    <x v="2"/>
    <n v="0"/>
    <n v="5.6532981361930004"/>
  </r>
  <r>
    <s v="34"/>
    <s v="34"/>
    <s v="Radiologická klinika"/>
    <x v="32"/>
    <s v="3452"/>
    <s v="přístr. pracoviště -detašová pracoviště+screen.m."/>
    <s v="3452 - přístr. pracoviště -detašová pracoviště+screen.m."/>
    <s v="50115     Zdravotnické prostředky"/>
    <x v="0"/>
    <x v="0"/>
    <n v="952.48829999999998"/>
    <n v="1225.28721533415"/>
  </r>
  <r>
    <s v="34"/>
    <s v="34"/>
    <s v="Radiologická klinika"/>
    <x v="32"/>
    <s v="3452"/>
    <s v="přístr. pracoviště -detašová pracoviště+screen.m."/>
    <s v="3452 - přístr. pracoviště -detašová pracoviště+screen.m."/>
    <s v="50115     Zdravotnické prostředky"/>
    <x v="0"/>
    <x v="1"/>
    <n v="735.76746000000105"/>
    <n v="981.94194912268495"/>
  </r>
  <r>
    <s v="34"/>
    <s v="34"/>
    <s v="Radiologická klinika"/>
    <x v="32"/>
    <s v="3452"/>
    <s v="přístr. pracoviště -detašová pracoviště+screen.m."/>
    <s v="3452 - přístr. pracoviště -detašová pracoviště+screen.m."/>
    <s v="50115     Zdravotnické prostředky"/>
    <x v="0"/>
    <x v="2"/>
    <n v="491.69396"/>
    <n v="673.64815461225896"/>
  </r>
  <r>
    <s v="34"/>
    <s v="34"/>
    <s v="Radiologická klinika"/>
    <x v="32"/>
    <s v="3452"/>
    <s v="přístr. pracoviště -detašová pracoviště+screen.m."/>
    <s v="3452 - přístr. pracoviště -detašová pracoviště+screen.m."/>
    <s v="50115004     implant.umělé těl.náhr.-kovové (s.Z_506)"/>
    <x v="25"/>
    <x v="0"/>
    <n v="72.599999999999994"/>
    <n v="47.666666666666003"/>
  </r>
  <r>
    <s v="34"/>
    <s v="34"/>
    <s v="Radiologická klinika"/>
    <x v="32"/>
    <s v="3452"/>
    <s v="přístr. pracoviště -detašová pracoviště+screen.m."/>
    <s v="3452 - přístr. pracoviště -detašová pracoviště+screen.m."/>
    <s v="50115010     RTG materiál, filmy a chemikálie (sk.Z_504)"/>
    <x v="57"/>
    <x v="0"/>
    <n v="196.72900000000001"/>
    <n v="378.84799134994603"/>
  </r>
  <r>
    <s v="34"/>
    <s v="34"/>
    <s v="Radiologická klinika"/>
    <x v="32"/>
    <s v="3452"/>
    <s v="přístr. pracoviště -detašová pracoviště+screen.m."/>
    <s v="3452 - přístr. pracoviště -detašová pracoviště+screen.m."/>
    <s v="50115010     RTG materiál, filmy a chemikálie (sk.Z_504)"/>
    <x v="57"/>
    <x v="1"/>
    <n v="0"/>
    <n v="171.73987031631501"/>
  </r>
  <r>
    <s v="34"/>
    <s v="34"/>
    <s v="Radiologická klinika"/>
    <x v="32"/>
    <s v="3452"/>
    <s v="přístr. pracoviště -detašová pracoviště+screen.m."/>
    <s v="3452 - přístr. pracoviště -detašová pracoviště+screen.m."/>
    <s v="50115011     implant.umělé těl.náhr.-ostat.nákl.PZT(s.Z_515)"/>
    <x v="26"/>
    <x v="1"/>
    <n v="0"/>
    <n v="73.999960155463"/>
  </r>
  <r>
    <s v="34"/>
    <s v="34"/>
    <s v="Radiologická klinika"/>
    <x v="32"/>
    <s v="3452"/>
    <s v="přístr. pracoviště -detašová pracoviště+screen.m."/>
    <s v="3452 - přístr. pracoviště -detašová pracoviště+screen.m."/>
    <s v="50115040     laboratorní materiál (sk.Z_505)"/>
    <x v="11"/>
    <x v="2"/>
    <n v="0.14036000000000001"/>
    <n v="0"/>
  </r>
  <r>
    <s v="34"/>
    <s v="34"/>
    <s v="Radiologická klinika"/>
    <x v="32"/>
    <s v="3452"/>
    <s v="přístr. pracoviště -detašová pracoviště+screen.m."/>
    <s v="3452 - přístr. pracoviště -detašová pracoviště+screen.m."/>
    <s v="50115050     obvazový materiál (sk.Z_502)"/>
    <x v="12"/>
    <x v="0"/>
    <n v="6.8212899999999994"/>
    <n v="17.999578511246"/>
  </r>
  <r>
    <s v="34"/>
    <s v="34"/>
    <s v="Radiologická klinika"/>
    <x v="32"/>
    <s v="3452"/>
    <s v="přístr. pracoviště -detašová pracoviště+screen.m."/>
    <s v="3452 - přístr. pracoviště -detašová pracoviště+screen.m."/>
    <s v="50115050     obvazový materiál (sk.Z_502)"/>
    <x v="12"/>
    <x v="1"/>
    <n v="3.7541899999999999"/>
    <n v="6.8368019645059999"/>
  </r>
  <r>
    <s v="34"/>
    <s v="34"/>
    <s v="Radiologická klinika"/>
    <x v="32"/>
    <s v="3452"/>
    <s v="přístr. pracoviště -detašová pracoviště+screen.m."/>
    <s v="3452 - přístr. pracoviště -detašová pracoviště+screen.m."/>
    <s v="50115050     obvazový materiál (sk.Z_502)"/>
    <x v="12"/>
    <x v="2"/>
    <n v="4.452"/>
    <n v="3.1667960739569998"/>
  </r>
  <r>
    <s v="34"/>
    <s v="34"/>
    <s v="Radiologická klinika"/>
    <x v="32"/>
    <s v="3452"/>
    <s v="přístr. pracoviště -detašová pracoviště+screen.m."/>
    <s v="3452 - přístr. pracoviště -detašová pracoviště+screen.m."/>
    <s v="50115060     ostatní ZPr - mimo níže uvedené (sk.Z_503)"/>
    <x v="1"/>
    <x v="0"/>
    <n v="555.41101000000003"/>
    <n v="609.99845078310398"/>
  </r>
  <r>
    <s v="34"/>
    <s v="34"/>
    <s v="Radiologická klinika"/>
    <x v="32"/>
    <s v="3452"/>
    <s v="přístr. pracoviště -detašová pracoviště+screen.m."/>
    <s v="3452 - přístr. pracoviště -detašová pracoviště+screen.m."/>
    <s v="50115060     ostatní ZPr - mimo níže uvedené (sk.Z_503)"/>
    <x v="1"/>
    <x v="1"/>
    <n v="571.63407000000097"/>
    <n v="605.40709068821604"/>
  </r>
  <r>
    <s v="34"/>
    <s v="34"/>
    <s v="Radiologická klinika"/>
    <x v="32"/>
    <s v="3452"/>
    <s v="přístr. pracoviště -detašová pracoviště+screen.m."/>
    <s v="3452 - přístr. pracoviště -detašová pracoviště+screen.m."/>
    <s v="50115060     ostatní ZPr - mimo níže uvedené (sk.Z_503)"/>
    <x v="1"/>
    <x v="2"/>
    <n v="366.72639999999996"/>
    <n v="509.42252487619902"/>
  </r>
  <r>
    <s v="34"/>
    <s v="34"/>
    <s v="Radiologická klinika"/>
    <x v="32"/>
    <s v="3452"/>
    <s v="přístr. pracoviště -detašová pracoviště+screen.m."/>
    <s v="3452 - přístr. pracoviště -detašová pracoviště+screen.m."/>
    <s v="50115063     ostatní ZPr - vaky, sety (sk.Z_528)"/>
    <x v="13"/>
    <x v="0"/>
    <n v="0.97760000000000002"/>
    <n v="2.4"/>
  </r>
  <r>
    <s v="34"/>
    <s v="34"/>
    <s v="Radiologická klinika"/>
    <x v="32"/>
    <s v="3452"/>
    <s v="přístr. pracoviště -detašová pracoviště+screen.m."/>
    <s v="3452 - přístr. pracoviště -detašová pracoviště+screen.m."/>
    <s v="50115063     ostatní ZPr - vaky, sety (sk.Z_528)"/>
    <x v="13"/>
    <x v="1"/>
    <n v="0.81699999999999995"/>
    <n v="0.95768078782099997"/>
  </r>
  <r>
    <s v="34"/>
    <s v="34"/>
    <s v="Radiologická klinika"/>
    <x v="32"/>
    <s v="3452"/>
    <s v="přístr. pracoviště -detašová pracoviště+screen.m."/>
    <s v="3452 - přístr. pracoviště -detašová pracoviště+screen.m."/>
    <s v="50115063     ostatní ZPr - vaky, sety (sk.Z_528)"/>
    <x v="13"/>
    <x v="2"/>
    <n v="0.65359999999999996"/>
    <n v="1.5499102712690001"/>
  </r>
  <r>
    <s v="34"/>
    <s v="34"/>
    <s v="Radiologická klinika"/>
    <x v="32"/>
    <s v="3452"/>
    <s v="přístr. pracoviště -detašová pracoviště+screen.m."/>
    <s v="3452 - přístr. pracoviště -detašová pracoviště+screen.m."/>
    <s v="50115065     ostatní ZPr - vpichovací materiál (sk.Z_530)"/>
    <x v="14"/>
    <x v="0"/>
    <n v="109.5668"/>
    <n v="144"/>
  </r>
  <r>
    <s v="34"/>
    <s v="34"/>
    <s v="Radiologická klinika"/>
    <x v="32"/>
    <s v="3452"/>
    <s v="přístr. pracoviště -detašová pracoviště+screen.m."/>
    <s v="3452 - přístr. pracoviště -detašová pracoviště+screen.m."/>
    <s v="50115065     ostatní ZPr - vpichovací materiál (sk.Z_530)"/>
    <x v="14"/>
    <x v="1"/>
    <n v="146.7424"/>
    <n v="112.39535080381501"/>
  </r>
  <r>
    <s v="34"/>
    <s v="34"/>
    <s v="Radiologická klinika"/>
    <x v="32"/>
    <s v="3452"/>
    <s v="přístr. pracoviště -detašová pracoviště+screen.m."/>
    <s v="3452 - přístr. pracoviště -detašová pracoviště+screen.m."/>
    <s v="50115065     ostatní ZPr - vpichovací materiál (sk.Z_530)"/>
    <x v="14"/>
    <x v="2"/>
    <n v="111.239"/>
    <n v="147.08277239170701"/>
  </r>
  <r>
    <s v="34"/>
    <s v="34"/>
    <s v="Radiologická klinika"/>
    <x v="32"/>
    <s v="3452"/>
    <s v="přístr. pracoviště -detašová pracoviště+screen.m."/>
    <s v="3452 - přístr. pracoviště -detašová pracoviště+screen.m."/>
    <s v="50115067     ostatní ZPr - rukavice (sk.Z_532)"/>
    <x v="15"/>
    <x v="0"/>
    <n v="9.075800000000001"/>
    <n v="22.237831496068001"/>
  </r>
  <r>
    <s v="34"/>
    <s v="34"/>
    <s v="Radiologická klinika"/>
    <x v="32"/>
    <s v="3452"/>
    <s v="přístr. pracoviště -detašová pracoviště+screen.m."/>
    <s v="3452 - přístr. pracoviště -detašová pracoviště+screen.m."/>
    <s v="50115067     ostatní ZPr - rukavice (sk.Z_532)"/>
    <x v="15"/>
    <x v="1"/>
    <n v="12.118"/>
    <n v="9.2042269389999998"/>
  </r>
  <r>
    <s v="34"/>
    <s v="34"/>
    <s v="Radiologická klinika"/>
    <x v="32"/>
    <s v="3452"/>
    <s v="přístr. pracoviště -detašová pracoviště+screen.m."/>
    <s v="3452 - přístr. pracoviště -detašová pracoviště+screen.m."/>
    <s v="50115067     ostatní ZPr - rukavice (sk.Z_532)"/>
    <x v="15"/>
    <x v="2"/>
    <n v="7.0789999999999997"/>
    <n v="12.426150999126"/>
  </r>
  <r>
    <s v="34"/>
    <s v="34"/>
    <s v="Radiologická klinika"/>
    <x v="32"/>
    <s v="3452"/>
    <s v="přístr. pracoviště -detašová pracoviště+screen.m."/>
    <s v="3452 - přístr. pracoviště -detašová pracoviště+screen.m."/>
    <s v="50115070     ostatní ZPr - katetry (sk.Z_513)"/>
    <x v="16"/>
    <x v="0"/>
    <n v="1.3068"/>
    <n v="2.1366965271149998"/>
  </r>
  <r>
    <s v="34"/>
    <s v="34"/>
    <s v="Radiologická klinika"/>
    <x v="32"/>
    <s v="3452"/>
    <s v="přístr. pracoviště -detašová pracoviště+screen.m."/>
    <s v="3452 - přístr. pracoviště -detašová pracoviště+screen.m."/>
    <s v="50115070     ostatní ZPr - katetry (sk.Z_513)"/>
    <x v="16"/>
    <x v="1"/>
    <n v="0.70179999999999998"/>
    <n v="1.400967467546"/>
  </r>
  <r>
    <s v="34"/>
    <s v="34"/>
    <s v="Radiologická klinika"/>
    <x v="32"/>
    <s v="3452"/>
    <s v="přístr. pracoviště -detašová pracoviště+screen.m."/>
    <s v="3452 - přístr. pracoviště -detašová pracoviště+screen.m."/>
    <s v="50115070     ostatní ZPr - katetry (sk.Z_513)"/>
    <x v="16"/>
    <x v="2"/>
    <n v="1.4036"/>
    <n v="0"/>
  </r>
  <r>
    <s v="34"/>
    <s v="34"/>
    <s v="Radiologická klinika"/>
    <x v="32"/>
    <s v="3464"/>
    <s v="pracoviště COS"/>
    <s v="3464 - pracoviště COS"/>
    <s v="50115     Zdravotnické prostředky"/>
    <x v="0"/>
    <x v="0"/>
    <n v="0"/>
    <n v="11.401538146648001"/>
  </r>
  <r>
    <s v="34"/>
    <s v="34"/>
    <s v="Radiologická klinika"/>
    <x v="32"/>
    <s v="3464"/>
    <s v="pracoviště COS"/>
    <s v="3464 - pracoviště COS"/>
    <s v="50115067     ostatní ZPr - rukavice (sk.Z_532)"/>
    <x v="15"/>
    <x v="0"/>
    <n v="0"/>
    <n v="11.401538146648001"/>
  </r>
  <r>
    <s v="34"/>
    <s v="34"/>
    <s v="Radiologická klinika"/>
    <x v="32"/>
    <s v="3471"/>
    <s v="intervenční radiol. + katetrizační sál os.nákl."/>
    <s v="3471 - intervenční radiol. + katetrizační sál os.nákl."/>
    <s v="50113     Léky a léčiva"/>
    <x v="2"/>
    <x v="0"/>
    <n v="1663.491850000001"/>
    <n v="1662.1084402199201"/>
  </r>
  <r>
    <s v="34"/>
    <s v="34"/>
    <s v="Radiologická klinika"/>
    <x v="32"/>
    <s v="3471"/>
    <s v="intervenční radiol. + katetrizační sál os.nákl."/>
    <s v="3471 - intervenční radiol. + katetrizační sál os.nákl."/>
    <s v="50113     Léky a léčiva"/>
    <x v="2"/>
    <x v="1"/>
    <n v="1633.6168500000013"/>
    <n v="1717.73721059335"/>
  </r>
  <r>
    <s v="34"/>
    <s v="34"/>
    <s v="Radiologická klinika"/>
    <x v="32"/>
    <s v="3471"/>
    <s v="intervenční radiol. + katetrizační sál os.nákl."/>
    <s v="3471 - intervenční radiol. + katetrizační sál os.nákl."/>
    <s v="50113     Léky a léčiva"/>
    <x v="2"/>
    <x v="2"/>
    <n v="1079.6428799999999"/>
    <n v="1493.79884551184"/>
  </r>
  <r>
    <s v="34"/>
    <s v="34"/>
    <s v="Radiologická klinika"/>
    <x v="32"/>
    <s v="3471"/>
    <s v="intervenční radiol. + katetrizační sál os.nákl."/>
    <s v="3471 - intervenční radiol. + katetrizační sál os.nákl."/>
    <s v="50113001     léky - paušál+TISS (LEK)"/>
    <x v="3"/>
    <x v="0"/>
    <n v="158.55367999999999"/>
    <n v="181.51361292747001"/>
  </r>
  <r>
    <s v="34"/>
    <s v="34"/>
    <s v="Radiologická klinika"/>
    <x v="32"/>
    <s v="3471"/>
    <s v="intervenční radiol. + katetrizační sál os.nákl."/>
    <s v="3471 - intervenční radiol. + katetrizační sál os.nákl."/>
    <s v="50113001     léky - paušál+TISS (LEK)"/>
    <x v="3"/>
    <x v="1"/>
    <n v="160.19117"/>
    <n v="157.67377209804499"/>
  </r>
  <r>
    <s v="34"/>
    <s v="34"/>
    <s v="Radiologická klinika"/>
    <x v="32"/>
    <s v="3471"/>
    <s v="intervenční radiol. + katetrizační sál os.nákl."/>
    <s v="3471 - intervenční radiol. + katetrizační sál os.nákl."/>
    <s v="50113001     léky - paušál+TISS (LEK)"/>
    <x v="3"/>
    <x v="2"/>
    <n v="121.94887"/>
    <n v="152.63442678263399"/>
  </r>
  <r>
    <s v="34"/>
    <s v="34"/>
    <s v="Radiologická klinika"/>
    <x v="32"/>
    <s v="3471"/>
    <s v="intervenční radiol. + katetrizační sál os.nákl."/>
    <s v="3471 - intervenční radiol. + katetrizační sál os.nákl."/>
    <s v="50113009     léky - RTG diagnostika ZUL (LEK)"/>
    <x v="22"/>
    <x v="0"/>
    <n v="1504.3252900000009"/>
    <n v="1480.59482729245"/>
  </r>
  <r>
    <s v="34"/>
    <s v="34"/>
    <s v="Radiologická klinika"/>
    <x v="32"/>
    <s v="3471"/>
    <s v="intervenční radiol. + katetrizační sál os.nákl."/>
    <s v="3471 - intervenční radiol. + katetrizační sál os.nákl."/>
    <s v="50113009     léky - RTG diagnostika ZUL (LEK)"/>
    <x v="22"/>
    <x v="1"/>
    <n v="1473.2249600000009"/>
    <n v="1558.4727557820499"/>
  </r>
  <r>
    <s v="34"/>
    <s v="34"/>
    <s v="Radiologická klinika"/>
    <x v="32"/>
    <s v="3471"/>
    <s v="intervenční radiol. + katetrizační sál os.nákl."/>
    <s v="3471 - intervenční radiol. + katetrizační sál os.nákl."/>
    <s v="50113009     léky - RTG diagnostika ZUL (LEK)"/>
    <x v="22"/>
    <x v="2"/>
    <n v="957.69400999999982"/>
    <n v="1340.9724312979999"/>
  </r>
  <r>
    <s v="34"/>
    <s v="34"/>
    <s v="Radiologická klinika"/>
    <x v="32"/>
    <s v="3471"/>
    <s v="intervenční radiol. + katetrizační sál os.nákl."/>
    <s v="3471 - intervenční radiol. + katetrizační sál os.nákl."/>
    <s v="50113013     léky (paušál) - antibiotika (LEK)"/>
    <x v="7"/>
    <x v="0"/>
    <n v="7.8060000000000004E-2"/>
    <n v="0"/>
  </r>
  <r>
    <s v="34"/>
    <s v="34"/>
    <s v="Radiologická klinika"/>
    <x v="32"/>
    <s v="3471"/>
    <s v="intervenční radiol. + katetrizační sál os.nákl."/>
    <s v="3471 - intervenční radiol. + katetrizační sál os.nákl."/>
    <s v="50113013     léky (paušál) - antibiotika (LEK)"/>
    <x v="7"/>
    <x v="1"/>
    <n v="0.20072000000000001"/>
    <n v="1.079009088938"/>
  </r>
  <r>
    <s v="34"/>
    <s v="34"/>
    <s v="Radiologická klinika"/>
    <x v="32"/>
    <s v="3471"/>
    <s v="intervenční radiol. + katetrizační sál os.nákl."/>
    <s v="3471 - intervenční radiol. + katetrizační sál os.nákl."/>
    <s v="50113013     léky (paušál) - antibiotika (LEK)"/>
    <x v="7"/>
    <x v="2"/>
    <n v="0"/>
    <n v="0.19198743120299999"/>
  </r>
  <r>
    <s v="34"/>
    <s v="34"/>
    <s v="Radiologická klinika"/>
    <x v="32"/>
    <s v="3471"/>
    <s v="intervenční radiol. + katetrizační sál os.nákl."/>
    <s v="3471 - intervenční radiol. + katetrizační sál os.nákl."/>
    <s v="50113190     medicinální plyny"/>
    <x v="9"/>
    <x v="0"/>
    <n v="0.53481999999999996"/>
    <n v="0"/>
  </r>
  <r>
    <s v="34"/>
    <s v="34"/>
    <s v="Radiologická klinika"/>
    <x v="32"/>
    <s v="3471"/>
    <s v="intervenční radiol. + katetrizační sál os.nákl."/>
    <s v="3471 - intervenční radiol. + katetrizační sál os.nákl."/>
    <s v="50113190     medicinální plyny"/>
    <x v="9"/>
    <x v="1"/>
    <n v="0"/>
    <n v="0.51167362431700003"/>
  </r>
  <r>
    <s v="34"/>
    <s v="34"/>
    <s v="Radiologická klinika"/>
    <x v="32"/>
    <s v="3471"/>
    <s v="intervenční radiol. + katetrizační sál os.nákl."/>
    <s v="3471 - intervenční radiol. + katetrizační sál os.nákl."/>
    <s v="50115     Zdravotnické prostředky"/>
    <x v="0"/>
    <x v="0"/>
    <n v="29633.516960000023"/>
    <n v="29677.5047676309"/>
  </r>
  <r>
    <s v="34"/>
    <s v="34"/>
    <s v="Radiologická klinika"/>
    <x v="32"/>
    <s v="3471"/>
    <s v="intervenční radiol. + katetrizační sál os.nákl."/>
    <s v="3471 - intervenční radiol. + katetrizační sál os.nákl."/>
    <s v="50115     Zdravotnické prostředky"/>
    <x v="0"/>
    <x v="1"/>
    <n v="36964.081240000007"/>
    <n v="35082.105600474701"/>
  </r>
  <r>
    <s v="34"/>
    <s v="34"/>
    <s v="Radiologická klinika"/>
    <x v="32"/>
    <s v="3471"/>
    <s v="intervenční radiol. + katetrizační sál os.nákl."/>
    <s v="3471 - intervenční radiol. + katetrizační sál os.nákl."/>
    <s v="50115     Zdravotnické prostředky"/>
    <x v="0"/>
    <x v="2"/>
    <n v="28846.10689000001"/>
    <n v="37035.446051493098"/>
  </r>
  <r>
    <s v="34"/>
    <s v="34"/>
    <s v="Radiologická klinika"/>
    <x v="32"/>
    <s v="3471"/>
    <s v="intervenční radiol. + katetrizační sál os.nákl."/>
    <s v="3471 - intervenční radiol. + katetrizační sál os.nákl."/>
    <s v="50115004     implant.umělé těl.náhr.-kovové (s.Z_506)"/>
    <x v="25"/>
    <x v="0"/>
    <n v="13.199909999999999"/>
    <n v="68"/>
  </r>
  <r>
    <s v="34"/>
    <s v="34"/>
    <s v="Radiologická klinika"/>
    <x v="32"/>
    <s v="3471"/>
    <s v="intervenční radiol. + katetrizační sál os.nákl."/>
    <s v="3471 - intervenční radiol. + katetrizační sál os.nákl."/>
    <s v="50115010     RTG materiál, filmy a chemikálie (sk.Z_504)"/>
    <x v="57"/>
    <x v="0"/>
    <n v="0"/>
    <n v="3.4967509750120001"/>
  </r>
  <r>
    <s v="34"/>
    <s v="34"/>
    <s v="Radiologická klinika"/>
    <x v="32"/>
    <s v="3471"/>
    <s v="intervenční radiol. + katetrizační sál os.nákl."/>
    <s v="3471 - intervenční radiol. + katetrizační sál os.nákl."/>
    <s v="50115011     implant.umělé těl.náhr.-ostat.nákl.PZT(s.Z_515)"/>
    <x v="26"/>
    <x v="1"/>
    <n v="0"/>
    <n v="12.999993000284"/>
  </r>
  <r>
    <s v="34"/>
    <s v="34"/>
    <s v="Radiologická klinika"/>
    <x v="32"/>
    <s v="3471"/>
    <s v="intervenční radiol. + katetrizační sál os.nákl."/>
    <s v="3471 - intervenční radiol. + katetrizační sál os.nákl."/>
    <s v="50115050     obvazový materiál (sk.Z_502)"/>
    <x v="12"/>
    <x v="0"/>
    <n v="35.70805"/>
    <n v="41.614019144122999"/>
  </r>
  <r>
    <s v="34"/>
    <s v="34"/>
    <s v="Radiologická klinika"/>
    <x v="32"/>
    <s v="3471"/>
    <s v="intervenční radiol. + katetrizační sál os.nákl."/>
    <s v="3471 - intervenční radiol. + katetrizační sál os.nákl."/>
    <s v="50115050     obvazový materiál (sk.Z_502)"/>
    <x v="12"/>
    <x v="1"/>
    <n v="35.956649999999996"/>
    <n v="35.789251943356"/>
  </r>
  <r>
    <s v="34"/>
    <s v="34"/>
    <s v="Radiologická klinika"/>
    <x v="32"/>
    <s v="3471"/>
    <s v="intervenční radiol. + katetrizační sál os.nákl."/>
    <s v="3471 - intervenční radiol. + katetrizační sál os.nákl."/>
    <s v="50115050     obvazový materiál (sk.Z_502)"/>
    <x v="12"/>
    <x v="2"/>
    <n v="27.976849999999999"/>
    <n v="35.462044877673002"/>
  </r>
  <r>
    <s v="34"/>
    <s v="34"/>
    <s v="Radiologická klinika"/>
    <x v="32"/>
    <s v="3471"/>
    <s v="intervenční radiol. + katetrizační sál os.nákl."/>
    <s v="3471 - intervenční radiol. + katetrizační sál os.nákl."/>
    <s v="50115060     ostatní ZPr - mimo níže uvedené (sk.Z_503)"/>
    <x v="1"/>
    <x v="0"/>
    <n v="1758.6717300000014"/>
    <n v="2223.1800439315198"/>
  </r>
  <r>
    <s v="34"/>
    <s v="34"/>
    <s v="Radiologická klinika"/>
    <x v="32"/>
    <s v="3471"/>
    <s v="intervenční radiol. + katetrizační sál os.nákl."/>
    <s v="3471 - intervenční radiol. + katetrizační sál os.nákl."/>
    <s v="50115060     ostatní ZPr - mimo níže uvedené (sk.Z_503)"/>
    <x v="1"/>
    <x v="1"/>
    <n v="1757.6233700000012"/>
    <n v="1758.6584813275599"/>
  </r>
  <r>
    <s v="34"/>
    <s v="34"/>
    <s v="Radiologická klinika"/>
    <x v="32"/>
    <s v="3471"/>
    <s v="intervenční radiol. + katetrizační sál os.nákl."/>
    <s v="3471 - intervenční radiol. + katetrizační sál os.nákl."/>
    <s v="50115060     ostatní ZPr - mimo níže uvedené (sk.Z_503)"/>
    <x v="1"/>
    <x v="2"/>
    <n v="5688.5499400000026"/>
    <n v="7087"/>
  </r>
  <r>
    <s v="34"/>
    <s v="34"/>
    <s v="Radiologická klinika"/>
    <x v="32"/>
    <s v="3471"/>
    <s v="intervenční radiol. + katetrizační sál os.nákl."/>
    <s v="3471 - intervenční radiol. + katetrizační sál os.nákl."/>
    <s v="50115063     ostatní ZPr - vaky, sety (sk.Z_528)"/>
    <x v="13"/>
    <x v="0"/>
    <n v="3.8148999999999993"/>
    <n v="7"/>
  </r>
  <r>
    <s v="34"/>
    <s v="34"/>
    <s v="Radiologická klinika"/>
    <x v="32"/>
    <s v="3471"/>
    <s v="intervenční radiol. + katetrizační sál os.nákl."/>
    <s v="3471 - intervenční radiol. + katetrizační sál os.nákl."/>
    <s v="50115063     ostatní ZPr - vaky, sety (sk.Z_528)"/>
    <x v="13"/>
    <x v="1"/>
    <n v="4.0011000000000001"/>
    <n v="3.7371690235899999"/>
  </r>
  <r>
    <s v="34"/>
    <s v="34"/>
    <s v="Radiologická klinika"/>
    <x v="32"/>
    <s v="3471"/>
    <s v="intervenční radiol. + katetrizační sál os.nákl."/>
    <s v="3471 - intervenční radiol. + katetrizační sál os.nákl."/>
    <s v="50115063     ostatní ZPr - vaky, sety (sk.Z_528)"/>
    <x v="13"/>
    <x v="2"/>
    <n v="2.6951999999999998"/>
    <n v="3.097837236862"/>
  </r>
  <r>
    <s v="34"/>
    <s v="34"/>
    <s v="Radiologická klinika"/>
    <x v="32"/>
    <s v="3471"/>
    <s v="intervenční radiol. + katetrizační sál os.nákl."/>
    <s v="3471 - intervenční radiol. + katetrizační sál os.nákl."/>
    <s v="50115064     ostatní ZPr - šicí materiál (sk.Z_529)"/>
    <x v="21"/>
    <x v="0"/>
    <n v="37.766089999999004"/>
    <n v="35.5"/>
  </r>
  <r>
    <s v="34"/>
    <s v="34"/>
    <s v="Radiologická klinika"/>
    <x v="32"/>
    <s v="3471"/>
    <s v="intervenční radiol. + katetrizační sál os.nákl."/>
    <s v="3471 - intervenční radiol. + katetrizační sál os.nákl."/>
    <s v="50115064     ostatní ZPr - šicí materiál (sk.Z_529)"/>
    <x v="21"/>
    <x v="1"/>
    <n v="38.378259999999997"/>
    <n v="37.026621465085"/>
  </r>
  <r>
    <s v="34"/>
    <s v="34"/>
    <s v="Radiologická klinika"/>
    <x v="32"/>
    <s v="3471"/>
    <s v="intervenční radiol. + katetrizační sál os.nákl."/>
    <s v="3471 - intervenční radiol. + katetrizační sál os.nákl."/>
    <s v="50115064     ostatní ZPr - šicí materiál (sk.Z_529)"/>
    <x v="21"/>
    <x v="2"/>
    <n v="29.387520000000002"/>
    <n v="47"/>
  </r>
  <r>
    <s v="34"/>
    <s v="34"/>
    <s v="Radiologická klinika"/>
    <x v="32"/>
    <s v="3471"/>
    <s v="intervenční radiol. + katetrizační sál os.nákl."/>
    <s v="3471 - intervenční radiol. + katetrizační sál os.nákl."/>
    <s v="50115065     ostatní ZPr - vpichovací materiál (sk.Z_530)"/>
    <x v="14"/>
    <x v="0"/>
    <n v="2.8424499999999995"/>
    <n v="47.4"/>
  </r>
  <r>
    <s v="34"/>
    <s v="34"/>
    <s v="Radiologická klinika"/>
    <x v="32"/>
    <s v="3471"/>
    <s v="intervenční radiol. + katetrizační sál os.nákl."/>
    <s v="3471 - intervenční radiol. + katetrizační sál os.nákl."/>
    <s v="50115065     ostatní ZPr - vpichovací materiál (sk.Z_530)"/>
    <x v="14"/>
    <x v="1"/>
    <n v="4.0087500000000009"/>
    <n v="2.9158300223450002"/>
  </r>
  <r>
    <s v="34"/>
    <s v="34"/>
    <s v="Radiologická klinika"/>
    <x v="32"/>
    <s v="3471"/>
    <s v="intervenční radiol. + katetrizační sál os.nákl."/>
    <s v="3471 - intervenční radiol. + katetrizační sál os.nákl."/>
    <s v="50115065     ostatní ZPr - vpichovací materiál (sk.Z_530)"/>
    <x v="14"/>
    <x v="2"/>
    <n v="2.1557300000000001"/>
    <n v="5.1355297018290003"/>
  </r>
  <r>
    <s v="34"/>
    <s v="34"/>
    <s v="Radiologická klinika"/>
    <x v="32"/>
    <s v="3471"/>
    <s v="intervenční radiol. + katetrizační sál os.nákl."/>
    <s v="3471 - intervenční radiol. + katetrizační sál os.nákl."/>
    <s v="50115067     ostatní ZPr - rukavice (sk.Z_532)"/>
    <x v="15"/>
    <x v="0"/>
    <n v="41.011000000000003"/>
    <n v="48.003953580287998"/>
  </r>
  <r>
    <s v="34"/>
    <s v="34"/>
    <s v="Radiologická klinika"/>
    <x v="32"/>
    <s v="3471"/>
    <s v="intervenční radiol. + katetrizační sál os.nákl."/>
    <s v="3471 - intervenční radiol. + katetrizační sál os.nákl."/>
    <s v="50115067     ostatní ZPr - rukavice (sk.Z_532)"/>
    <x v="15"/>
    <x v="1"/>
    <n v="51.53219"/>
    <n v="41.591325392289001"/>
  </r>
  <r>
    <s v="34"/>
    <s v="34"/>
    <s v="Radiologická klinika"/>
    <x v="32"/>
    <s v="3471"/>
    <s v="intervenční radiol. + katetrizační sál os.nákl."/>
    <s v="3471 - intervenční radiol. + katetrizační sál os.nákl."/>
    <s v="50115067     ostatní ZPr - rukavice (sk.Z_532)"/>
    <x v="15"/>
    <x v="2"/>
    <n v="38.101820000000004"/>
    <n v="49.751455023018003"/>
  </r>
  <r>
    <s v="34"/>
    <s v="34"/>
    <s v="Radiologická klinika"/>
    <x v="32"/>
    <s v="3471"/>
    <s v="intervenční radiol. + katetrizační sál os.nákl."/>
    <s v="3471 - intervenční radiol. + katetrizační sál os.nákl."/>
    <s v="50115069     ostatní ZPr - porty (sk.Z_534)"/>
    <x v="52"/>
    <x v="2"/>
    <n v="0"/>
    <n v="19.999999370047998"/>
  </r>
  <r>
    <s v="34"/>
    <s v="34"/>
    <s v="Radiologická klinika"/>
    <x v="32"/>
    <s v="3471"/>
    <s v="intervenční radiol. + katetrizační sál os.nákl."/>
    <s v="3471 - intervenční radiol. + katetrizační sál os.nákl."/>
    <s v="50115070     ostatní ZPr - katetry (sk.Z_513)"/>
    <x v="16"/>
    <x v="0"/>
    <n v="27740.502830000012"/>
    <n v="27203.31"/>
  </r>
  <r>
    <s v="34"/>
    <s v="34"/>
    <s v="Radiologická klinika"/>
    <x v="32"/>
    <s v="3471"/>
    <s v="intervenční radiol. + katetrizační sál os.nákl."/>
    <s v="3471 - intervenční radiol. + katetrizační sál os.nákl."/>
    <s v="50115070     ostatní ZPr - katetry (sk.Z_513)"/>
    <x v="16"/>
    <x v="1"/>
    <n v="35054.430920000013"/>
    <n v="33189.386928300199"/>
  </r>
  <r>
    <s v="34"/>
    <s v="34"/>
    <s v="Radiologická klinika"/>
    <x v="32"/>
    <s v="3471"/>
    <s v="intervenční radiol. + katetrizační sál os.nákl."/>
    <s v="3471 - intervenční radiol. + katetrizační sál os.nákl."/>
    <s v="50115070     ostatní ZPr - katetry (sk.Z_513)"/>
    <x v="16"/>
    <x v="2"/>
    <n v="8012.7753200000016"/>
    <n v="9465.9997018439408"/>
  </r>
  <r>
    <s v="34"/>
    <s v="34"/>
    <s v="Radiologická klinika"/>
    <x v="32"/>
    <s v="3471"/>
    <s v="intervenční radiol. + katetrizační sál os.nákl."/>
    <s v="3471 - intervenční radiol. + katetrizační sál os.nákl."/>
    <s v="50115072     ostatní ZPr - katetry diagnostické (sk.Z_535)"/>
    <x v="33"/>
    <x v="2"/>
    <n v="22.825679999999998"/>
    <n v="0"/>
  </r>
  <r>
    <s v="34"/>
    <s v="34"/>
    <s v="Radiologická klinika"/>
    <x v="32"/>
    <s v="3471"/>
    <s v="intervenční radiol. + katetrizační sál os.nákl."/>
    <s v="3471 - intervenční radiol. + katetrizační sál os.nákl."/>
    <s v="50115075     ostatní ZPr - stenty (sk.Z_538)"/>
    <x v="35"/>
    <x v="2"/>
    <n v="13399.903649999998"/>
    <n v="16399.9994834397"/>
  </r>
  <r>
    <s v="34"/>
    <s v="34"/>
    <s v="Radiologická klinika"/>
    <x v="32"/>
    <s v="3471"/>
    <s v="intervenční radiol. + katetrizační sál os.nákl."/>
    <s v="3471 - intervenční radiol. + katetrizační sál os.nákl."/>
    <s v="50115079     ostatní ZPr - intenzivní péče (sk.Z_542)"/>
    <x v="18"/>
    <x v="2"/>
    <n v="8.8087999999999997"/>
    <n v="0"/>
  </r>
  <r>
    <s v="34"/>
    <s v="34"/>
    <s v="Radiologická klinika"/>
    <x v="32"/>
    <s v="3471"/>
    <s v="intervenční radiol. + katetrizační sál os.nákl."/>
    <s v="3471 - intervenční radiol. + katetrizační sál os.nákl."/>
    <s v="50115080     ostatní ZPr - staplery, extraktory (sk.Z_523)"/>
    <x v="30"/>
    <x v="1"/>
    <n v="18.149999999999999"/>
    <n v="0"/>
  </r>
  <r>
    <s v="34"/>
    <s v="34"/>
    <s v="Radiologická klinika"/>
    <x v="32"/>
    <s v="3471"/>
    <s v="intervenční radiol. + katetrizační sál os.nákl."/>
    <s v="3471 - intervenční radiol. + katetrizační sál os.nákl."/>
    <s v="50115083     ostatní ZPr - embolizace (sk.Z_545)"/>
    <x v="61"/>
    <x v="2"/>
    <n v="1612.9263799999999"/>
    <n v="3922"/>
  </r>
  <r>
    <s v="35"/>
    <s v="35"/>
    <s v="Transfuzní oddělení"/>
    <x v="33"/>
    <s v="3503"/>
    <s v="TO - krizová připravenost"/>
    <s v="3503 - TO - krizová připravenost"/>
    <s v="50115     Zdravotnické prostředky"/>
    <x v="0"/>
    <x v="1"/>
    <n v="6.3162000000000003"/>
    <n v="0"/>
  </r>
  <r>
    <s v="35"/>
    <s v="35"/>
    <s v="Transfuzní oddělení"/>
    <x v="33"/>
    <s v="3503"/>
    <s v="TO - krizová připravenost"/>
    <s v="3503 - TO - krizová připravenost"/>
    <s v="50115063     ostatní ZPr - vaky, sety (sk.Z_528)"/>
    <x v="13"/>
    <x v="1"/>
    <n v="6.3162000000000003"/>
    <n v="0"/>
  </r>
  <r>
    <s v="35"/>
    <s v="35"/>
    <s v="Transfuzní oddělení"/>
    <x v="33"/>
    <s v="3541"/>
    <s v="laboratoř - SVLS"/>
    <s v="3541 - laboratoř - SVLS"/>
    <s v="50113     Léky a léčiva"/>
    <x v="2"/>
    <x v="0"/>
    <n v="0"/>
    <n v="3.733307861983"/>
  </r>
  <r>
    <s v="35"/>
    <s v="35"/>
    <s v="Transfuzní oddělení"/>
    <x v="33"/>
    <s v="3541"/>
    <s v="laboratoř - SVLS"/>
    <s v="3541 - laboratoř - SVLS"/>
    <s v="50113     Léky a léčiva"/>
    <x v="2"/>
    <x v="1"/>
    <n v="5.1866000000000003"/>
    <n v="0"/>
  </r>
  <r>
    <s v="35"/>
    <s v="35"/>
    <s v="Transfuzní oddělení"/>
    <x v="33"/>
    <s v="3541"/>
    <s v="laboratoř - SVLS"/>
    <s v="3541 - laboratoř - SVLS"/>
    <s v="50113     Léky a léčiva"/>
    <x v="2"/>
    <x v="2"/>
    <n v="13.37012"/>
    <n v="7.2652528601909996"/>
  </r>
  <r>
    <s v="35"/>
    <s v="35"/>
    <s v="Transfuzní oddělení"/>
    <x v="33"/>
    <s v="3541"/>
    <s v="laboratoř - SVLS"/>
    <s v="3541 - laboratoř - SVLS"/>
    <s v="50113001     léky - paušál+TISS (LEK)"/>
    <x v="3"/>
    <x v="0"/>
    <n v="0"/>
    <n v="3.733307861983"/>
  </r>
  <r>
    <s v="35"/>
    <s v="35"/>
    <s v="Transfuzní oddělení"/>
    <x v="33"/>
    <s v="3541"/>
    <s v="laboratoř - SVLS"/>
    <s v="3541 - laboratoř - SVLS"/>
    <s v="50113001     léky - paušál+TISS (LEK)"/>
    <x v="3"/>
    <x v="1"/>
    <n v="5.1866000000000003"/>
    <n v="0"/>
  </r>
  <r>
    <s v="35"/>
    <s v="35"/>
    <s v="Transfuzní oddělení"/>
    <x v="33"/>
    <s v="3541"/>
    <s v="laboratoř - SVLS"/>
    <s v="3541 - laboratoř - SVLS"/>
    <s v="50113001     léky - paušál+TISS (LEK)"/>
    <x v="3"/>
    <x v="2"/>
    <n v="13.37012"/>
    <n v="7.2652528601909996"/>
  </r>
  <r>
    <s v="35"/>
    <s v="35"/>
    <s v="Transfuzní oddělení"/>
    <x v="33"/>
    <s v="3541"/>
    <s v="laboratoř - SVLS"/>
    <s v="3541 - laboratoř - SVLS"/>
    <s v="50115     Zdravotnické prostředky"/>
    <x v="0"/>
    <x v="0"/>
    <n v="1691.9245299999991"/>
    <n v="2678.6594449422901"/>
  </r>
  <r>
    <s v="35"/>
    <s v="35"/>
    <s v="Transfuzní oddělení"/>
    <x v="33"/>
    <s v="3541"/>
    <s v="laboratoř - SVLS"/>
    <s v="3541 - laboratoř - SVLS"/>
    <s v="50115     Zdravotnické prostředky"/>
    <x v="0"/>
    <x v="1"/>
    <n v="1488.872350000001"/>
    <n v="1702.25595754593"/>
  </r>
  <r>
    <s v="35"/>
    <s v="35"/>
    <s v="Transfuzní oddělení"/>
    <x v="33"/>
    <s v="3541"/>
    <s v="laboratoř - SVLS"/>
    <s v="3541 - laboratoř - SVLS"/>
    <s v="50115     Zdravotnické prostředky"/>
    <x v="0"/>
    <x v="2"/>
    <n v="935.33865000000014"/>
    <n v="1318.5992691517999"/>
  </r>
  <r>
    <s v="35"/>
    <s v="35"/>
    <s v="Transfuzní oddělení"/>
    <x v="33"/>
    <s v="3541"/>
    <s v="laboratoř - SVLS"/>
    <s v="3541 - laboratoř - SVLS"/>
    <s v="50115020     diagnostika laboratorní-LEK (sk.Z_501)"/>
    <x v="10"/>
    <x v="0"/>
    <n v="1584.4597299999987"/>
    <n v="2543.9997478871901"/>
  </r>
  <r>
    <s v="35"/>
    <s v="35"/>
    <s v="Transfuzní oddělení"/>
    <x v="33"/>
    <s v="3541"/>
    <s v="laboratoř - SVLS"/>
    <s v="3541 - laboratoř - SVLS"/>
    <s v="50115020     diagnostika laboratorní-LEK (sk.Z_501)"/>
    <x v="10"/>
    <x v="1"/>
    <n v="1357.9513700000011"/>
    <n v="1574.4582906964599"/>
  </r>
  <r>
    <s v="35"/>
    <s v="35"/>
    <s v="Transfuzní oddělení"/>
    <x v="33"/>
    <s v="3541"/>
    <s v="laboratoř - SVLS"/>
    <s v="3541 - laboratoř - SVLS"/>
    <s v="50115020     diagnostika laboratorní-LEK (sk.Z_501)"/>
    <x v="10"/>
    <x v="2"/>
    <n v="868.85969999999998"/>
    <n v="1198.52714375851"/>
  </r>
  <r>
    <s v="35"/>
    <s v="35"/>
    <s v="Transfuzní oddělení"/>
    <x v="33"/>
    <s v="3541"/>
    <s v="laboratoř - SVLS"/>
    <s v="3541 - laboratoř - SVLS"/>
    <s v="50115040     laboratorní materiál (sk.Z_505)"/>
    <x v="11"/>
    <x v="0"/>
    <n v="28.578759999999004"/>
    <n v="23.501621473023999"/>
  </r>
  <r>
    <s v="35"/>
    <s v="35"/>
    <s v="Transfuzní oddělení"/>
    <x v="33"/>
    <s v="3541"/>
    <s v="laboratoř - SVLS"/>
    <s v="3541 - laboratoř - SVLS"/>
    <s v="50115040     laboratorní materiál (sk.Z_505)"/>
    <x v="11"/>
    <x v="1"/>
    <n v="39.28716"/>
    <n v="39.761575837267003"/>
  </r>
  <r>
    <s v="35"/>
    <s v="35"/>
    <s v="Transfuzní oddělení"/>
    <x v="33"/>
    <s v="3541"/>
    <s v="laboratoř - SVLS"/>
    <s v="3541 - laboratoř - SVLS"/>
    <s v="50115040     laboratorní materiál (sk.Z_505)"/>
    <x v="11"/>
    <x v="2"/>
    <n v="14.288839999999999"/>
    <n v="34.865576959294003"/>
  </r>
  <r>
    <s v="35"/>
    <s v="35"/>
    <s v="Transfuzní oddělení"/>
    <x v="33"/>
    <s v="3541"/>
    <s v="laboratoř - SVLS"/>
    <s v="3541 - laboratoř - SVLS"/>
    <s v="50115050     obvazový materiál (sk.Z_502)"/>
    <x v="12"/>
    <x v="0"/>
    <n v="1.8271799999999996"/>
    <n v="0.99997658395800004"/>
  </r>
  <r>
    <s v="35"/>
    <s v="35"/>
    <s v="Transfuzní oddělení"/>
    <x v="33"/>
    <s v="3541"/>
    <s v="laboratoř - SVLS"/>
    <s v="3541 - laboratoř - SVLS"/>
    <s v="50115050     obvazový materiál (sk.Z_502)"/>
    <x v="12"/>
    <x v="1"/>
    <n v="2.28972"/>
    <n v="6.8313351013519998"/>
  </r>
  <r>
    <s v="35"/>
    <s v="35"/>
    <s v="Transfuzní oddělení"/>
    <x v="33"/>
    <s v="3541"/>
    <s v="laboratoř - SVLS"/>
    <s v="3541 - laboratoř - SVLS"/>
    <s v="50115050     obvazový materiál (sk.Z_502)"/>
    <x v="12"/>
    <x v="2"/>
    <n v="1.8963700000000001"/>
    <n v="2.6160303523809998"/>
  </r>
  <r>
    <s v="35"/>
    <s v="35"/>
    <s v="Transfuzní oddělení"/>
    <x v="33"/>
    <s v="3541"/>
    <s v="laboratoř - SVLS"/>
    <s v="3541 - laboratoř - SVLS"/>
    <s v="50115060     ostatní ZPr - mimo níže uvedené (sk.Z_503)"/>
    <x v="1"/>
    <x v="0"/>
    <n v="66.740859999999003"/>
    <n v="96.160347830717996"/>
  </r>
  <r>
    <s v="35"/>
    <s v="35"/>
    <s v="Transfuzní oddělení"/>
    <x v="33"/>
    <s v="3541"/>
    <s v="laboratoř - SVLS"/>
    <s v="3541 - laboratoř - SVLS"/>
    <s v="50115060     ostatní ZPr - mimo níže uvedené (sk.Z_503)"/>
    <x v="1"/>
    <x v="1"/>
    <n v="69.456100000000006"/>
    <n v="63.740389081623"/>
  </r>
  <r>
    <s v="35"/>
    <s v="35"/>
    <s v="Transfuzní oddělení"/>
    <x v="33"/>
    <s v="3541"/>
    <s v="laboratoř - SVLS"/>
    <s v="3541 - laboratoř - SVLS"/>
    <s v="50115060     ostatní ZPr - mimo níže uvedené (sk.Z_503)"/>
    <x v="1"/>
    <x v="2"/>
    <n v="35.951740000000001"/>
    <n v="63.556125615273999"/>
  </r>
  <r>
    <s v="35"/>
    <s v="35"/>
    <s v="Transfuzní oddělení"/>
    <x v="33"/>
    <s v="3541"/>
    <s v="laboratoř - SVLS"/>
    <s v="3541 - laboratoř - SVLS"/>
    <s v="50115065     ostatní ZPr - vpichovací materiál (sk.Z_530)"/>
    <x v="14"/>
    <x v="0"/>
    <n v="3.1E-2"/>
    <n v="0"/>
  </r>
  <r>
    <s v="35"/>
    <s v="35"/>
    <s v="Transfuzní oddělení"/>
    <x v="33"/>
    <s v="3541"/>
    <s v="laboratoř - SVLS"/>
    <s v="3541 - laboratoř - SVLS"/>
    <s v="50115065     ostatní ZPr - vpichovací materiál (sk.Z_530)"/>
    <x v="14"/>
    <x v="1"/>
    <n v="0"/>
    <n v="3.1800288726999998E-2"/>
  </r>
  <r>
    <s v="35"/>
    <s v="35"/>
    <s v="Transfuzní oddělení"/>
    <x v="33"/>
    <s v="3541"/>
    <s v="laboratoř - SVLS"/>
    <s v="3541 - laboratoř - SVLS"/>
    <s v="50115067     ostatní ZPr - rukavice (sk.Z_532)"/>
    <x v="15"/>
    <x v="0"/>
    <n v="10.286999999999001"/>
    <n v="13.997751167391"/>
  </r>
  <r>
    <s v="35"/>
    <s v="35"/>
    <s v="Transfuzní oddělení"/>
    <x v="33"/>
    <s v="3541"/>
    <s v="laboratoř - SVLS"/>
    <s v="3541 - laboratoř - SVLS"/>
    <s v="50115067     ostatní ZPr - rukavice (sk.Z_532)"/>
    <x v="15"/>
    <x v="1"/>
    <n v="19.887999999999998"/>
    <n v="17.432566540499"/>
  </r>
  <r>
    <s v="35"/>
    <s v="35"/>
    <s v="Transfuzní oddělení"/>
    <x v="33"/>
    <s v="3541"/>
    <s v="laboratoř - SVLS"/>
    <s v="3541 - laboratoř - SVLS"/>
    <s v="50115067     ostatní ZPr - rukavice (sk.Z_532)"/>
    <x v="15"/>
    <x v="2"/>
    <n v="14.341999999999999"/>
    <n v="19.034392466338002"/>
  </r>
  <r>
    <s v="35"/>
    <s v="35"/>
    <s v="Transfuzní oddělení"/>
    <x v="33"/>
    <s v="3590"/>
    <s v="výroba"/>
    <s v="3590 - výroba"/>
    <s v="50113     Léky a léčiva"/>
    <x v="2"/>
    <x v="0"/>
    <n v="198.51465999999996"/>
    <n v="288.26613599309798"/>
  </r>
  <r>
    <s v="35"/>
    <s v="35"/>
    <s v="Transfuzní oddělení"/>
    <x v="33"/>
    <s v="3590"/>
    <s v="výroba"/>
    <s v="3590 - výroba"/>
    <s v="50113     Léky a léčiva"/>
    <x v="2"/>
    <x v="1"/>
    <n v="135.16113999999999"/>
    <n v="198.66503300038099"/>
  </r>
  <r>
    <s v="35"/>
    <s v="35"/>
    <s v="Transfuzní oddělení"/>
    <x v="33"/>
    <s v="3590"/>
    <s v="výroba"/>
    <s v="3590 - výroba"/>
    <s v="50113     Léky a léčiva"/>
    <x v="2"/>
    <x v="2"/>
    <n v="46.882220000000004"/>
    <n v="183.08299931861299"/>
  </r>
  <r>
    <s v="35"/>
    <s v="35"/>
    <s v="Transfuzní oddělení"/>
    <x v="33"/>
    <s v="3590"/>
    <s v="výroba"/>
    <s v="3590 - výroba"/>
    <s v="50113001     léky - paušál+TISS (LEK)"/>
    <x v="3"/>
    <x v="0"/>
    <n v="198.51465999999996"/>
    <n v="288.26613599309798"/>
  </r>
  <r>
    <s v="35"/>
    <s v="35"/>
    <s v="Transfuzní oddělení"/>
    <x v="33"/>
    <s v="3590"/>
    <s v="výroba"/>
    <s v="3590 - výroba"/>
    <s v="50113001     léky - paušál+TISS (LEK)"/>
    <x v="3"/>
    <x v="1"/>
    <n v="135.16113999999999"/>
    <n v="198.66503300038099"/>
  </r>
  <r>
    <s v="35"/>
    <s v="35"/>
    <s v="Transfuzní oddělení"/>
    <x v="33"/>
    <s v="3590"/>
    <s v="výroba"/>
    <s v="3590 - výroba"/>
    <s v="50113001     léky - paušál+TISS (LEK)"/>
    <x v="3"/>
    <x v="2"/>
    <n v="46.882220000000004"/>
    <n v="183.08299931861299"/>
  </r>
  <r>
    <s v="35"/>
    <s v="35"/>
    <s v="Transfuzní oddělení"/>
    <x v="33"/>
    <s v="3590"/>
    <s v="výroba"/>
    <s v="3590 - výroba"/>
    <s v="50113008     léky - krev.deriváty ZUL (TO)"/>
    <x v="5"/>
    <x v="0"/>
    <n v="0"/>
    <n v="0"/>
  </r>
  <r>
    <s v="35"/>
    <s v="35"/>
    <s v="Transfuzní oddělení"/>
    <x v="33"/>
    <s v="3590"/>
    <s v="výroba"/>
    <s v="3590 - výroba"/>
    <s v="50115     Zdravotnické prostředky"/>
    <x v="0"/>
    <x v="0"/>
    <n v="39477.108050000024"/>
    <n v="38320.447701092802"/>
  </r>
  <r>
    <s v="35"/>
    <s v="35"/>
    <s v="Transfuzní oddělení"/>
    <x v="33"/>
    <s v="3590"/>
    <s v="výroba"/>
    <s v="3590 - výroba"/>
    <s v="50115     Zdravotnické prostředky"/>
    <x v="0"/>
    <x v="1"/>
    <n v="40258.241780000011"/>
    <n v="39851.762931293903"/>
  </r>
  <r>
    <s v="35"/>
    <s v="35"/>
    <s v="Transfuzní oddělení"/>
    <x v="33"/>
    <s v="3590"/>
    <s v="výroba"/>
    <s v="3590 - výroba"/>
    <s v="50115     Zdravotnické prostředky"/>
    <x v="0"/>
    <x v="2"/>
    <n v="29305.975690000014"/>
    <n v="39418.399447731397"/>
  </r>
  <r>
    <s v="35"/>
    <s v="35"/>
    <s v="Transfuzní oddělení"/>
    <x v="33"/>
    <s v="3590"/>
    <s v="výroba"/>
    <s v="3590 - výroba"/>
    <s v="50115020     diagnostika laboratorní-LEK (sk.Z_501)"/>
    <x v="10"/>
    <x v="0"/>
    <n v="17122.586700000007"/>
    <n v="16416.8819479704"/>
  </r>
  <r>
    <s v="35"/>
    <s v="35"/>
    <s v="Transfuzní oddělení"/>
    <x v="33"/>
    <s v="3590"/>
    <s v="výroba"/>
    <s v="3590 - výroba"/>
    <s v="50115020     diagnostika laboratorní-LEK (sk.Z_501)"/>
    <x v="10"/>
    <x v="1"/>
    <n v="16757.16435000001"/>
    <n v="17057.573513044001"/>
  </r>
  <r>
    <s v="35"/>
    <s v="35"/>
    <s v="Transfuzní oddělení"/>
    <x v="33"/>
    <s v="3590"/>
    <s v="výroba"/>
    <s v="3590 - výroba"/>
    <s v="50115020     diagnostika laboratorní-LEK (sk.Z_501)"/>
    <x v="10"/>
    <x v="2"/>
    <n v="11492.779550000003"/>
    <n v="16034.472313443701"/>
  </r>
  <r>
    <s v="35"/>
    <s v="35"/>
    <s v="Transfuzní oddělení"/>
    <x v="33"/>
    <s v="3590"/>
    <s v="výroba"/>
    <s v="3590 - výroba"/>
    <s v="50115040     laboratorní materiál (sk.Z_505)"/>
    <x v="11"/>
    <x v="0"/>
    <n v="328.15876000000003"/>
    <n v="260.01172980485501"/>
  </r>
  <r>
    <s v="35"/>
    <s v="35"/>
    <s v="Transfuzní oddělení"/>
    <x v="33"/>
    <s v="3590"/>
    <s v="výroba"/>
    <s v="3590 - výroba"/>
    <s v="50115040     laboratorní materiál (sk.Z_505)"/>
    <x v="11"/>
    <x v="1"/>
    <n v="443.95788999999996"/>
    <n v="373.25726319296001"/>
  </r>
  <r>
    <s v="35"/>
    <s v="35"/>
    <s v="Transfuzní oddělení"/>
    <x v="33"/>
    <s v="3590"/>
    <s v="výroba"/>
    <s v="3590 - výroba"/>
    <s v="50115040     laboratorní materiál (sk.Z_505)"/>
    <x v="11"/>
    <x v="2"/>
    <n v="307.72319999999996"/>
    <n v="412.13440896128901"/>
  </r>
  <r>
    <s v="35"/>
    <s v="35"/>
    <s v="Transfuzní oddělení"/>
    <x v="33"/>
    <s v="3590"/>
    <s v="výroba"/>
    <s v="3590 - výroba"/>
    <s v="50115050     obvazový materiál (sk.Z_502)"/>
    <x v="12"/>
    <x v="0"/>
    <n v="184.91892000000001"/>
    <n v="191.922858482858"/>
  </r>
  <r>
    <s v="35"/>
    <s v="35"/>
    <s v="Transfuzní oddělení"/>
    <x v="33"/>
    <s v="3590"/>
    <s v="výroba"/>
    <s v="3590 - výroba"/>
    <s v="50115050     obvazový materiál (sk.Z_502)"/>
    <x v="12"/>
    <x v="1"/>
    <n v="255.94938999999999"/>
    <n v="198.339445909425"/>
  </r>
  <r>
    <s v="35"/>
    <s v="35"/>
    <s v="Transfuzní oddělení"/>
    <x v="33"/>
    <s v="3590"/>
    <s v="výroba"/>
    <s v="3590 - výroba"/>
    <s v="50115050     obvazový materiál (sk.Z_502)"/>
    <x v="12"/>
    <x v="2"/>
    <n v="119.31450000000001"/>
    <n v="204.38396312762001"/>
  </r>
  <r>
    <s v="35"/>
    <s v="35"/>
    <s v="Transfuzní oddělení"/>
    <x v="33"/>
    <s v="3590"/>
    <s v="výroba"/>
    <s v="3590 - výroba"/>
    <s v="50115060     ostatní ZPr - mimo níže uvedené (sk.Z_503)"/>
    <x v="1"/>
    <x v="0"/>
    <n v="323.91773999999998"/>
    <n v="278.66644539835301"/>
  </r>
  <r>
    <s v="35"/>
    <s v="35"/>
    <s v="Transfuzní oddělení"/>
    <x v="33"/>
    <s v="3590"/>
    <s v="výroba"/>
    <s v="3590 - výroba"/>
    <s v="50115060     ostatní ZPr - mimo níže uvedené (sk.Z_503)"/>
    <x v="1"/>
    <x v="1"/>
    <n v="353.26586000000003"/>
    <n v="344.91565668561202"/>
  </r>
  <r>
    <s v="35"/>
    <s v="35"/>
    <s v="Transfuzní oddělení"/>
    <x v="33"/>
    <s v="3590"/>
    <s v="výroba"/>
    <s v="3590 - výroba"/>
    <s v="50115060     ostatní ZPr - mimo níže uvedené (sk.Z_503)"/>
    <x v="1"/>
    <x v="2"/>
    <n v="237.93239"/>
    <n v="357.44386112424598"/>
  </r>
  <r>
    <s v="35"/>
    <s v="35"/>
    <s v="Transfuzní oddělení"/>
    <x v="33"/>
    <s v="3590"/>
    <s v="výroba"/>
    <s v="3590 - výroba"/>
    <s v="50115063     ostatní ZPr - vaky, sety (sk.Z_528)"/>
    <x v="13"/>
    <x v="0"/>
    <n v="21444.12993000001"/>
    <n v="21096.0343705839"/>
  </r>
  <r>
    <s v="35"/>
    <s v="35"/>
    <s v="Transfuzní oddělení"/>
    <x v="33"/>
    <s v="3590"/>
    <s v="výroba"/>
    <s v="3590 - výroba"/>
    <s v="50115063     ostatní ZPr - vaky, sety (sk.Z_528)"/>
    <x v="13"/>
    <x v="1"/>
    <n v="22263.453290000012"/>
    <n v="21713.2347576426"/>
  </r>
  <r>
    <s v="35"/>
    <s v="35"/>
    <s v="Transfuzní oddělení"/>
    <x v="33"/>
    <s v="3590"/>
    <s v="výroba"/>
    <s v="3590 - výroba"/>
    <s v="50115063     ostatní ZPr - vaky, sety (sk.Z_528)"/>
    <x v="13"/>
    <x v="2"/>
    <n v="17050.082450000009"/>
    <n v="22254.999299021401"/>
  </r>
  <r>
    <s v="35"/>
    <s v="35"/>
    <s v="Transfuzní oddělení"/>
    <x v="33"/>
    <s v="3590"/>
    <s v="výroba"/>
    <s v="3590 - výroba"/>
    <s v="50115065     ostatní ZPr - vpichovací materiál (sk.Z_530)"/>
    <x v="14"/>
    <x v="0"/>
    <n v="0.65999999999999992"/>
    <n v="0"/>
  </r>
  <r>
    <s v="35"/>
    <s v="35"/>
    <s v="Transfuzní oddělení"/>
    <x v="33"/>
    <s v="3590"/>
    <s v="výroba"/>
    <s v="3590 - výroba"/>
    <s v="50115065     ostatní ZPr - vpichovací materiál (sk.Z_530)"/>
    <x v="14"/>
    <x v="1"/>
    <n v="52.961999999999996"/>
    <n v="49.677038405159998"/>
  </r>
  <r>
    <s v="35"/>
    <s v="35"/>
    <s v="Transfuzní oddělení"/>
    <x v="33"/>
    <s v="3590"/>
    <s v="výroba"/>
    <s v="3590 - výroba"/>
    <s v="50115065     ostatní ZPr - vpichovací materiál (sk.Z_530)"/>
    <x v="14"/>
    <x v="2"/>
    <n v="30.3"/>
    <n v="45.999998551110998"/>
  </r>
  <r>
    <s v="35"/>
    <s v="35"/>
    <s v="Transfuzní oddělení"/>
    <x v="33"/>
    <s v="3590"/>
    <s v="výroba"/>
    <s v="3590 - výroba"/>
    <s v="50115067     ostatní ZPr - rukavice (sk.Z_532)"/>
    <x v="15"/>
    <x v="0"/>
    <n v="72.735999999999009"/>
    <n v="76.930348852513006"/>
  </r>
  <r>
    <s v="35"/>
    <s v="35"/>
    <s v="Transfuzní oddělení"/>
    <x v="33"/>
    <s v="3590"/>
    <s v="výroba"/>
    <s v="3590 - výroba"/>
    <s v="50115067     ostatní ZPr - rukavice (sk.Z_532)"/>
    <x v="15"/>
    <x v="1"/>
    <n v="131.48899999999998"/>
    <n v="114.76525641410601"/>
  </r>
  <r>
    <s v="35"/>
    <s v="35"/>
    <s v="Transfuzní oddělení"/>
    <x v="33"/>
    <s v="3590"/>
    <s v="výroba"/>
    <s v="3590 - výroba"/>
    <s v="50115067     ostatní ZPr - rukavice (sk.Z_532)"/>
    <x v="15"/>
    <x v="2"/>
    <n v="67.843600000000009"/>
    <n v="108.965603501972"/>
  </r>
  <r>
    <s v="36"/>
    <s v="36"/>
    <s v="Oddělení klinické logopedie"/>
    <x v="34"/>
    <s v="3621"/>
    <s v="ambulance"/>
    <s v="3621 - ambulance"/>
    <s v="50113     Léky a léčiva"/>
    <x v="2"/>
    <x v="0"/>
    <n v="0.47911999999999999"/>
    <n v="0"/>
  </r>
  <r>
    <s v="36"/>
    <s v="36"/>
    <s v="Oddělení klinické logopedie"/>
    <x v="34"/>
    <s v="3621"/>
    <s v="ambulance"/>
    <s v="3621 - ambulance"/>
    <s v="50113     Léky a léčiva"/>
    <x v="2"/>
    <x v="1"/>
    <n v="0"/>
    <n v="0.47948292892299998"/>
  </r>
  <r>
    <s v="36"/>
    <s v="36"/>
    <s v="Oddělení klinické logopedie"/>
    <x v="34"/>
    <s v="3621"/>
    <s v="ambulance"/>
    <s v="3621 - ambulance"/>
    <s v="50113     Léky a léčiva"/>
    <x v="2"/>
    <x v="2"/>
    <n v="0.33857999999999999"/>
    <n v="0"/>
  </r>
  <r>
    <s v="36"/>
    <s v="36"/>
    <s v="Oddělení klinické logopedie"/>
    <x v="34"/>
    <s v="3621"/>
    <s v="ambulance"/>
    <s v="3621 - ambulance"/>
    <s v="50113001     léky - paušál+TISS (LEK)"/>
    <x v="3"/>
    <x v="0"/>
    <n v="0.47911999999999999"/>
    <n v="0"/>
  </r>
  <r>
    <s v="36"/>
    <s v="36"/>
    <s v="Oddělení klinické logopedie"/>
    <x v="34"/>
    <s v="3621"/>
    <s v="ambulance"/>
    <s v="3621 - ambulance"/>
    <s v="50113001     léky - paušál+TISS (LEK)"/>
    <x v="3"/>
    <x v="1"/>
    <n v="0"/>
    <n v="0.47948292892299998"/>
  </r>
  <r>
    <s v="36"/>
    <s v="36"/>
    <s v="Oddělení klinické logopedie"/>
    <x v="34"/>
    <s v="3621"/>
    <s v="ambulance"/>
    <s v="3621 - ambulance"/>
    <s v="50113001     léky - paušál+TISS (LEK)"/>
    <x v="3"/>
    <x v="2"/>
    <n v="0.33857999999999999"/>
    <n v="0"/>
  </r>
  <r>
    <s v="36"/>
    <s v="36"/>
    <s v="Oddělení klinické logopedie"/>
    <x v="34"/>
    <s v="3621"/>
    <s v="ambulance"/>
    <s v="3621 - ambulance"/>
    <s v="50115     Zdravotnické prostředky"/>
    <x v="0"/>
    <x v="0"/>
    <n v="0.04"/>
    <n v="1.466704282642"/>
  </r>
  <r>
    <s v="36"/>
    <s v="36"/>
    <s v="Oddělení klinické logopedie"/>
    <x v="34"/>
    <s v="3621"/>
    <s v="ambulance"/>
    <s v="3621 - ambulance"/>
    <s v="50115     Zdravotnické prostředky"/>
    <x v="0"/>
    <x v="1"/>
    <n v="0"/>
    <n v="3.9999698665999998E-2"/>
  </r>
  <r>
    <s v="36"/>
    <s v="36"/>
    <s v="Oddělení klinické logopedie"/>
    <x v="34"/>
    <s v="3621"/>
    <s v="ambulance"/>
    <s v="3621 - ambulance"/>
    <s v="50115     Zdravotnické prostředky"/>
    <x v="0"/>
    <x v="2"/>
    <n v="1.01122"/>
    <n v="0"/>
  </r>
  <r>
    <s v="36"/>
    <s v="36"/>
    <s v="Oddělení klinické logopedie"/>
    <x v="34"/>
    <s v="3621"/>
    <s v="ambulance"/>
    <s v="3621 - ambulance"/>
    <s v="50115040     laboratorní materiál (sk.Z_505)"/>
    <x v="11"/>
    <x v="0"/>
    <n v="0"/>
    <n v="0.99990466671699996"/>
  </r>
  <r>
    <s v="36"/>
    <s v="36"/>
    <s v="Oddělení klinické logopedie"/>
    <x v="34"/>
    <s v="3621"/>
    <s v="ambulance"/>
    <s v="3621 - ambulance"/>
    <s v="50115050     obvazový materiál (sk.Z_502)"/>
    <x v="12"/>
    <x v="2"/>
    <n v="0.28936000000000001"/>
    <n v="0"/>
  </r>
  <r>
    <s v="36"/>
    <s v="36"/>
    <s v="Oddělení klinické logopedie"/>
    <x v="34"/>
    <s v="3621"/>
    <s v="ambulance"/>
    <s v="3621 - ambulance"/>
    <s v="50115060     ostatní ZPr - mimo níže uvedené (sk.Z_503)"/>
    <x v="1"/>
    <x v="0"/>
    <n v="0.04"/>
    <n v="0.46679961592500002"/>
  </r>
  <r>
    <s v="36"/>
    <s v="36"/>
    <s v="Oddělení klinické logopedie"/>
    <x v="34"/>
    <s v="3621"/>
    <s v="ambulance"/>
    <s v="3621 - ambulance"/>
    <s v="50115060     ostatní ZPr - mimo níže uvedené (sk.Z_503)"/>
    <x v="1"/>
    <x v="1"/>
    <n v="0"/>
    <n v="3.9999698665999998E-2"/>
  </r>
  <r>
    <s v="36"/>
    <s v="36"/>
    <s v="Oddělení klinické logopedie"/>
    <x v="34"/>
    <s v="3621"/>
    <s v="ambulance"/>
    <s v="3621 - ambulance"/>
    <s v="50115060     ostatní ZPr - mimo níže uvedené (sk.Z_503)"/>
    <x v="1"/>
    <x v="2"/>
    <n v="0.72186000000000006"/>
    <n v="0"/>
  </r>
  <r>
    <s v="37"/>
    <s v="37"/>
    <s v="Ústav klinické a molekulární patologie"/>
    <x v="35"/>
    <s v="3741"/>
    <s v="laboratoř"/>
    <s v="3741 - laboratoř"/>
    <s v="50113     Léky a léčiva"/>
    <x v="2"/>
    <x v="0"/>
    <n v="201.6995"/>
    <n v="267.51176322643403"/>
  </r>
  <r>
    <s v="37"/>
    <s v="37"/>
    <s v="Ústav klinické a molekulární patologie"/>
    <x v="35"/>
    <s v="3741"/>
    <s v="laboratoř"/>
    <s v="3741 - laboratoř"/>
    <s v="50113     Léky a léčiva"/>
    <x v="2"/>
    <x v="1"/>
    <n v="138.76254999999998"/>
    <n v="201.853577672141"/>
  </r>
  <r>
    <s v="37"/>
    <s v="37"/>
    <s v="Ústav klinické a molekulární patologie"/>
    <x v="35"/>
    <s v="3741"/>
    <s v="laboratoř"/>
    <s v="3741 - laboratoř"/>
    <s v="50113     Léky a léčiva"/>
    <x v="2"/>
    <x v="2"/>
    <n v="86.086550000000003"/>
    <n v="195.13087158028301"/>
  </r>
  <r>
    <s v="37"/>
    <s v="37"/>
    <s v="Ústav klinické a molekulární patologie"/>
    <x v="35"/>
    <s v="3741"/>
    <s v="laboratoř"/>
    <s v="3741 - laboratoř"/>
    <s v="50113001     léky - paušál+TISS (LEK)"/>
    <x v="3"/>
    <x v="0"/>
    <n v="201.58616000000001"/>
    <n v="267.51176322643403"/>
  </r>
  <r>
    <s v="37"/>
    <s v="37"/>
    <s v="Ústav klinické a molekulární patologie"/>
    <x v="35"/>
    <s v="3741"/>
    <s v="laboratoř"/>
    <s v="3741 - laboratoř"/>
    <s v="50113001     léky - paušál+TISS (LEK)"/>
    <x v="3"/>
    <x v="1"/>
    <n v="138.76254999999998"/>
    <n v="201.73885963293699"/>
  </r>
  <r>
    <s v="37"/>
    <s v="37"/>
    <s v="Ústav klinické a molekulární patologie"/>
    <x v="35"/>
    <s v="3741"/>
    <s v="laboratoř"/>
    <s v="3741 - laboratoř"/>
    <s v="50113001     léky - paušál+TISS (LEK)"/>
    <x v="3"/>
    <x v="2"/>
    <n v="86.086550000000003"/>
    <n v="195.13087158028301"/>
  </r>
  <r>
    <s v="37"/>
    <s v="37"/>
    <s v="Ústav klinické a molekulární patologie"/>
    <x v="35"/>
    <s v="3741"/>
    <s v="laboratoř"/>
    <s v="3741 - laboratoř"/>
    <s v="50113013     léky (paušál) - antibiotika (LEK)"/>
    <x v="7"/>
    <x v="0"/>
    <n v="0.11334"/>
    <n v="0"/>
  </r>
  <r>
    <s v="37"/>
    <s v="37"/>
    <s v="Ústav klinické a molekulární patologie"/>
    <x v="35"/>
    <s v="3741"/>
    <s v="laboratoř"/>
    <s v="3741 - laboratoř"/>
    <s v="50113013     léky (paušál) - antibiotika (LEK)"/>
    <x v="7"/>
    <x v="1"/>
    <n v="0"/>
    <n v="0.11471803920400001"/>
  </r>
  <r>
    <s v="37"/>
    <s v="37"/>
    <s v="Ústav klinické a molekulární patologie"/>
    <x v="35"/>
    <s v="3741"/>
    <s v="laboratoř"/>
    <s v="3741 - laboratoř"/>
    <s v="50115     Zdravotnické prostředky"/>
    <x v="0"/>
    <x v="0"/>
    <n v="3645.6034900000022"/>
    <n v="3667.32847686482"/>
  </r>
  <r>
    <s v="37"/>
    <s v="37"/>
    <s v="Ústav klinické a molekulární patologie"/>
    <x v="35"/>
    <s v="3741"/>
    <s v="laboratoř"/>
    <s v="3741 - laboratoř"/>
    <s v="50115     Zdravotnické prostředky"/>
    <x v="0"/>
    <x v="1"/>
    <n v="3633.1210900000015"/>
    <n v="3648.8042193643801"/>
  </r>
  <r>
    <s v="37"/>
    <s v="37"/>
    <s v="Ústav klinické a molekulární patologie"/>
    <x v="35"/>
    <s v="3741"/>
    <s v="laboratoř"/>
    <s v="3741 - laboratoř"/>
    <s v="50115     Zdravotnické prostředky"/>
    <x v="0"/>
    <x v="2"/>
    <n v="2863.058610000001"/>
    <n v="3702.42307172643"/>
  </r>
  <r>
    <s v="37"/>
    <s v="37"/>
    <s v="Ústav klinické a molekulární patologie"/>
    <x v="35"/>
    <s v="3741"/>
    <s v="laboratoř"/>
    <s v="3741 - laboratoř"/>
    <s v="50115020     diagnostika laboratorní-LEK (sk.Z_501)"/>
    <x v="10"/>
    <x v="0"/>
    <n v="2828.8281200000015"/>
    <n v="2865.6652648088302"/>
  </r>
  <r>
    <s v="37"/>
    <s v="37"/>
    <s v="Ústav klinické a molekulární patologie"/>
    <x v="35"/>
    <s v="3741"/>
    <s v="laboratoř"/>
    <s v="3741 - laboratoř"/>
    <s v="50115020     diagnostika laboratorní-LEK (sk.Z_501)"/>
    <x v="10"/>
    <x v="1"/>
    <n v="2796.7691500000005"/>
    <n v="2828.8251238415301"/>
  </r>
  <r>
    <s v="37"/>
    <s v="37"/>
    <s v="Ústav klinické a molekulární patologie"/>
    <x v="35"/>
    <s v="3741"/>
    <s v="laboratoř"/>
    <s v="3741 - laboratoř"/>
    <s v="50115020     diagnostika laboratorní-LEK (sk.Z_501)"/>
    <x v="10"/>
    <x v="2"/>
    <n v="2152.5029100000011"/>
    <n v="2840.4337118032499"/>
  </r>
  <r>
    <s v="37"/>
    <s v="37"/>
    <s v="Ústav klinické a molekulární patologie"/>
    <x v="35"/>
    <s v="3741"/>
    <s v="laboratoř"/>
    <s v="3741 - laboratoř"/>
    <s v="50115040     laboratorní materiál (sk.Z_505)"/>
    <x v="11"/>
    <x v="0"/>
    <n v="457.47370999999896"/>
    <n v="432.67796456300198"/>
  </r>
  <r>
    <s v="37"/>
    <s v="37"/>
    <s v="Ústav klinické a molekulární patologie"/>
    <x v="35"/>
    <s v="3741"/>
    <s v="laboratoř"/>
    <s v="3741 - laboratoř"/>
    <s v="50115040     laboratorní materiál (sk.Z_505)"/>
    <x v="11"/>
    <x v="1"/>
    <n v="501.99350999999996"/>
    <n v="473.28276680293601"/>
  </r>
  <r>
    <s v="37"/>
    <s v="37"/>
    <s v="Ústav klinické a molekulární patologie"/>
    <x v="35"/>
    <s v="3741"/>
    <s v="laboratoř"/>
    <s v="3741 - laboratoř"/>
    <s v="50115040     laboratorní materiál (sk.Z_505)"/>
    <x v="11"/>
    <x v="2"/>
    <n v="476.36638000000005"/>
    <n v="506.99998560560698"/>
  </r>
  <r>
    <s v="37"/>
    <s v="37"/>
    <s v="Ústav klinické a molekulární patologie"/>
    <x v="35"/>
    <s v="3741"/>
    <s v="laboratoř"/>
    <s v="3741 - laboratoř"/>
    <s v="50115050     obvazový materiál (sk.Z_502)"/>
    <x v="12"/>
    <x v="0"/>
    <n v="18.38776"/>
    <n v="18.292767139211001"/>
  </r>
  <r>
    <s v="37"/>
    <s v="37"/>
    <s v="Ústav klinické a molekulární patologie"/>
    <x v="35"/>
    <s v="3741"/>
    <s v="laboratoř"/>
    <s v="3741 - laboratoř"/>
    <s v="50115050     obvazový materiál (sk.Z_502)"/>
    <x v="12"/>
    <x v="1"/>
    <n v="9.7416999999999998"/>
    <n v="13.429576866293999"/>
  </r>
  <r>
    <s v="37"/>
    <s v="37"/>
    <s v="Ústav klinické a molekulární patologie"/>
    <x v="35"/>
    <s v="3741"/>
    <s v="laboratoř"/>
    <s v="3741 - laboratoř"/>
    <s v="50115050     obvazový materiál (sk.Z_502)"/>
    <x v="12"/>
    <x v="2"/>
    <n v="8.0464099999999998"/>
    <n v="18.331123388715"/>
  </r>
  <r>
    <s v="37"/>
    <s v="37"/>
    <s v="Ústav klinické a molekulární patologie"/>
    <x v="35"/>
    <s v="3741"/>
    <s v="laboratoř"/>
    <s v="3741 - laboratoř"/>
    <s v="50115060     ostatní ZPr - mimo níže uvedené (sk.Z_503)"/>
    <x v="1"/>
    <x v="0"/>
    <n v="316.25924000000003"/>
    <n v="322.32853819440697"/>
  </r>
  <r>
    <s v="37"/>
    <s v="37"/>
    <s v="Ústav klinické a molekulární patologie"/>
    <x v="35"/>
    <s v="3741"/>
    <s v="laboratoř"/>
    <s v="3741 - laboratoř"/>
    <s v="50115060     ostatní ZPr - mimo níže uvedené (sk.Z_503)"/>
    <x v="1"/>
    <x v="1"/>
    <n v="310.55723"/>
    <n v="311.25704231827098"/>
  </r>
  <r>
    <s v="37"/>
    <s v="37"/>
    <s v="Ústav klinické a molekulární patologie"/>
    <x v="35"/>
    <s v="3741"/>
    <s v="laboratoř"/>
    <s v="3741 - laboratoř"/>
    <s v="50115060     ostatní ZPr - mimo níže uvedené (sk.Z_503)"/>
    <x v="1"/>
    <x v="2"/>
    <n v="211.91591000000003"/>
    <n v="311.999990802708"/>
  </r>
  <r>
    <s v="37"/>
    <s v="37"/>
    <s v="Ústav klinické a molekulární patologie"/>
    <x v="35"/>
    <s v="3741"/>
    <s v="laboratoř"/>
    <s v="3741 - laboratoř"/>
    <s v="50115065     ostatní ZPr - vpichovací materiál (sk.Z_530)"/>
    <x v="14"/>
    <x v="0"/>
    <n v="0.03"/>
    <n v="0"/>
  </r>
  <r>
    <s v="37"/>
    <s v="37"/>
    <s v="Ústav klinické a molekulární patologie"/>
    <x v="35"/>
    <s v="3741"/>
    <s v="laboratoř"/>
    <s v="3741 - laboratoř"/>
    <s v="50115065     ostatní ZPr - vpichovací materiál (sk.Z_530)"/>
    <x v="14"/>
    <x v="1"/>
    <n v="9.6000000000000002E-2"/>
    <n v="3.0774472960999999E-2"/>
  </r>
  <r>
    <s v="37"/>
    <s v="37"/>
    <s v="Ústav klinické a molekulární patologie"/>
    <x v="35"/>
    <s v="3741"/>
    <s v="laboratoř"/>
    <s v="3741 - laboratoř"/>
    <s v="50115065     ostatní ZPr - vpichovací materiál (sk.Z_530)"/>
    <x v="14"/>
    <x v="2"/>
    <n v="4.8000000000000001E-2"/>
    <n v="9.5999996975999993E-2"/>
  </r>
  <r>
    <s v="37"/>
    <s v="37"/>
    <s v="Ústav klinické a molekulární patologie"/>
    <x v="35"/>
    <s v="3741"/>
    <s v="laboratoř"/>
    <s v="3741 - laboratoř"/>
    <s v="50115067     ostatní ZPr - rukavice (sk.Z_532)"/>
    <x v="15"/>
    <x v="0"/>
    <n v="23.789300000000001"/>
    <n v="28.363942159373"/>
  </r>
  <r>
    <s v="37"/>
    <s v="37"/>
    <s v="Ústav klinické a molekulární patologie"/>
    <x v="35"/>
    <s v="3741"/>
    <s v="laboratoř"/>
    <s v="3741 - laboratoř"/>
    <s v="50115067     ostatní ZPr - rukavice (sk.Z_532)"/>
    <x v="15"/>
    <x v="1"/>
    <n v="13.6706"/>
    <n v="21.125931123811998"/>
  </r>
  <r>
    <s v="37"/>
    <s v="37"/>
    <s v="Ústav klinické a molekulární patologie"/>
    <x v="35"/>
    <s v="3741"/>
    <s v="laboratoř"/>
    <s v="3741 - laboratoř"/>
    <s v="50115067     ostatní ZPr - rukavice (sk.Z_532)"/>
    <x v="15"/>
    <x v="2"/>
    <n v="14.178999999999998"/>
    <n v="24.562260129178998"/>
  </r>
  <r>
    <s v="37"/>
    <s v="37"/>
    <s v="Ústav klinické a molekulární patologie"/>
    <x v="35"/>
    <s v="3741"/>
    <s v="laboratoř"/>
    <s v="3741 - laboratoř"/>
    <s v="50115090     ostatní ZPr - zubolékařský materiál (sk.Z_509)"/>
    <x v="51"/>
    <x v="0"/>
    <n v="0.83535999999999999"/>
    <n v="0"/>
  </r>
  <r>
    <s v="37"/>
    <s v="37"/>
    <s v="Ústav klinické a molekulární patologie"/>
    <x v="35"/>
    <s v="3741"/>
    <s v="laboratoř"/>
    <s v="3741 - laboratoř"/>
    <s v="50115090     ostatní ZPr - zubolékařský materiál (sk.Z_509)"/>
    <x v="51"/>
    <x v="1"/>
    <n v="0.29289999999999999"/>
    <n v="0.85300393857300005"/>
  </r>
  <r>
    <s v="37"/>
    <s v="37"/>
    <s v="Ústav klinické a molekulární patologie"/>
    <x v="35"/>
    <s v="3742"/>
    <s v="laboratoř - referenční diagnostika"/>
    <s v="3742 - laboratoř - referenční diagnostika"/>
    <s v="50113     Léky a léčiva"/>
    <x v="2"/>
    <x v="0"/>
    <n v="2.1833300000000002"/>
    <n v="21.573136234523002"/>
  </r>
  <r>
    <s v="37"/>
    <s v="37"/>
    <s v="Ústav klinické a molekulární patologie"/>
    <x v="35"/>
    <s v="3742"/>
    <s v="laboratoř - referenční diagnostika"/>
    <s v="3742 - laboratoř - referenční diagnostika"/>
    <s v="50113     Léky a léčiva"/>
    <x v="2"/>
    <x v="1"/>
    <n v="0"/>
    <n v="2.044815107642"/>
  </r>
  <r>
    <s v="37"/>
    <s v="37"/>
    <s v="Ústav klinické a molekulární patologie"/>
    <x v="35"/>
    <s v="3742"/>
    <s v="laboratoř - referenční diagnostika"/>
    <s v="3742 - laboratoř - referenční diagnostika"/>
    <s v="50113001     léky - paušál+TISS (LEK)"/>
    <x v="3"/>
    <x v="0"/>
    <n v="0"/>
    <n v="21.573136234523002"/>
  </r>
  <r>
    <s v="37"/>
    <s v="37"/>
    <s v="Ústav klinické a molekulární patologie"/>
    <x v="35"/>
    <s v="3742"/>
    <s v="laboratoř - referenční diagnostika"/>
    <s v="3742 - laboratoř - referenční diagnostika"/>
    <s v="50113009     léky - RTG diagnostika ZUL (LEK)"/>
    <x v="22"/>
    <x v="0"/>
    <n v="2.1833300000000002"/>
    <n v="0"/>
  </r>
  <r>
    <s v="37"/>
    <s v="37"/>
    <s v="Ústav klinické a molekulární patologie"/>
    <x v="35"/>
    <s v="3742"/>
    <s v="laboratoř - referenční diagnostika"/>
    <s v="3742 - laboratoř - referenční diagnostika"/>
    <s v="50113009     léky - RTG diagnostika ZUL (LEK)"/>
    <x v="22"/>
    <x v="1"/>
    <n v="0"/>
    <n v="2.044815107642"/>
  </r>
  <r>
    <s v="37"/>
    <s v="37"/>
    <s v="Ústav klinické a molekulární patologie"/>
    <x v="35"/>
    <s v="3742"/>
    <s v="laboratoř - referenční diagnostika"/>
    <s v="3742 - laboratoř - referenční diagnostika"/>
    <s v="50115     Zdravotnické prostředky"/>
    <x v="0"/>
    <x v="0"/>
    <n v="241.37873000000002"/>
    <n v="193.01063777203299"/>
  </r>
  <r>
    <s v="37"/>
    <s v="37"/>
    <s v="Ústav klinické a molekulární patologie"/>
    <x v="35"/>
    <s v="3742"/>
    <s v="laboratoř - referenční diagnostika"/>
    <s v="3742 - laboratoř - referenční diagnostika"/>
    <s v="50115     Zdravotnické prostředky"/>
    <x v="0"/>
    <x v="1"/>
    <n v="302.20405"/>
    <n v="241.45297929796499"/>
  </r>
  <r>
    <s v="37"/>
    <s v="37"/>
    <s v="Ústav klinické a molekulární patologie"/>
    <x v="35"/>
    <s v="3742"/>
    <s v="laboratoř - referenční diagnostika"/>
    <s v="3742 - laboratoř - referenční diagnostika"/>
    <s v="50115     Zdravotnické prostředky"/>
    <x v="0"/>
    <x v="2"/>
    <n v="189.816969999999"/>
    <n v="255.306269859297"/>
  </r>
  <r>
    <s v="37"/>
    <s v="37"/>
    <s v="Ústav klinické a molekulární patologie"/>
    <x v="35"/>
    <s v="3742"/>
    <s v="laboratoř - referenční diagnostika"/>
    <s v="3742 - laboratoř - referenční diagnostika"/>
    <s v="50115020     diagnostika laboratorní-LEK (sk.Z_501)"/>
    <x v="10"/>
    <x v="0"/>
    <n v="230.47462999999999"/>
    <n v="181.126817141587"/>
  </r>
  <r>
    <s v="37"/>
    <s v="37"/>
    <s v="Ústav klinické a molekulární patologie"/>
    <x v="35"/>
    <s v="3742"/>
    <s v="laboratoř - referenční diagnostika"/>
    <s v="3742 - laboratoř - referenční diagnostika"/>
    <s v="50115020     diagnostika laboratorní-LEK (sk.Z_501)"/>
    <x v="10"/>
    <x v="1"/>
    <n v="291.29213000000004"/>
    <n v="230.47438589237501"/>
  </r>
  <r>
    <s v="37"/>
    <s v="37"/>
    <s v="Ústav klinické a molekulární patologie"/>
    <x v="35"/>
    <s v="3742"/>
    <s v="laboratoř - referenční diagnostika"/>
    <s v="3742 - laboratoř - referenční diagnostika"/>
    <s v="50115020     diagnostika laboratorní-LEK (sk.Z_501)"/>
    <x v="10"/>
    <x v="2"/>
    <n v="183.37038999999902"/>
    <n v="245.56619099523201"/>
  </r>
  <r>
    <s v="37"/>
    <s v="37"/>
    <s v="Ústav klinické a molekulární patologie"/>
    <x v="35"/>
    <s v="3742"/>
    <s v="laboratoř - referenční diagnostika"/>
    <s v="3742 - laboratoř - referenční diagnostika"/>
    <s v="50115050     obvazový materiál (sk.Z_502)"/>
    <x v="12"/>
    <x v="0"/>
    <n v="6.7195999999999998"/>
    <n v="6.6581536516920004"/>
  </r>
  <r>
    <s v="37"/>
    <s v="37"/>
    <s v="Ústav klinické a molekulární patologie"/>
    <x v="35"/>
    <s v="3742"/>
    <s v="laboratoř - referenční diagnostika"/>
    <s v="3742 - laboratoř - referenční diagnostika"/>
    <s v="50115050     obvazový materiál (sk.Z_502)"/>
    <x v="12"/>
    <x v="1"/>
    <n v="6.9469200000000004"/>
    <n v="6.7348807162130004"/>
  </r>
  <r>
    <s v="37"/>
    <s v="37"/>
    <s v="Ústav klinické a molekulární patologie"/>
    <x v="35"/>
    <s v="3742"/>
    <s v="laboratoř - referenční diagnostika"/>
    <s v="3742 - laboratoř - referenční diagnostika"/>
    <s v="50115050     obvazový materiál (sk.Z_502)"/>
    <x v="12"/>
    <x v="2"/>
    <n v="4.3635799999999998"/>
    <n v="6.6688758238450001"/>
  </r>
  <r>
    <s v="37"/>
    <s v="37"/>
    <s v="Ústav klinické a molekulární patologie"/>
    <x v="35"/>
    <s v="3742"/>
    <s v="laboratoř - referenční diagnostika"/>
    <s v="3742 - laboratoř - referenční diagnostika"/>
    <s v="50115067     ostatní ZPr - rukavice (sk.Z_532)"/>
    <x v="15"/>
    <x v="0"/>
    <n v="4.1844999999999999"/>
    <n v="5.2256669787529999"/>
  </r>
  <r>
    <s v="37"/>
    <s v="37"/>
    <s v="Ústav klinické a molekulární patologie"/>
    <x v="35"/>
    <s v="3742"/>
    <s v="laboratoř - referenční diagnostika"/>
    <s v="3742 - laboratoř - referenční diagnostika"/>
    <s v="50115067     ostatní ZPr - rukavice (sk.Z_532)"/>
    <x v="15"/>
    <x v="1"/>
    <n v="3.9649999999999999"/>
    <n v="4.2437126893760002"/>
  </r>
  <r>
    <s v="37"/>
    <s v="37"/>
    <s v="Ústav klinické a molekulární patologie"/>
    <x v="35"/>
    <s v="3742"/>
    <s v="laboratoř - referenční diagnostika"/>
    <s v="3742 - laboratoř - referenční diagnostika"/>
    <s v="50115067     ostatní ZPr - rukavice (sk.Z_532)"/>
    <x v="15"/>
    <x v="2"/>
    <n v="2.0829999999999997"/>
    <n v="3.0712030402189998"/>
  </r>
  <r>
    <s v="37"/>
    <s v="37"/>
    <s v="Ústav klinické a molekulární patologie"/>
    <x v="35"/>
    <s v="3743"/>
    <m/>
    <s v="3743 - "/>
    <s v="50113     Léky a léčiva"/>
    <x v="2"/>
    <x v="0"/>
    <n v="2.7443399999999998"/>
    <n v="3.1404359522109999"/>
  </r>
  <r>
    <s v="37"/>
    <s v="37"/>
    <s v="Ústav klinické a molekulární patologie"/>
    <x v="35"/>
    <s v="3743"/>
    <m/>
    <s v="3743 - "/>
    <s v="50113     Léky a léčiva"/>
    <x v="2"/>
    <x v="1"/>
    <n v="-1.7181999999999999"/>
    <n v="2.746418811911"/>
  </r>
  <r>
    <s v="37"/>
    <s v="37"/>
    <s v="Ústav klinické a molekulární patologie"/>
    <x v="35"/>
    <s v="3743"/>
    <m/>
    <s v="3743 - "/>
    <s v="50113001     léky - paušál+TISS (LEK)"/>
    <x v="3"/>
    <x v="0"/>
    <n v="2.7443399999999998"/>
    <n v="3.1404359522109999"/>
  </r>
  <r>
    <s v="37"/>
    <s v="37"/>
    <s v="Ústav klinické a molekulární patologie"/>
    <x v="35"/>
    <s v="3743"/>
    <m/>
    <s v="3743 - "/>
    <s v="50113001     léky - paušál+TISS (LEK)"/>
    <x v="3"/>
    <x v="1"/>
    <n v="0"/>
    <n v="2.746418811911"/>
  </r>
  <r>
    <s v="37"/>
    <s v="37"/>
    <s v="Ústav klinické a molekulární patologie"/>
    <x v="35"/>
    <s v="3743"/>
    <m/>
    <s v="3743 - "/>
    <s v="50113190     medicinální plyny"/>
    <x v="9"/>
    <x v="1"/>
    <n v="-1.7181999999999999"/>
    <n v="0"/>
  </r>
  <r>
    <s v="37"/>
    <s v="37"/>
    <s v="Ústav klinické a molekulární patologie"/>
    <x v="35"/>
    <s v="3743"/>
    <m/>
    <s v="3743 - "/>
    <s v="50115     Zdravotnické prostředky"/>
    <x v="0"/>
    <x v="0"/>
    <n v="691.81748999999991"/>
    <n v="658.35784959774901"/>
  </r>
  <r>
    <s v="37"/>
    <s v="37"/>
    <s v="Ústav klinické a molekulární patologie"/>
    <x v="35"/>
    <s v="3743"/>
    <m/>
    <s v="3743 - "/>
    <s v="50115     Zdravotnické prostředky"/>
    <x v="0"/>
    <x v="1"/>
    <n v="747.97014999999999"/>
    <n v="752.21588694741297"/>
  </r>
  <r>
    <s v="37"/>
    <s v="37"/>
    <s v="Ústav klinické a molekulární patologie"/>
    <x v="35"/>
    <s v="3743"/>
    <m/>
    <s v="3743 - "/>
    <s v="50115020     diagnostika laboratorní-LEK (sk.Z_501)"/>
    <x v="10"/>
    <x v="0"/>
    <n v="627.93550999999991"/>
    <n v="559.95145651054099"/>
  </r>
  <r>
    <s v="37"/>
    <s v="37"/>
    <s v="Ústav klinické a molekulární patologie"/>
    <x v="35"/>
    <s v="3743"/>
    <m/>
    <s v="3743 - "/>
    <s v="50115020     diagnostika laboratorní-LEK (sk.Z_501)"/>
    <x v="10"/>
    <x v="1"/>
    <n v="654.50297"/>
    <n v="662.99895324165198"/>
  </r>
  <r>
    <s v="37"/>
    <s v="37"/>
    <s v="Ústav klinické a molekulární patologie"/>
    <x v="35"/>
    <s v="3743"/>
    <m/>
    <s v="3743 - "/>
    <s v="50115040     laboratorní materiál (sk.Z_505)"/>
    <x v="11"/>
    <x v="0"/>
    <n v="54.406799999999997"/>
    <n v="80.005519908167003"/>
  </r>
  <r>
    <s v="37"/>
    <s v="37"/>
    <s v="Ústav klinické a molekulární patologie"/>
    <x v="35"/>
    <s v="3743"/>
    <m/>
    <s v="3743 - "/>
    <s v="50115040     laboratorní materiál (sk.Z_505)"/>
    <x v="11"/>
    <x v="1"/>
    <n v="63.98433"/>
    <n v="54.741825085515003"/>
  </r>
  <r>
    <s v="37"/>
    <s v="37"/>
    <s v="Ústav klinické a molekulární patologie"/>
    <x v="35"/>
    <s v="3743"/>
    <m/>
    <s v="3743 - "/>
    <s v="50115060     ostatní ZPr - mimo níže uvedené (sk.Z_503)"/>
    <x v="1"/>
    <x v="0"/>
    <n v="9.4751799999999999"/>
    <n v="15.550488642378999"/>
  </r>
  <r>
    <s v="37"/>
    <s v="37"/>
    <s v="Ústav klinické a molekulární patologie"/>
    <x v="35"/>
    <s v="3743"/>
    <m/>
    <s v="3743 - "/>
    <s v="50115060     ostatní ZPr - mimo níže uvedené (sk.Z_503)"/>
    <x v="1"/>
    <x v="1"/>
    <n v="29.263849999999998"/>
    <n v="34.475108620245003"/>
  </r>
  <r>
    <s v="37"/>
    <s v="37"/>
    <s v="Ústav klinické a molekulární patologie"/>
    <x v="35"/>
    <s v="3743"/>
    <m/>
    <s v="3743 - "/>
    <s v="50115067     ostatní ZPr - rukavice (sk.Z_532)"/>
    <x v="15"/>
    <x v="0"/>
    <n v="0"/>
    <n v="2.8503845366620002"/>
  </r>
  <r>
    <s v="37"/>
    <s v="37"/>
    <s v="Ústav klinické a molekulární patologie"/>
    <x v="35"/>
    <s v="3743"/>
    <m/>
    <s v="3743 - "/>
    <s v="50115067     ostatní ZPr - rukavice (sk.Z_532)"/>
    <x v="15"/>
    <x v="1"/>
    <n v="0.219"/>
    <n v="0"/>
  </r>
  <r>
    <s v="38"/>
    <s v="38"/>
    <s v="Ústav soudního lékařství a medicínského práva"/>
    <x v="36"/>
    <s v="3841"/>
    <s v="soudní lékařství - laboratoř"/>
    <s v="3841 - soudní lékařství - laboratoř"/>
    <s v="50113     Léky a léčiva"/>
    <x v="2"/>
    <x v="0"/>
    <n v="40.844390000000004"/>
    <n v="54.188132448730002"/>
  </r>
  <r>
    <s v="38"/>
    <s v="38"/>
    <s v="Ústav soudního lékařství a medicínského práva"/>
    <x v="36"/>
    <s v="3841"/>
    <s v="soudní lékařství - laboratoř"/>
    <s v="3841 - soudní lékařství - laboratoř"/>
    <s v="50113     Léky a léčiva"/>
    <x v="2"/>
    <x v="1"/>
    <n v="13.706059999999999"/>
    <n v="40.857189455970001"/>
  </r>
  <r>
    <s v="38"/>
    <s v="38"/>
    <s v="Ústav soudního lékařství a medicínského práva"/>
    <x v="36"/>
    <s v="3841"/>
    <s v="soudní lékařství - laboratoř"/>
    <s v="3841 - soudní lékařství - laboratoř"/>
    <s v="50113     Léky a léčiva"/>
    <x v="2"/>
    <x v="2"/>
    <n v="7.7199499999999999"/>
    <n v="28.695716408865"/>
  </r>
  <r>
    <s v="38"/>
    <s v="38"/>
    <s v="Ústav soudního lékařství a medicínského práva"/>
    <x v="36"/>
    <s v="3841"/>
    <s v="soudní lékařství - laboratoř"/>
    <s v="3841 - soudní lékařství - laboratoř"/>
    <s v="50113001     léky - paušál+TISS (LEK)"/>
    <x v="3"/>
    <x v="0"/>
    <n v="39.94012"/>
    <n v="53.283357985510001"/>
  </r>
  <r>
    <s v="38"/>
    <s v="38"/>
    <s v="Ústav soudního lékařství a medicínského práva"/>
    <x v="36"/>
    <s v="3841"/>
    <s v="soudní lékařství - laboratoř"/>
    <s v="3841 - soudní lékařství - laboratoř"/>
    <s v="50113001     léky - paušál+TISS (LEK)"/>
    <x v="3"/>
    <x v="1"/>
    <n v="13.706059999999999"/>
    <n v="39.970374267769998"/>
  </r>
  <r>
    <s v="38"/>
    <s v="38"/>
    <s v="Ústav soudního lékařství a medicínského práva"/>
    <x v="36"/>
    <s v="3841"/>
    <s v="soudní lékařství - laboratoř"/>
    <s v="3841 - soudní lékařství - laboratoř"/>
    <s v="50113001     léky - paušál+TISS (LEK)"/>
    <x v="3"/>
    <x v="2"/>
    <n v="6.3647499999999999"/>
    <n v="28.695716408865"/>
  </r>
  <r>
    <s v="38"/>
    <s v="38"/>
    <s v="Ústav soudního lékařství a medicínského práva"/>
    <x v="36"/>
    <s v="3841"/>
    <s v="soudní lékařství - laboratoř"/>
    <s v="3841 - soudní lékařství - laboratoř"/>
    <s v="50113013     léky (paušál) - antibiotika (LEK)"/>
    <x v="7"/>
    <x v="0"/>
    <n v="7.2099999999999997E-2"/>
    <n v="0"/>
  </r>
  <r>
    <s v="38"/>
    <s v="38"/>
    <s v="Ústav soudního lékařství a medicínského práva"/>
    <x v="36"/>
    <s v="3841"/>
    <s v="soudní lékařství - laboratoř"/>
    <s v="3841 - soudní lékařství - laboratoř"/>
    <s v="50113013     léky (paušál) - antibiotika (LEK)"/>
    <x v="7"/>
    <x v="1"/>
    <n v="0"/>
    <n v="7.2976624550999999E-2"/>
  </r>
  <r>
    <s v="38"/>
    <s v="38"/>
    <s v="Ústav soudního lékařství a medicínského práva"/>
    <x v="36"/>
    <s v="3841"/>
    <s v="soudní lékařství - laboratoř"/>
    <s v="3841 - soudní lékařství - laboratoř"/>
    <s v="50113014     léky (paušál) - antimykotika (LEK)"/>
    <x v="8"/>
    <x v="0"/>
    <n v="0.39415"/>
    <n v="0"/>
  </r>
  <r>
    <s v="38"/>
    <s v="38"/>
    <s v="Ústav soudního lékařství a medicínského práva"/>
    <x v="36"/>
    <s v="3841"/>
    <s v="soudní lékařství - laboratoř"/>
    <s v="3841 - soudní lékařství - laboratoř"/>
    <s v="50113014     léky (paušál) - antimykotika (LEK)"/>
    <x v="8"/>
    <x v="1"/>
    <n v="0"/>
    <n v="0.39477555006699999"/>
  </r>
  <r>
    <s v="38"/>
    <s v="38"/>
    <s v="Ústav soudního lékařství a medicínského práva"/>
    <x v="36"/>
    <s v="3841"/>
    <s v="soudní lékařství - laboratoř"/>
    <s v="3841 - soudní lékařství - laboratoř"/>
    <s v="50113190     medicinální plyny"/>
    <x v="9"/>
    <x v="0"/>
    <n v="0.43802000000000002"/>
    <n v="0.90477446321900001"/>
  </r>
  <r>
    <s v="38"/>
    <s v="38"/>
    <s v="Ústav soudního lékařství a medicínského práva"/>
    <x v="36"/>
    <s v="3841"/>
    <s v="soudní lékařství - laboratoř"/>
    <s v="3841 - soudní lékařství - laboratoř"/>
    <s v="50113190     medicinální plyny"/>
    <x v="9"/>
    <x v="1"/>
    <n v="0"/>
    <n v="0.41906301357999998"/>
  </r>
  <r>
    <s v="38"/>
    <s v="38"/>
    <s v="Ústav soudního lékařství a medicínského práva"/>
    <x v="36"/>
    <s v="3841"/>
    <s v="soudní lékařství - laboratoř"/>
    <s v="3841 - soudní lékařství - laboratoř"/>
    <s v="50113190     medicinální plyny"/>
    <x v="9"/>
    <x v="2"/>
    <n v="1.3552"/>
    <n v="0"/>
  </r>
  <r>
    <s v="38"/>
    <s v="38"/>
    <s v="Ústav soudního lékařství a medicínského práva"/>
    <x v="36"/>
    <s v="3841"/>
    <s v="soudní lékařství - laboratoř"/>
    <s v="3841 - soudní lékařství - laboratoř"/>
    <s v="50115     Zdravotnické prostředky"/>
    <x v="0"/>
    <x v="0"/>
    <n v="1189.1130300000009"/>
    <n v="1198.1272008686601"/>
  </r>
  <r>
    <s v="38"/>
    <s v="38"/>
    <s v="Ústav soudního lékařství a medicínského práva"/>
    <x v="36"/>
    <s v="3841"/>
    <s v="soudní lékařství - laboratoř"/>
    <s v="3841 - soudní lékařství - laboratoř"/>
    <s v="50115     Zdravotnické prostředky"/>
    <x v="0"/>
    <x v="1"/>
    <n v="1157.514650000001"/>
    <n v="1190.4647263627801"/>
  </r>
  <r>
    <s v="38"/>
    <s v="38"/>
    <s v="Ústav soudního lékařství a medicínského práva"/>
    <x v="36"/>
    <s v="3841"/>
    <s v="soudní lékařství - laboratoř"/>
    <s v="3841 - soudní lékařství - laboratoř"/>
    <s v="50115     Zdravotnické prostředky"/>
    <x v="0"/>
    <x v="2"/>
    <n v="685.80604999999991"/>
    <n v="1361.9999571003"/>
  </r>
  <r>
    <s v="38"/>
    <s v="38"/>
    <s v="Ústav soudního lékařství a medicínského práva"/>
    <x v="36"/>
    <s v="3841"/>
    <s v="soudní lékařství - laboratoř"/>
    <s v="3841 - soudní lékařství - laboratoř"/>
    <s v="50115020     diagnostika laboratorní-LEK (sk.Z_501)"/>
    <x v="10"/>
    <x v="0"/>
    <n v="965.7765700000009"/>
    <n v="970.64038025406296"/>
  </r>
  <r>
    <s v="38"/>
    <s v="38"/>
    <s v="Ústav soudního lékařství a medicínského práva"/>
    <x v="36"/>
    <s v="3841"/>
    <s v="soudní lékařství - laboratoř"/>
    <s v="3841 - soudní lékařství - laboratoř"/>
    <s v="50115020     diagnostika laboratorní-LEK (sk.Z_501)"/>
    <x v="10"/>
    <x v="1"/>
    <n v="859.67827"/>
    <n v="956.77569307812905"/>
  </r>
  <r>
    <s v="38"/>
    <s v="38"/>
    <s v="Ústav soudního lékařství a medicínského práva"/>
    <x v="36"/>
    <s v="3841"/>
    <s v="soudní lékařství - laboratoř"/>
    <s v="3841 - soudní lékařství - laboratoř"/>
    <s v="50115020     diagnostika laboratorní-LEK (sk.Z_501)"/>
    <x v="10"/>
    <x v="2"/>
    <n v="392.94859000000002"/>
    <n v="1024.9999677149799"/>
  </r>
  <r>
    <s v="38"/>
    <s v="38"/>
    <s v="Ústav soudního lékařství a medicínského práva"/>
    <x v="36"/>
    <s v="3841"/>
    <s v="soudní lékařství - laboratoř"/>
    <s v="3841 - soudní lékařství - laboratoř"/>
    <s v="50115040     laboratorní materiál (sk.Z_505)"/>
    <x v="11"/>
    <x v="0"/>
    <n v="32.321579999999997"/>
    <n v="35.997721255552001"/>
  </r>
  <r>
    <s v="38"/>
    <s v="38"/>
    <s v="Ústav soudního lékařství a medicínského práva"/>
    <x v="36"/>
    <s v="3841"/>
    <s v="soudní lékařství - laboratoř"/>
    <s v="3841 - soudní lékařství - laboratoř"/>
    <s v="50115040     laboratorní materiál (sk.Z_505)"/>
    <x v="11"/>
    <x v="1"/>
    <n v="49.971360000000004"/>
    <n v="34.001896546666998"/>
  </r>
  <r>
    <s v="38"/>
    <s v="38"/>
    <s v="Ústav soudního lékařství a medicínského práva"/>
    <x v="36"/>
    <s v="3841"/>
    <s v="soudní lékařství - laboratoř"/>
    <s v="3841 - soudní lékařství - laboratoř"/>
    <s v="50115040     laboratorní materiál (sk.Z_505)"/>
    <x v="11"/>
    <x v="2"/>
    <n v="73.358589999999992"/>
    <n v="61.999998047150001"/>
  </r>
  <r>
    <s v="38"/>
    <s v="38"/>
    <s v="Ústav soudního lékařství a medicínského práva"/>
    <x v="36"/>
    <s v="3841"/>
    <s v="soudní lékařství - laboratoř"/>
    <s v="3841 - soudní lékařství - laboratoř"/>
    <s v="50115050     obvazový materiál (sk.Z_502)"/>
    <x v="12"/>
    <x v="0"/>
    <n v="33.004460000000002"/>
    <n v="30.236678500842"/>
  </r>
  <r>
    <s v="38"/>
    <s v="38"/>
    <s v="Ústav soudního lékařství a medicínského práva"/>
    <x v="36"/>
    <s v="3841"/>
    <s v="soudní lékařství - laboratoř"/>
    <s v="3841 - soudní lékařství - laboratoř"/>
    <s v="50115050     obvazový materiál (sk.Z_502)"/>
    <x v="12"/>
    <x v="1"/>
    <n v="36.336419999999997"/>
    <n v="32.079515455878997"/>
  </r>
  <r>
    <s v="38"/>
    <s v="38"/>
    <s v="Ústav soudního lékařství a medicínského práva"/>
    <x v="36"/>
    <s v="3841"/>
    <s v="soudní lékařství - laboratoř"/>
    <s v="3841 - soudní lékařství - laboratoř"/>
    <s v="50115050     obvazový materiál (sk.Z_502)"/>
    <x v="12"/>
    <x v="2"/>
    <n v="24.596690000000002"/>
    <n v="32.999998960580001"/>
  </r>
  <r>
    <s v="38"/>
    <s v="38"/>
    <s v="Ústav soudního lékařství a medicínského práva"/>
    <x v="36"/>
    <s v="3841"/>
    <s v="soudní lékařství - laboratoř"/>
    <s v="3841 - soudní lékařství - laboratoř"/>
    <s v="50115060     ostatní ZPr - mimo níže uvedené (sk.Z_503)"/>
    <x v="1"/>
    <x v="0"/>
    <n v="115.808289999999"/>
    <n v="111.429102950323"/>
  </r>
  <r>
    <s v="38"/>
    <s v="38"/>
    <s v="Ústav soudního lékařství a medicínského práva"/>
    <x v="36"/>
    <s v="3841"/>
    <s v="soudní lékařství - laboratoř"/>
    <s v="3841 - soudní lékařství - laboratoř"/>
    <s v="50115060     ostatní ZPr - mimo níže uvedené (sk.Z_503)"/>
    <x v="1"/>
    <x v="1"/>
    <n v="165.39393999999999"/>
    <n v="125.807608756116"/>
  </r>
  <r>
    <s v="38"/>
    <s v="38"/>
    <s v="Ústav soudního lékařství a medicínského práva"/>
    <x v="36"/>
    <s v="3841"/>
    <s v="soudní lékařství - laboratoř"/>
    <s v="3841 - soudní lékařství - laboratoř"/>
    <s v="50115060     ostatní ZPr - mimo níže uvedené (sk.Z_503)"/>
    <x v="1"/>
    <x v="2"/>
    <n v="162.79498000000001"/>
    <n v="199.99999370048499"/>
  </r>
  <r>
    <s v="38"/>
    <s v="38"/>
    <s v="Ústav soudního lékařství a medicínského práva"/>
    <x v="36"/>
    <s v="3841"/>
    <s v="soudní lékařství - laboratoř"/>
    <s v="3841 - soudní lékařství - laboratoř"/>
    <s v="50115065     ostatní ZPr - vpichovací materiál (sk.Z_530)"/>
    <x v="14"/>
    <x v="0"/>
    <n v="0.06"/>
    <n v="0"/>
  </r>
  <r>
    <s v="38"/>
    <s v="38"/>
    <s v="Ústav soudního lékařství a medicínského práva"/>
    <x v="36"/>
    <s v="3841"/>
    <s v="soudní lékařství - laboratoř"/>
    <s v="3841 - soudní lékařství - laboratoř"/>
    <s v="50115065     ostatní ZPr - vpichovací materiál (sk.Z_530)"/>
    <x v="14"/>
    <x v="1"/>
    <n v="0.64800000000000002"/>
    <n v="6.1548945922999997E-2"/>
  </r>
  <r>
    <s v="38"/>
    <s v="38"/>
    <s v="Ústav soudního lékařství a medicínského práva"/>
    <x v="36"/>
    <s v="3841"/>
    <s v="soudní lékařství - laboratoř"/>
    <s v="3841 - soudní lékařství - laboratoř"/>
    <s v="50115065     ostatní ZPr - vpichovací materiál (sk.Z_530)"/>
    <x v="14"/>
    <x v="2"/>
    <n v="0.33899999999999997"/>
    <n v="0"/>
  </r>
  <r>
    <s v="38"/>
    <s v="38"/>
    <s v="Ústav soudního lékařství a medicínského práva"/>
    <x v="36"/>
    <s v="3841"/>
    <s v="soudní lékařství - laboratoř"/>
    <s v="3841 - soudní lékařství - laboratoř"/>
    <s v="50115067     ostatní ZPr - rukavice (sk.Z_532)"/>
    <x v="15"/>
    <x v="0"/>
    <n v="42.142129999999"/>
    <n v="49.823317907875001"/>
  </r>
  <r>
    <s v="38"/>
    <s v="38"/>
    <s v="Ústav soudního lékařství a medicínského práva"/>
    <x v="36"/>
    <s v="3841"/>
    <s v="soudní lékařství - laboratoř"/>
    <s v="3841 - soudní lékařství - laboratoř"/>
    <s v="50115067     ostatní ZPr - rukavice (sk.Z_532)"/>
    <x v="15"/>
    <x v="1"/>
    <n v="45.486660000000001"/>
    <n v="41.738463580062003"/>
  </r>
  <r>
    <s v="38"/>
    <s v="38"/>
    <s v="Ústav soudního lékařství a medicínského práva"/>
    <x v="36"/>
    <s v="3841"/>
    <s v="soudní lékařství - laboratoř"/>
    <s v="3841 - soudní lékařství - laboratoř"/>
    <s v="50115067     ostatní ZPr - rukavice (sk.Z_532)"/>
    <x v="15"/>
    <x v="2"/>
    <n v="31.7682"/>
    <n v="41.999998677100997"/>
  </r>
  <r>
    <s v="39"/>
    <s v="39"/>
    <s v="Oddělení klinické psychologie"/>
    <x v="37"/>
    <s v="3921"/>
    <s v="ambulance - odborná poradna"/>
    <s v="3921 - ambulance - odborná poradna"/>
    <s v="50113     Léky a léčiva"/>
    <x v="2"/>
    <x v="0"/>
    <n v="0.56330000000000002"/>
    <n v="0"/>
  </r>
  <r>
    <s v="39"/>
    <s v="39"/>
    <s v="Oddělení klinické psychologie"/>
    <x v="37"/>
    <s v="3921"/>
    <s v="ambulance - odborná poradna"/>
    <s v="3921 - ambulance - odborná poradna"/>
    <s v="50113     Léky a léčiva"/>
    <x v="2"/>
    <x v="1"/>
    <n v="0"/>
    <n v="0.56372669448699997"/>
  </r>
  <r>
    <s v="39"/>
    <s v="39"/>
    <s v="Oddělení klinické psychologie"/>
    <x v="37"/>
    <s v="3921"/>
    <s v="ambulance - odborná poradna"/>
    <s v="3921 - ambulance - odborná poradna"/>
    <s v="50113     Léky a léčiva"/>
    <x v="2"/>
    <x v="2"/>
    <n v="0.75165000000000004"/>
    <n v="1"/>
  </r>
  <r>
    <s v="39"/>
    <s v="39"/>
    <s v="Oddělení klinické psychologie"/>
    <x v="37"/>
    <s v="3921"/>
    <s v="ambulance - odborná poradna"/>
    <s v="3921 - ambulance - odborná poradna"/>
    <s v="50113001     léky - paušál+TISS (LEK)"/>
    <x v="3"/>
    <x v="0"/>
    <n v="0.56330000000000002"/>
    <n v="0"/>
  </r>
  <r>
    <s v="39"/>
    <s v="39"/>
    <s v="Oddělení klinické psychologie"/>
    <x v="37"/>
    <s v="3921"/>
    <s v="ambulance - odborná poradna"/>
    <s v="3921 - ambulance - odborná poradna"/>
    <s v="50113001     léky - paušál+TISS (LEK)"/>
    <x v="3"/>
    <x v="1"/>
    <n v="0"/>
    <n v="0.56372669448699997"/>
  </r>
  <r>
    <s v="39"/>
    <s v="39"/>
    <s v="Oddělení klinické psychologie"/>
    <x v="37"/>
    <s v="3921"/>
    <s v="ambulance - odborná poradna"/>
    <s v="3921 - ambulance - odborná poradna"/>
    <s v="50113001     léky - paušál+TISS (LEK)"/>
    <x v="3"/>
    <x v="2"/>
    <n v="0.75165000000000004"/>
    <n v="1"/>
  </r>
  <r>
    <s v="39"/>
    <s v="39"/>
    <s v="Oddělení klinické psychologie"/>
    <x v="37"/>
    <s v="3921"/>
    <s v="ambulance - odborná poradna"/>
    <s v="3921 - ambulance - odborná poradna"/>
    <s v="50115     Zdravotnické prostředky"/>
    <x v="0"/>
    <x v="0"/>
    <n v="0.23154"/>
    <n v="0"/>
  </r>
  <r>
    <s v="39"/>
    <s v="39"/>
    <s v="Oddělení klinické psychologie"/>
    <x v="37"/>
    <s v="3921"/>
    <s v="ambulance - odborná poradna"/>
    <s v="3921 - ambulance - odborná poradna"/>
    <s v="50115     Zdravotnické prostředky"/>
    <x v="0"/>
    <x v="1"/>
    <n v="0"/>
    <n v="0.23196071397199999"/>
  </r>
  <r>
    <s v="39"/>
    <s v="39"/>
    <s v="Oddělení klinické psychologie"/>
    <x v="37"/>
    <s v="3921"/>
    <s v="ambulance - odborná poradna"/>
    <s v="3921 - ambulance - odborná poradna"/>
    <s v="50115050     obvazový materiál (sk.Z_502)"/>
    <x v="12"/>
    <x v="0"/>
    <n v="0.18515999999999999"/>
    <n v="0"/>
  </r>
  <r>
    <s v="39"/>
    <s v="39"/>
    <s v="Oddělení klinické psychologie"/>
    <x v="37"/>
    <s v="3921"/>
    <s v="ambulance - odborná poradna"/>
    <s v="3921 - ambulance - odborná poradna"/>
    <s v="50115050     obvazový materiál (sk.Z_502)"/>
    <x v="12"/>
    <x v="1"/>
    <n v="0"/>
    <n v="0.18558106336800001"/>
  </r>
  <r>
    <s v="39"/>
    <s v="39"/>
    <s v="Oddělení klinické psychologie"/>
    <x v="37"/>
    <s v="3921"/>
    <s v="ambulance - odborná poradna"/>
    <s v="3921 - ambulance - odborná poradna"/>
    <s v="50115060     ostatní ZPr - mimo níže uvedené (sk.Z_503)"/>
    <x v="1"/>
    <x v="0"/>
    <n v="4.6379999999999998E-2"/>
    <n v="0"/>
  </r>
  <r>
    <s v="39"/>
    <s v="39"/>
    <s v="Oddělení klinické psychologie"/>
    <x v="37"/>
    <s v="3921"/>
    <s v="ambulance - odborná poradna"/>
    <s v="3921 - ambulance - odborná poradna"/>
    <s v="50115060     ostatní ZPr - mimo níže uvedené (sk.Z_503)"/>
    <x v="1"/>
    <x v="1"/>
    <n v="0"/>
    <n v="4.6379650602999999E-2"/>
  </r>
  <r>
    <s v="40"/>
    <s v="40"/>
    <s v="Ústav mikrobiologie"/>
    <x v="38"/>
    <s v="4041"/>
    <s v="mikrobiologie - laboratoř"/>
    <s v="4041 - mikrobiologie - laboratoř"/>
    <s v="50113     Léky a léčiva"/>
    <x v="2"/>
    <x v="0"/>
    <n v="58.353020000000001"/>
    <n v="49.458271022384999"/>
  </r>
  <r>
    <s v="40"/>
    <s v="40"/>
    <s v="Ústav mikrobiologie"/>
    <x v="38"/>
    <s v="4041"/>
    <s v="mikrobiologie - laboratoř"/>
    <s v="4041 - mikrobiologie - laboratoř"/>
    <s v="50113     Léky a léčiva"/>
    <x v="2"/>
    <x v="1"/>
    <n v="59.827539999999992"/>
    <n v="56.910186602358998"/>
  </r>
  <r>
    <s v="40"/>
    <s v="40"/>
    <s v="Ústav mikrobiologie"/>
    <x v="38"/>
    <s v="4041"/>
    <s v="mikrobiologie - laboratoř"/>
    <s v="4041 - mikrobiologie - laboratoř"/>
    <s v="50113     Léky a léčiva"/>
    <x v="2"/>
    <x v="2"/>
    <n v="27.378449999999997"/>
    <n v="59.392721637416003"/>
  </r>
  <r>
    <s v="40"/>
    <s v="40"/>
    <s v="Ústav mikrobiologie"/>
    <x v="38"/>
    <s v="4041"/>
    <s v="mikrobiologie - laboratoř"/>
    <s v="4041 - mikrobiologie - laboratoř"/>
    <s v="50113001     léky - paušál+TISS (LEK)"/>
    <x v="3"/>
    <x v="0"/>
    <n v="45.33455"/>
    <n v="45.249227044198001"/>
  </r>
  <r>
    <s v="40"/>
    <s v="40"/>
    <s v="Ústav mikrobiologie"/>
    <x v="38"/>
    <s v="4041"/>
    <s v="mikrobiologie - laboratoř"/>
    <s v="4041 - mikrobiologie - laboratoř"/>
    <s v="50113001     léky - paušál+TISS (LEK)"/>
    <x v="3"/>
    <x v="1"/>
    <n v="36.247630000000001"/>
    <n v="45.368890498098999"/>
  </r>
  <r>
    <s v="40"/>
    <s v="40"/>
    <s v="Ústav mikrobiologie"/>
    <x v="38"/>
    <s v="4041"/>
    <s v="mikrobiologie - laboratoř"/>
    <s v="4041 - mikrobiologie - laboratoř"/>
    <s v="50113001     léky - paušál+TISS (LEK)"/>
    <x v="3"/>
    <x v="2"/>
    <n v="21.586670000000002"/>
    <n v="35.391383570933002"/>
  </r>
  <r>
    <s v="40"/>
    <s v="40"/>
    <s v="Ústav mikrobiologie"/>
    <x v="38"/>
    <s v="4041"/>
    <s v="mikrobiologie - laboratoř"/>
    <s v="4041 - mikrobiologie - laboratoř"/>
    <s v="50113013     léky (paušál) - antibiotika (LEK)"/>
    <x v="7"/>
    <x v="0"/>
    <n v="10.36131"/>
    <n v="4.2090439781870002"/>
  </r>
  <r>
    <s v="40"/>
    <s v="40"/>
    <s v="Ústav mikrobiologie"/>
    <x v="38"/>
    <s v="4041"/>
    <s v="mikrobiologie - laboratoř"/>
    <s v="4041 - mikrobiologie - laboratoř"/>
    <s v="50113013     léky (paušál) - antibiotika (LEK)"/>
    <x v="7"/>
    <x v="1"/>
    <n v="22.694190000000003"/>
    <n v="8.9991348395529993"/>
  </r>
  <r>
    <s v="40"/>
    <s v="40"/>
    <s v="Ústav mikrobiologie"/>
    <x v="38"/>
    <s v="4041"/>
    <s v="mikrobiologie - laboratoř"/>
    <s v="4041 - mikrobiologie - laboratoř"/>
    <s v="50113013     léky (paušál) - antibiotika (LEK)"/>
    <x v="7"/>
    <x v="2"/>
    <n v="4.8479800000000006"/>
    <n v="22.955850681914001"/>
  </r>
  <r>
    <s v="40"/>
    <s v="40"/>
    <s v="Ústav mikrobiologie"/>
    <x v="38"/>
    <s v="4041"/>
    <s v="mikrobiologie - laboratoř"/>
    <s v="4041 - mikrobiologie - laboratoř"/>
    <s v="50113190     medicinální plyny"/>
    <x v="9"/>
    <x v="0"/>
    <n v="2.6571599999999997"/>
    <n v="0"/>
  </r>
  <r>
    <s v="40"/>
    <s v="40"/>
    <s v="Ústav mikrobiologie"/>
    <x v="38"/>
    <s v="4041"/>
    <s v="mikrobiologie - laboratoř"/>
    <s v="4041 - mikrobiologie - laboratoř"/>
    <s v="50113190     medicinální plyny"/>
    <x v="9"/>
    <x v="1"/>
    <n v="0.88571999999999995"/>
    <n v="2.5421612647059999"/>
  </r>
  <r>
    <s v="40"/>
    <s v="40"/>
    <s v="Ústav mikrobiologie"/>
    <x v="38"/>
    <s v="4041"/>
    <s v="mikrobiologie - laboratoř"/>
    <s v="4041 - mikrobiologie - laboratoř"/>
    <s v="50113190     medicinální plyny"/>
    <x v="9"/>
    <x v="2"/>
    <n v="0.94379999999999997"/>
    <n v="1.0454873845679999"/>
  </r>
  <r>
    <s v="40"/>
    <s v="40"/>
    <s v="Ústav mikrobiologie"/>
    <x v="38"/>
    <s v="4041"/>
    <s v="mikrobiologie - laboratoř"/>
    <s v="4041 - mikrobiologie - laboratoř"/>
    <s v="50115     Zdravotnické prostředky"/>
    <x v="0"/>
    <x v="0"/>
    <n v="16727.44906000001"/>
    <n v="14265.2314158881"/>
  </r>
  <r>
    <s v="40"/>
    <s v="40"/>
    <s v="Ústav mikrobiologie"/>
    <x v="38"/>
    <s v="4041"/>
    <s v="mikrobiologie - laboratoř"/>
    <s v="4041 - mikrobiologie - laboratoř"/>
    <s v="50115     Zdravotnické prostředky"/>
    <x v="0"/>
    <x v="1"/>
    <n v="17398.212309999999"/>
    <n v="17325.295485825201"/>
  </r>
  <r>
    <s v="40"/>
    <s v="40"/>
    <s v="Ústav mikrobiologie"/>
    <x v="38"/>
    <s v="4041"/>
    <s v="mikrobiologie - laboratoř"/>
    <s v="4041 - mikrobiologie - laboratoř"/>
    <s v="50115     Zdravotnické prostředky"/>
    <x v="0"/>
    <x v="2"/>
    <n v="13973.88615"/>
    <n v="18953.177543185"/>
  </r>
  <r>
    <s v="40"/>
    <s v="40"/>
    <s v="Ústav mikrobiologie"/>
    <x v="38"/>
    <s v="4041"/>
    <s v="mikrobiologie - laboratoř"/>
    <s v="4041 - mikrobiologie - laboratoř"/>
    <s v="50115020     diagnostika laboratorní-LEK (sk.Z_501)"/>
    <x v="10"/>
    <x v="0"/>
    <n v="16473.505820000009"/>
    <n v="14004.409454037799"/>
  </r>
  <r>
    <s v="40"/>
    <s v="40"/>
    <s v="Ústav mikrobiologie"/>
    <x v="38"/>
    <s v="4041"/>
    <s v="mikrobiologie - laboratoř"/>
    <s v="4041 - mikrobiologie - laboratoř"/>
    <s v="50115020     diagnostika laboratorní-LEK (sk.Z_501)"/>
    <x v="10"/>
    <x v="1"/>
    <n v="17143.07002000001"/>
    <n v="17069.991120591501"/>
  </r>
  <r>
    <s v="40"/>
    <s v="40"/>
    <s v="Ústav mikrobiologie"/>
    <x v="38"/>
    <s v="4041"/>
    <s v="mikrobiologie - laboratoř"/>
    <s v="4041 - mikrobiologie - laboratoř"/>
    <s v="50115020     diagnostika laboratorní-LEK (sk.Z_501)"/>
    <x v="10"/>
    <x v="2"/>
    <n v="13806.580119999999"/>
    <n v="18699.999551159501"/>
  </r>
  <r>
    <s v="40"/>
    <s v="40"/>
    <s v="Ústav mikrobiologie"/>
    <x v="38"/>
    <s v="4041"/>
    <s v="mikrobiologie - laboratoř"/>
    <s v="4041 - mikrobiologie - laboratoř"/>
    <s v="50115040     laboratorní materiál (sk.Z_505)"/>
    <x v="11"/>
    <x v="0"/>
    <n v="93.008799999999994"/>
    <n v="47.277730391394002"/>
  </r>
  <r>
    <s v="40"/>
    <s v="40"/>
    <s v="Ústav mikrobiologie"/>
    <x v="38"/>
    <s v="4041"/>
    <s v="mikrobiologie - laboratoř"/>
    <s v="4041 - mikrobiologie - laboratoř"/>
    <s v="50115040     laboratorní materiál (sk.Z_505)"/>
    <x v="11"/>
    <x v="1"/>
    <n v="98.239589999999978"/>
    <n v="99.005436767112002"/>
  </r>
  <r>
    <s v="40"/>
    <s v="40"/>
    <s v="Ústav mikrobiologie"/>
    <x v="38"/>
    <s v="4041"/>
    <s v="mikrobiologie - laboratoř"/>
    <s v="4041 - mikrobiologie - laboratoř"/>
    <s v="50115040     laboratorní materiál (sk.Z_505)"/>
    <x v="11"/>
    <x v="2"/>
    <n v="98.905079999999998"/>
    <n v="102.99999675575"/>
  </r>
  <r>
    <s v="40"/>
    <s v="40"/>
    <s v="Ústav mikrobiologie"/>
    <x v="38"/>
    <s v="4041"/>
    <s v="mikrobiologie - laboratoř"/>
    <s v="4041 - mikrobiologie - laboratoř"/>
    <s v="50115050     obvazový materiál (sk.Z_502)"/>
    <x v="12"/>
    <x v="0"/>
    <n v="16.310189999999995"/>
    <n v="20.677497167609999"/>
  </r>
  <r>
    <s v="40"/>
    <s v="40"/>
    <s v="Ústav mikrobiologie"/>
    <x v="38"/>
    <s v="4041"/>
    <s v="mikrobiologie - laboratoř"/>
    <s v="4041 - mikrobiologie - laboratoř"/>
    <s v="50115050     obvazový materiál (sk.Z_502)"/>
    <x v="12"/>
    <x v="1"/>
    <n v="12.639319999999998"/>
    <n v="16.347280211436999"/>
  </r>
  <r>
    <s v="40"/>
    <s v="40"/>
    <s v="Ústav mikrobiologie"/>
    <x v="38"/>
    <s v="4041"/>
    <s v="mikrobiologie - laboratoř"/>
    <s v="4041 - mikrobiologie - laboratoř"/>
    <s v="50115050     obvazový materiál (sk.Z_502)"/>
    <x v="12"/>
    <x v="2"/>
    <n v="11.411049999999999"/>
    <n v="15.999999496038001"/>
  </r>
  <r>
    <s v="40"/>
    <s v="40"/>
    <s v="Ústav mikrobiologie"/>
    <x v="38"/>
    <s v="4041"/>
    <s v="mikrobiologie - laboratoř"/>
    <s v="4041 - mikrobiologie - laboratoř"/>
    <s v="50115060     ostatní ZPr - mimo níže uvedené (sk.Z_503)"/>
    <x v="1"/>
    <x v="0"/>
    <n v="122.267249999999"/>
    <n v="164.19986869416101"/>
  </r>
  <r>
    <s v="40"/>
    <s v="40"/>
    <s v="Ústav mikrobiologie"/>
    <x v="38"/>
    <s v="4041"/>
    <s v="mikrobiologie - laboratoř"/>
    <s v="4041 - mikrobiologie - laboratoř"/>
    <s v="50115060     ostatní ZPr - mimo níže uvedené (sk.Z_503)"/>
    <x v="1"/>
    <x v="1"/>
    <n v="118.10737999999998"/>
    <n v="117.26639901831"/>
  </r>
  <r>
    <s v="40"/>
    <s v="40"/>
    <s v="Ústav mikrobiologie"/>
    <x v="38"/>
    <s v="4041"/>
    <s v="mikrobiologie - laboratoř"/>
    <s v="4041 - mikrobiologie - laboratoř"/>
    <s v="50115060     ostatní ZPr - mimo níže uvedené (sk.Z_503)"/>
    <x v="1"/>
    <x v="2"/>
    <n v="41.355899999999998"/>
    <n v="106.999996629759"/>
  </r>
  <r>
    <s v="40"/>
    <s v="40"/>
    <s v="Ústav mikrobiologie"/>
    <x v="38"/>
    <s v="4041"/>
    <s v="mikrobiologie - laboratoř"/>
    <s v="4041 - mikrobiologie - laboratoř"/>
    <s v="50115065     ostatní ZPr - vpichovací materiál (sk.Z_530)"/>
    <x v="14"/>
    <x v="0"/>
    <n v="1.0189999999999999"/>
    <n v="2.7711976638540001"/>
  </r>
  <r>
    <s v="40"/>
    <s v="40"/>
    <s v="Ústav mikrobiologie"/>
    <x v="38"/>
    <s v="4041"/>
    <s v="mikrobiologie - laboratoř"/>
    <s v="4041 - mikrobiologie - laboratoř"/>
    <s v="50115065     ostatní ZPr - vpichovací materiál (sk.Z_530)"/>
    <x v="14"/>
    <x v="1"/>
    <n v="1.0900000000000001"/>
    <n v="1.0453062649360001"/>
  </r>
  <r>
    <s v="40"/>
    <s v="40"/>
    <s v="Ústav mikrobiologie"/>
    <x v="38"/>
    <s v="4041"/>
    <s v="mikrobiologie - laboratoř"/>
    <s v="4041 - mikrobiologie - laboratoř"/>
    <s v="50115065     ostatní ZPr - vpichovací materiál (sk.Z_530)"/>
    <x v="14"/>
    <x v="2"/>
    <n v="0.86199999999999988"/>
    <n v="1.177999962895"/>
  </r>
  <r>
    <s v="40"/>
    <s v="40"/>
    <s v="Ústav mikrobiologie"/>
    <x v="38"/>
    <s v="4041"/>
    <s v="mikrobiologie - laboratoř"/>
    <s v="4041 - mikrobiologie - laboratoř"/>
    <s v="50115067     ostatní ZPr - rukavice (sk.Z_532)"/>
    <x v="15"/>
    <x v="0"/>
    <n v="21.338000000000001"/>
    <n v="25.895667933317"/>
  </r>
  <r>
    <s v="40"/>
    <s v="40"/>
    <s v="Ústav mikrobiologie"/>
    <x v="38"/>
    <s v="4041"/>
    <s v="mikrobiologie - laboratoř"/>
    <s v="4041 - mikrobiologie - laboratoř"/>
    <s v="50115067     ostatní ZPr - rukavice (sk.Z_532)"/>
    <x v="15"/>
    <x v="1"/>
    <n v="25.065999999999995"/>
    <n v="21.639942971901"/>
  </r>
  <r>
    <s v="40"/>
    <s v="40"/>
    <s v="Ústav mikrobiologie"/>
    <x v="38"/>
    <s v="4041"/>
    <s v="mikrobiologie - laboratoř"/>
    <s v="4041 - mikrobiologie - laboratoř"/>
    <s v="50115067     ostatní ZPr - rukavice (sk.Z_532)"/>
    <x v="15"/>
    <x v="2"/>
    <n v="14.771999999999998"/>
    <n v="25.999999181063"/>
  </r>
  <r>
    <s v="41"/>
    <s v="41"/>
    <s v="Ústav imunologie"/>
    <x v="39"/>
    <s v="4141"/>
    <s v="imunologie - laboratoř"/>
    <s v="4141 - imunologie - laboratoř"/>
    <s v="50113     Léky a léčiva"/>
    <x v="2"/>
    <x v="0"/>
    <n v="66.58775"/>
    <n v="79.537355494208995"/>
  </r>
  <r>
    <s v="41"/>
    <s v="41"/>
    <s v="Ústav imunologie"/>
    <x v="39"/>
    <s v="4141"/>
    <s v="imunologie - laboratoř"/>
    <s v="4141 - imunologie - laboratoř"/>
    <s v="50113     Léky a léčiva"/>
    <x v="2"/>
    <x v="1"/>
    <n v="30.443549999999998"/>
    <n v="63.863423699294003"/>
  </r>
  <r>
    <s v="41"/>
    <s v="41"/>
    <s v="Ústav imunologie"/>
    <x v="39"/>
    <s v="4141"/>
    <s v="imunologie - laboratoř"/>
    <s v="4141 - imunologie - laboratoř"/>
    <s v="50113     Léky a léčiva"/>
    <x v="2"/>
    <x v="2"/>
    <n v="11.233540000000001"/>
    <n v="24.869670559808998"/>
  </r>
  <r>
    <s v="41"/>
    <s v="41"/>
    <s v="Ústav imunologie"/>
    <x v="39"/>
    <s v="4141"/>
    <s v="imunologie - laboratoř"/>
    <s v="4141 - imunologie - laboratoř"/>
    <s v="50113001     léky - paušál+TISS (LEK)"/>
    <x v="3"/>
    <x v="0"/>
    <n v="23.119910000000001"/>
    <n v="76.169931414855995"/>
  </r>
  <r>
    <s v="41"/>
    <s v="41"/>
    <s v="Ústav imunologie"/>
    <x v="39"/>
    <s v="4141"/>
    <s v="imunologie - laboratoř"/>
    <s v="4141 - imunologie - laboratoř"/>
    <s v="50113001     léky - paušál+TISS (LEK)"/>
    <x v="3"/>
    <x v="1"/>
    <n v="17.845890000000001"/>
    <n v="23.137423115832998"/>
  </r>
  <r>
    <s v="41"/>
    <s v="41"/>
    <s v="Ústav imunologie"/>
    <x v="39"/>
    <s v="4141"/>
    <s v="imunologie - laboratoř"/>
    <s v="4141 - imunologie - laboratoř"/>
    <s v="50113001     léky - paušál+TISS (LEK)"/>
    <x v="3"/>
    <x v="2"/>
    <n v="10.81954"/>
    <n v="22.000049246795999"/>
  </r>
  <r>
    <s v="41"/>
    <s v="41"/>
    <s v="Ústav imunologie"/>
    <x v="39"/>
    <s v="4141"/>
    <s v="imunologie - laboratoř"/>
    <s v="4141 - imunologie - laboratoř"/>
    <s v="50113009     léky - RTG diagnostika ZUL (LEK)"/>
    <x v="22"/>
    <x v="0"/>
    <n v="42.681820000000002"/>
    <n v="3.3674240793529999"/>
  </r>
  <r>
    <s v="41"/>
    <s v="41"/>
    <s v="Ústav imunologie"/>
    <x v="39"/>
    <s v="4141"/>
    <s v="imunologie - laboratoř"/>
    <s v="4141 - imunologie - laboratoř"/>
    <s v="50113009     léky - RTG diagnostika ZUL (LEK)"/>
    <x v="22"/>
    <x v="1"/>
    <n v="12.597660000000001"/>
    <n v="39.973998597399003"/>
  </r>
  <r>
    <s v="41"/>
    <s v="41"/>
    <s v="Ústav imunologie"/>
    <x v="39"/>
    <s v="4141"/>
    <s v="imunologie - laboratoř"/>
    <s v="4141 - imunologie - laboratoř"/>
    <s v="50113009     léky - RTG diagnostika ZUL (LEK)"/>
    <x v="22"/>
    <x v="2"/>
    <n v="0"/>
    <n v="2.8696213130119999"/>
  </r>
  <r>
    <s v="41"/>
    <s v="41"/>
    <s v="Ústav imunologie"/>
    <x v="39"/>
    <s v="4141"/>
    <s v="imunologie - laboratoř"/>
    <s v="4141 - imunologie - laboratoř"/>
    <s v="50113190     medicinální plyny"/>
    <x v="9"/>
    <x v="0"/>
    <n v="0.78602000000000005"/>
    <n v="0"/>
  </r>
  <r>
    <s v="41"/>
    <s v="41"/>
    <s v="Ústav imunologie"/>
    <x v="39"/>
    <s v="4141"/>
    <s v="imunologie - laboratoř"/>
    <s v="4141 - imunologie - laboratoř"/>
    <s v="50113190     medicinální plyny"/>
    <x v="9"/>
    <x v="1"/>
    <n v="0"/>
    <n v="0.75200198606199997"/>
  </r>
  <r>
    <s v="41"/>
    <s v="41"/>
    <s v="Ústav imunologie"/>
    <x v="39"/>
    <s v="4141"/>
    <s v="imunologie - laboratoř"/>
    <s v="4141 - imunologie - laboratoř"/>
    <s v="50113190     medicinální plyny"/>
    <x v="9"/>
    <x v="2"/>
    <n v="0.41399999999999998"/>
    <n v="0"/>
  </r>
  <r>
    <s v="41"/>
    <s v="41"/>
    <s v="Ústav imunologie"/>
    <x v="39"/>
    <s v="4141"/>
    <s v="imunologie - laboratoř"/>
    <s v="4141 - imunologie - laboratoř"/>
    <s v="50115     Zdravotnické prostředky"/>
    <x v="0"/>
    <x v="0"/>
    <n v="20986.84884000001"/>
    <n v="20243.500778194099"/>
  </r>
  <r>
    <s v="41"/>
    <s v="41"/>
    <s v="Ústav imunologie"/>
    <x v="39"/>
    <s v="4141"/>
    <s v="imunologie - laboratoř"/>
    <s v="4141 - imunologie - laboratoř"/>
    <s v="50115     Zdravotnické prostředky"/>
    <x v="0"/>
    <x v="1"/>
    <n v="24550.31180000001"/>
    <n v="24488.070993027901"/>
  </r>
  <r>
    <s v="41"/>
    <s v="41"/>
    <s v="Ústav imunologie"/>
    <x v="39"/>
    <s v="4141"/>
    <s v="imunologie - laboratoř"/>
    <s v="4141 - imunologie - laboratoř"/>
    <s v="50115     Zdravotnické prostředky"/>
    <x v="0"/>
    <x v="2"/>
    <n v="17786.704560000009"/>
    <n v="24487.0112287185"/>
  </r>
  <r>
    <s v="41"/>
    <s v="41"/>
    <s v="Ústav imunologie"/>
    <x v="39"/>
    <s v="4141"/>
    <s v="imunologie - laboratoř"/>
    <s v="4141 - imunologie - laboratoř"/>
    <s v="50115020     diagnostika laboratorní-LEK (sk.Z_501)"/>
    <x v="10"/>
    <x v="0"/>
    <n v="20537.825470000011"/>
    <n v="19790"/>
  </r>
  <r>
    <s v="41"/>
    <s v="41"/>
    <s v="Ústav imunologie"/>
    <x v="39"/>
    <s v="4141"/>
    <s v="imunologie - laboratoř"/>
    <s v="4141 - imunologie - laboratoř"/>
    <s v="50115020     diagnostika laboratorní-LEK (sk.Z_501)"/>
    <x v="10"/>
    <x v="1"/>
    <n v="24102.12243000001"/>
    <n v="24037.8124911835"/>
  </r>
  <r>
    <s v="41"/>
    <s v="41"/>
    <s v="Ústav imunologie"/>
    <x v="39"/>
    <s v="4141"/>
    <s v="imunologie - laboratoř"/>
    <s v="4141 - imunologie - laboratoř"/>
    <s v="50115020     diagnostika laboratorní-LEK (sk.Z_501)"/>
    <x v="10"/>
    <x v="2"/>
    <n v="17405.13698000001"/>
    <n v="23987.999244436101"/>
  </r>
  <r>
    <s v="41"/>
    <s v="41"/>
    <s v="Ústav imunologie"/>
    <x v="39"/>
    <s v="4141"/>
    <s v="imunologie - laboratoř"/>
    <s v="4141 - imunologie - laboratoř"/>
    <s v="50115040     laboratorní materiál (sk.Z_505)"/>
    <x v="11"/>
    <x v="0"/>
    <n v="162.24052999999998"/>
    <n v="163.50728103632099"/>
  </r>
  <r>
    <s v="41"/>
    <s v="41"/>
    <s v="Ústav imunologie"/>
    <x v="39"/>
    <s v="4141"/>
    <s v="imunologie - laboratoř"/>
    <s v="4141 - imunologie - laboratoř"/>
    <s v="50115040     laboratorní materiál (sk.Z_505)"/>
    <x v="11"/>
    <x v="1"/>
    <n v="176.65608999999998"/>
    <n v="190.008391870368"/>
  </r>
  <r>
    <s v="41"/>
    <s v="41"/>
    <s v="Ústav imunologie"/>
    <x v="39"/>
    <s v="4141"/>
    <s v="imunologie - laboratoř"/>
    <s v="4141 - imunologie - laboratoř"/>
    <s v="50115040     laboratorní materiál (sk.Z_505)"/>
    <x v="11"/>
    <x v="2"/>
    <n v="162.15655999999998"/>
    <n v="206.99999348000199"/>
  </r>
  <r>
    <s v="41"/>
    <s v="41"/>
    <s v="Ústav imunologie"/>
    <x v="39"/>
    <s v="4141"/>
    <s v="imunologie - laboratoř"/>
    <s v="4141 - imunologie - laboratoř"/>
    <s v="50115050     obvazový materiál (sk.Z_502)"/>
    <x v="12"/>
    <x v="0"/>
    <n v="19.982999999999997"/>
    <n v="19.995590312931"/>
  </r>
  <r>
    <s v="41"/>
    <s v="41"/>
    <s v="Ústav imunologie"/>
    <x v="39"/>
    <s v="4141"/>
    <s v="imunologie - laboratoř"/>
    <s v="4141 - imunologie - laboratoř"/>
    <s v="50115050     obvazový materiál (sk.Z_502)"/>
    <x v="12"/>
    <x v="1"/>
    <n v="19.979389999999999"/>
    <n v="20.028442370392"/>
  </r>
  <r>
    <s v="41"/>
    <s v="41"/>
    <s v="Ústav imunologie"/>
    <x v="39"/>
    <s v="4141"/>
    <s v="imunologie - laboratoř"/>
    <s v="4141 - imunologie - laboratoř"/>
    <s v="50115050     obvazový materiál (sk.Z_502)"/>
    <x v="12"/>
    <x v="2"/>
    <n v="13.402130000000001"/>
    <n v="19.999999370047998"/>
  </r>
  <r>
    <s v="41"/>
    <s v="41"/>
    <s v="Ústav imunologie"/>
    <x v="39"/>
    <s v="4141"/>
    <s v="imunologie - laboratoř"/>
    <s v="4141 - imunologie - laboratoř"/>
    <s v="50115060     ostatní ZPr - mimo níže uvedené (sk.Z_503)"/>
    <x v="1"/>
    <x v="0"/>
    <n v="236.88133999999897"/>
    <n v="239.99943618663801"/>
  </r>
  <r>
    <s v="41"/>
    <s v="41"/>
    <s v="Ústav imunologie"/>
    <x v="39"/>
    <s v="4141"/>
    <s v="imunologie - laboratoř"/>
    <s v="4141 - imunologie - laboratoř"/>
    <s v="50115060     ostatní ZPr - mimo níže uvedené (sk.Z_503)"/>
    <x v="1"/>
    <x v="1"/>
    <n v="220.71838999999997"/>
    <n v="209.879806426237"/>
  </r>
  <r>
    <s v="41"/>
    <s v="41"/>
    <s v="Ústav imunologie"/>
    <x v="39"/>
    <s v="4141"/>
    <s v="imunologie - laboratoř"/>
    <s v="4141 - imunologie - laboratoř"/>
    <s v="50115060     ostatní ZPr - mimo níže uvedené (sk.Z_503)"/>
    <x v="1"/>
    <x v="2"/>
    <n v="180.57138999999995"/>
    <n v="241.99999237758601"/>
  </r>
  <r>
    <s v="41"/>
    <s v="41"/>
    <s v="Ústav imunologie"/>
    <x v="39"/>
    <s v="4141"/>
    <s v="imunologie - laboratoř"/>
    <s v="4141 - imunologie - laboratoř"/>
    <s v="50115065     ostatní ZPr - vpichovací materiál (sk.Z_530)"/>
    <x v="14"/>
    <x v="1"/>
    <n v="0.96549999999999991"/>
    <n v="0"/>
  </r>
  <r>
    <s v="41"/>
    <s v="41"/>
    <s v="Ústav imunologie"/>
    <x v="39"/>
    <s v="4141"/>
    <s v="imunologie - laboratoř"/>
    <s v="4141 - imunologie - laboratoř"/>
    <s v="50115065     ostatní ZPr - vpichovací materiál (sk.Z_530)"/>
    <x v="14"/>
    <x v="2"/>
    <n v="2.9975000000000001"/>
    <n v="0"/>
  </r>
  <r>
    <s v="41"/>
    <s v="41"/>
    <s v="Ústav imunologie"/>
    <x v="39"/>
    <s v="4141"/>
    <s v="imunologie - laboratoř"/>
    <s v="4141 - imunologie - laboratoř"/>
    <s v="50115067     ostatní ZPr - rukavice (sk.Z_532)"/>
    <x v="15"/>
    <x v="0"/>
    <n v="29.918500000000002"/>
    <n v="29.998470658214998"/>
  </r>
  <r>
    <s v="41"/>
    <s v="41"/>
    <s v="Ústav imunologie"/>
    <x v="39"/>
    <s v="4141"/>
    <s v="imunologie - laboratoř"/>
    <s v="4141 - imunologie - laboratoř"/>
    <s v="50115067     ostatní ZPr - rukavice (sk.Z_532)"/>
    <x v="15"/>
    <x v="1"/>
    <n v="29.870000000000005"/>
    <n v="30.341861177468999"/>
  </r>
  <r>
    <s v="41"/>
    <s v="41"/>
    <s v="Ústav imunologie"/>
    <x v="39"/>
    <s v="4141"/>
    <s v="imunologie - laboratoř"/>
    <s v="4141 - imunologie - laboratoř"/>
    <s v="50115067     ostatní ZPr - rukavice (sk.Z_532)"/>
    <x v="15"/>
    <x v="2"/>
    <n v="22.44"/>
    <n v="30.011999054694002"/>
  </r>
  <r>
    <s v="44"/>
    <s v="44"/>
    <s v="LEM"/>
    <x v="40"/>
    <s v="4441"/>
    <s v="LEM - laboratoř experimentální medicíny"/>
    <s v="4441 - LEM - laboratoř experimentální medicíny"/>
    <s v="50113     Léky a léčiva"/>
    <x v="2"/>
    <x v="0"/>
    <n v="86.939700000000016"/>
    <n v="70.332548544429997"/>
  </r>
  <r>
    <s v="44"/>
    <s v="44"/>
    <s v="LEM"/>
    <x v="40"/>
    <s v="4441"/>
    <s v="LEM - laboratoř experimentální medicíny"/>
    <s v="4441 - LEM - laboratoř experimentální medicíny"/>
    <s v="50113     Léky a léčiva"/>
    <x v="2"/>
    <x v="1"/>
    <n v="12.377360000000001"/>
    <n v="81.293270532413004"/>
  </r>
  <r>
    <s v="44"/>
    <s v="44"/>
    <s v="LEM"/>
    <x v="40"/>
    <s v="4441"/>
    <s v="LEM - laboratoř experimentální medicíny"/>
    <s v="4441 - LEM - laboratoř experimentální medicíny"/>
    <s v="50113     Léky a léčiva"/>
    <x v="2"/>
    <x v="2"/>
    <n v="11.278549999999999"/>
    <n v="15.47638077295"/>
  </r>
  <r>
    <s v="44"/>
    <s v="44"/>
    <s v="LEM"/>
    <x v="40"/>
    <s v="4441"/>
    <s v="LEM - laboratoř experimentální medicíny"/>
    <s v="4441 - LEM - laboratoř experimentální medicíny"/>
    <s v="50113001     léky - paušál+TISS (LEK)"/>
    <x v="3"/>
    <x v="0"/>
    <n v="85.586069999999026"/>
    <n v="65.550164476163005"/>
  </r>
  <r>
    <s v="44"/>
    <s v="44"/>
    <s v="LEM"/>
    <x v="40"/>
    <s v="4441"/>
    <s v="LEM - laboratoř experimentální medicíny"/>
    <s v="4441 - LEM - laboratoř experimentální medicíny"/>
    <s v="50113001     léky - paušál+TISS (LEK)"/>
    <x v="3"/>
    <x v="1"/>
    <n v="8.1948699999999999"/>
    <n v="79.934952526897007"/>
  </r>
  <r>
    <s v="44"/>
    <s v="44"/>
    <s v="LEM"/>
    <x v="40"/>
    <s v="4441"/>
    <s v="LEM - laboratoř experimentální medicíny"/>
    <s v="4441 - LEM - laboratoř experimentální medicíny"/>
    <s v="50113001     léky - paušál+TISS (LEK)"/>
    <x v="3"/>
    <x v="2"/>
    <n v="10.163420000000002"/>
    <n v="11.475820092226"/>
  </r>
  <r>
    <s v="44"/>
    <s v="44"/>
    <s v="LEM"/>
    <x v="40"/>
    <s v="4441"/>
    <s v="LEM - laboratoř experimentální medicíny"/>
    <s v="4441 - LEM - laboratoř experimentální medicíny"/>
    <s v="50113013     léky (paušál) - antibiotika (LEK)"/>
    <x v="7"/>
    <x v="0"/>
    <n v="0.32338"/>
    <n v="0.72133673464799997"/>
  </r>
  <r>
    <s v="44"/>
    <s v="44"/>
    <s v="LEM"/>
    <x v="40"/>
    <s v="4441"/>
    <s v="LEM - laboratoř experimentální medicíny"/>
    <s v="4441 - LEM - laboratoř experimentální medicíny"/>
    <s v="50113013     léky (paušál) - antibiotika (LEK)"/>
    <x v="7"/>
    <x v="1"/>
    <n v="2.99899"/>
    <n v="0.32731180093500001"/>
  </r>
  <r>
    <s v="44"/>
    <s v="44"/>
    <s v="LEM"/>
    <x v="40"/>
    <s v="4441"/>
    <s v="LEM - laboratoř experimentální medicíny"/>
    <s v="4441 - LEM - laboratoř experimentální medicíny"/>
    <s v="50113013     léky (paušál) - antibiotika (LEK)"/>
    <x v="7"/>
    <x v="2"/>
    <n v="0.66338999999999992"/>
    <n v="2.868515276523"/>
  </r>
  <r>
    <s v="44"/>
    <s v="44"/>
    <s v="LEM"/>
    <x v="40"/>
    <s v="4441"/>
    <s v="LEM - laboratoř experimentální medicíny"/>
    <s v="4441 - LEM - laboratoř experimentální medicíny"/>
    <s v="50113014     léky (paušál) - antimykotika (LEK)"/>
    <x v="8"/>
    <x v="0"/>
    <n v="1.0302500000000001"/>
    <n v="0.26849276580999998"/>
  </r>
  <r>
    <s v="44"/>
    <s v="44"/>
    <s v="LEM"/>
    <x v="40"/>
    <s v="4441"/>
    <s v="LEM - laboratoř experimentální medicíny"/>
    <s v="4441 - LEM - laboratoř experimentální medicíny"/>
    <s v="50113014     léky (paušál) - antimykotika (LEK)"/>
    <x v="8"/>
    <x v="1"/>
    <n v="1.1835"/>
    <n v="1.031006204581"/>
  </r>
  <r>
    <s v="44"/>
    <s v="44"/>
    <s v="LEM"/>
    <x v="40"/>
    <s v="4441"/>
    <s v="LEM - laboratoř experimentální medicíny"/>
    <s v="4441 - LEM - laboratoř experimentální medicíny"/>
    <s v="50113014     léky (paušál) - antimykotika (LEK)"/>
    <x v="8"/>
    <x v="2"/>
    <n v="0.45174000000000003"/>
    <n v="1.1320454042000001"/>
  </r>
  <r>
    <s v="44"/>
    <s v="44"/>
    <s v="LEM"/>
    <x v="40"/>
    <s v="4441"/>
    <s v="LEM - laboratoř experimentální medicíny"/>
    <s v="4441 - LEM - laboratoř experimentální medicíny"/>
    <s v="50113190     medicinální plyny"/>
    <x v="9"/>
    <x v="0"/>
    <n v="0"/>
    <n v="3.7925545678089998"/>
  </r>
  <r>
    <s v="44"/>
    <s v="44"/>
    <s v="LEM"/>
    <x v="40"/>
    <s v="4441"/>
    <s v="LEM - laboratoř experimentální medicíny"/>
    <s v="4441 - LEM - laboratoř experimentální medicíny"/>
    <s v="50115     Zdravotnické prostředky"/>
    <x v="0"/>
    <x v="0"/>
    <n v="262.96665999999999"/>
    <n v="351.69461508433898"/>
  </r>
  <r>
    <s v="44"/>
    <s v="44"/>
    <s v="LEM"/>
    <x v="40"/>
    <s v="4441"/>
    <s v="LEM - laboratoř experimentální medicíny"/>
    <s v="4441 - LEM - laboratoř experimentální medicíny"/>
    <s v="50115     Zdravotnické prostředky"/>
    <x v="0"/>
    <x v="1"/>
    <n v="193.91553999999999"/>
    <n v="245.182506098424"/>
  </r>
  <r>
    <s v="44"/>
    <s v="44"/>
    <s v="LEM"/>
    <x v="40"/>
    <s v="4441"/>
    <s v="LEM - laboratoř experimentální medicíny"/>
    <s v="4441 - LEM - laboratoř experimentální medicíny"/>
    <s v="50115     Zdravotnické prostředky"/>
    <x v="0"/>
    <x v="2"/>
    <n v="114.16548999999999"/>
    <n v="185.96832350986199"/>
  </r>
  <r>
    <s v="44"/>
    <s v="44"/>
    <s v="LEM"/>
    <x v="40"/>
    <s v="4441"/>
    <s v="LEM - laboratoř experimentální medicíny"/>
    <s v="4441 - LEM - laboratoř experimentální medicíny"/>
    <s v="50115020     diagnostika laboratorní-LEK (sk.Z_501)"/>
    <x v="10"/>
    <x v="0"/>
    <n v="239.59301999999997"/>
    <n v="291.62101214010698"/>
  </r>
  <r>
    <s v="44"/>
    <s v="44"/>
    <s v="LEM"/>
    <x v="40"/>
    <s v="4441"/>
    <s v="LEM - laboratoř experimentální medicíny"/>
    <s v="4441 - LEM - laboratoř experimentální medicíny"/>
    <s v="50115020     diagnostika laboratorní-LEK (sk.Z_501)"/>
    <x v="10"/>
    <x v="1"/>
    <n v="167.86442"/>
    <n v="221.68478520190601"/>
  </r>
  <r>
    <s v="44"/>
    <s v="44"/>
    <s v="LEM"/>
    <x v="40"/>
    <s v="4441"/>
    <s v="LEM - laboratoř experimentální medicíny"/>
    <s v="4441 - LEM - laboratoř experimentální medicíny"/>
    <s v="50115020     diagnostika laboratorní-LEK (sk.Z_501)"/>
    <x v="10"/>
    <x v="2"/>
    <n v="112.60348999999999"/>
    <n v="158.038203551739"/>
  </r>
  <r>
    <s v="44"/>
    <s v="44"/>
    <s v="LEM"/>
    <x v="40"/>
    <s v="4441"/>
    <s v="LEM - laboratoř experimentální medicíny"/>
    <s v="4441 - LEM - laboratoř experimentální medicíny"/>
    <s v="50115040     laboratorní materiál (sk.Z_505)"/>
    <x v="11"/>
    <x v="0"/>
    <n v="0"/>
    <n v="0.94990943338099998"/>
  </r>
  <r>
    <s v="44"/>
    <s v="44"/>
    <s v="LEM"/>
    <x v="40"/>
    <s v="4441"/>
    <s v="LEM - laboratoř experimentální medicíny"/>
    <s v="4441 - LEM - laboratoř experimentální medicíny"/>
    <s v="50115040     laboratorní materiál (sk.Z_505)"/>
    <x v="11"/>
    <x v="1"/>
    <n v="12.57916"/>
    <n v="0"/>
  </r>
  <r>
    <s v="44"/>
    <s v="44"/>
    <s v="LEM"/>
    <x v="40"/>
    <s v="4441"/>
    <s v="LEM - laboratoř experimentální medicíny"/>
    <s v="4441 - LEM - laboratoř experimentální medicíny"/>
    <s v="50115040     laboratorní materiál (sk.Z_505)"/>
    <x v="11"/>
    <x v="2"/>
    <n v="0"/>
    <n v="11.027868821347999"/>
  </r>
  <r>
    <s v="44"/>
    <s v="44"/>
    <s v="LEM"/>
    <x v="40"/>
    <s v="4441"/>
    <s v="LEM - laboratoř experimentální medicíny"/>
    <s v="4441 - LEM - laboratoř experimentální medicíny"/>
    <s v="50115050     obvazový materiál (sk.Z_502)"/>
    <x v="12"/>
    <x v="0"/>
    <n v="1.1034599999999999"/>
    <n v="9.4452074395730001"/>
  </r>
  <r>
    <s v="44"/>
    <s v="44"/>
    <s v="LEM"/>
    <x v="40"/>
    <s v="4441"/>
    <s v="LEM - laboratoř experimentální medicíny"/>
    <s v="4441 - LEM - laboratoř experimentální medicíny"/>
    <s v="50115050     obvazový materiál (sk.Z_502)"/>
    <x v="12"/>
    <x v="1"/>
    <n v="0.13593"/>
    <n v="1.1059693248269999"/>
  </r>
  <r>
    <s v="44"/>
    <s v="44"/>
    <s v="LEM"/>
    <x v="40"/>
    <s v="4441"/>
    <s v="LEM - laboratoř experimentální medicíny"/>
    <s v="4441 - LEM - laboratoř experimentální medicíny"/>
    <s v="50115050     obvazový materiál (sk.Z_502)"/>
    <x v="12"/>
    <x v="2"/>
    <n v="0"/>
    <n v="0.12714194451300001"/>
  </r>
  <r>
    <s v="44"/>
    <s v="44"/>
    <s v="LEM"/>
    <x v="40"/>
    <s v="4441"/>
    <s v="LEM - laboratoř experimentální medicíny"/>
    <s v="4441 - LEM - laboratoř experimentální medicíny"/>
    <s v="50115060     ostatní ZPr - mimo níže uvedené (sk.Z_503)"/>
    <x v="1"/>
    <x v="0"/>
    <n v="13.96818"/>
    <n v="25.649978895625999"/>
  </r>
  <r>
    <s v="44"/>
    <s v="44"/>
    <s v="LEM"/>
    <x v="40"/>
    <s v="4441"/>
    <s v="LEM - laboratoř experimentální medicíny"/>
    <s v="4441 - LEM - laboratoř experimentální medicíny"/>
    <s v="50115060     ostatní ZPr - mimo níže uvedené (sk.Z_503)"/>
    <x v="1"/>
    <x v="1"/>
    <n v="9.0060300000000009"/>
    <n v="13.968074772948"/>
  </r>
  <r>
    <s v="44"/>
    <s v="44"/>
    <s v="LEM"/>
    <x v="40"/>
    <s v="4441"/>
    <s v="LEM - laboratoř experimentální medicíny"/>
    <s v="4441 - LEM - laboratoř experimentální medicíny"/>
    <s v="50115060     ostatní ZPr - mimo níže uvedené (sk.Z_503)"/>
    <x v="1"/>
    <x v="2"/>
    <n v="0"/>
    <n v="10.256320393327"/>
  </r>
  <r>
    <s v="44"/>
    <s v="44"/>
    <s v="LEM"/>
    <x v="40"/>
    <s v="4441"/>
    <s v="LEM - laboratoř experimentální medicíny"/>
    <s v="4441 - LEM - laboratoř experimentální medicíny"/>
    <s v="50115065     ostatní ZPr - vpichovací materiál (sk.Z_530)"/>
    <x v="14"/>
    <x v="0"/>
    <n v="0.36"/>
    <n v="1.900311721272"/>
  </r>
  <r>
    <s v="44"/>
    <s v="44"/>
    <s v="LEM"/>
    <x v="40"/>
    <s v="4441"/>
    <s v="LEM - laboratoř experimentální medicíny"/>
    <s v="4441 - LEM - laboratoř experimentální medicíny"/>
    <s v="50115065     ostatní ZPr - vpichovací materiál (sk.Z_530)"/>
    <x v="14"/>
    <x v="1"/>
    <n v="0"/>
    <n v="0.36929367554100001"/>
  </r>
  <r>
    <s v="44"/>
    <s v="44"/>
    <s v="LEM"/>
    <x v="40"/>
    <s v="4441"/>
    <s v="LEM - laboratoř experimentální medicíny"/>
    <s v="4441 - LEM - laboratoř experimentální medicíny"/>
    <s v="50115067     ostatní ZPr - rukavice (sk.Z_532)"/>
    <x v="15"/>
    <x v="0"/>
    <n v="7.9420000000000002"/>
    <n v="22.128195454378002"/>
  </r>
  <r>
    <s v="44"/>
    <s v="44"/>
    <s v="LEM"/>
    <x v="40"/>
    <s v="4441"/>
    <s v="LEM - laboratoř experimentální medicíny"/>
    <s v="4441 - LEM - laboratoř experimentální medicíny"/>
    <s v="50115067     ostatní ZPr - rukavice (sk.Z_532)"/>
    <x v="15"/>
    <x v="1"/>
    <n v="4.33"/>
    <n v="8.0543831231999992"/>
  </r>
  <r>
    <s v="44"/>
    <s v="44"/>
    <s v="LEM"/>
    <x v="40"/>
    <s v="4441"/>
    <s v="LEM - laboratoř experimentální medicíny"/>
    <s v="4441 - LEM - laboratoř experimentální medicíny"/>
    <s v="50115067     ostatní ZPr - rukavice (sk.Z_532)"/>
    <x v="15"/>
    <x v="2"/>
    <n v="1.5620000000000001"/>
    <n v="6.5187887989320004"/>
  </r>
  <r>
    <s v="44"/>
    <s v="44"/>
    <s v="LEM"/>
    <x v="40"/>
    <s v="4442"/>
    <s v="LEM - referenční diagnostika"/>
    <s v="4442 - LEM - referenční diagnostika"/>
    <s v="50113     Léky a léčiva"/>
    <x v="2"/>
    <x v="0"/>
    <n v="22.87642"/>
    <n v="25.629300114189"/>
  </r>
  <r>
    <s v="44"/>
    <s v="44"/>
    <s v="LEM"/>
    <x v="40"/>
    <s v="4442"/>
    <s v="LEM - referenční diagnostika"/>
    <s v="4442 - LEM - referenční diagnostika"/>
    <s v="50113     Léky a léčiva"/>
    <x v="2"/>
    <x v="1"/>
    <n v="55.282129999999995"/>
    <n v="22.876452048234"/>
  </r>
  <r>
    <s v="44"/>
    <s v="44"/>
    <s v="LEM"/>
    <x v="40"/>
    <s v="4442"/>
    <s v="LEM - referenční diagnostika"/>
    <s v="4442 - LEM - referenční diagnostika"/>
    <s v="50113     Léky a léčiva"/>
    <x v="2"/>
    <x v="2"/>
    <n v="16.054210000000001"/>
    <n v="54.524327648163002"/>
  </r>
  <r>
    <s v="44"/>
    <s v="44"/>
    <s v="LEM"/>
    <x v="40"/>
    <s v="4442"/>
    <s v="LEM - referenční diagnostika"/>
    <s v="4442 - LEM - referenční diagnostika"/>
    <s v="50113001     léky - paušál+TISS (LEK)"/>
    <x v="3"/>
    <x v="0"/>
    <n v="22.87642"/>
    <n v="25.372565592855"/>
  </r>
  <r>
    <s v="44"/>
    <s v="44"/>
    <s v="LEM"/>
    <x v="40"/>
    <s v="4442"/>
    <s v="LEM - referenční diagnostika"/>
    <s v="4442 - LEM - referenční diagnostika"/>
    <s v="50113001     léky - paušál+TISS (LEK)"/>
    <x v="3"/>
    <x v="1"/>
    <n v="55.045759999999994"/>
    <n v="22.876452048234"/>
  </r>
  <r>
    <s v="44"/>
    <s v="44"/>
    <s v="LEM"/>
    <x v="40"/>
    <s v="4442"/>
    <s v="LEM - referenční diagnostika"/>
    <s v="4442 - LEM - referenční diagnostika"/>
    <s v="50113001     léky - paušál+TISS (LEK)"/>
    <x v="3"/>
    <x v="2"/>
    <n v="15.8872"/>
    <n v="54.524327648163002"/>
  </r>
  <r>
    <s v="44"/>
    <s v="44"/>
    <s v="LEM"/>
    <x v="40"/>
    <s v="4442"/>
    <s v="LEM - referenční diagnostika"/>
    <s v="4442 - LEM - referenční diagnostika"/>
    <s v="50113009     léky - RTG diagnostika ZUL (LEK)"/>
    <x v="22"/>
    <x v="0"/>
    <n v="0"/>
    <n v="0.25673452133300001"/>
  </r>
  <r>
    <s v="44"/>
    <s v="44"/>
    <s v="LEM"/>
    <x v="40"/>
    <s v="4442"/>
    <s v="LEM - referenční diagnostika"/>
    <s v="4442 - LEM - referenční diagnostika"/>
    <s v="50113013     léky (paušál) - antibiotika (LEK)"/>
    <x v="7"/>
    <x v="2"/>
    <n v="0.16701000000000002"/>
    <n v="0"/>
  </r>
  <r>
    <s v="44"/>
    <s v="44"/>
    <s v="LEM"/>
    <x v="40"/>
    <s v="4442"/>
    <s v="LEM - referenční diagnostika"/>
    <s v="4442 - LEM - referenční diagnostika"/>
    <s v="50113014     léky (paušál) - antimykotika (LEK)"/>
    <x v="8"/>
    <x v="1"/>
    <n v="0.23637"/>
    <n v="0"/>
  </r>
  <r>
    <s v="44"/>
    <s v="44"/>
    <s v="LEM"/>
    <x v="40"/>
    <s v="4442"/>
    <s v="LEM - referenční diagnostika"/>
    <s v="4442 - LEM - referenční diagnostika"/>
    <s v="50115     Zdravotnické prostředky"/>
    <x v="0"/>
    <x v="0"/>
    <n v="4078.5173500000033"/>
    <n v="3913.7972704768499"/>
  </r>
  <r>
    <s v="44"/>
    <s v="44"/>
    <s v="LEM"/>
    <x v="40"/>
    <s v="4442"/>
    <s v="LEM - referenční diagnostika"/>
    <s v="4442 - LEM - referenční diagnostika"/>
    <s v="50115     Zdravotnické prostředky"/>
    <x v="0"/>
    <x v="1"/>
    <n v="6678.2120400000013"/>
    <n v="6881.5337197082099"/>
  </r>
  <r>
    <s v="44"/>
    <s v="44"/>
    <s v="LEM"/>
    <x v="40"/>
    <s v="4442"/>
    <s v="LEM - referenční diagnostika"/>
    <s v="4442 - LEM - referenční diagnostika"/>
    <s v="50115     Zdravotnické prostředky"/>
    <x v="0"/>
    <x v="2"/>
    <n v="5534.7640200000005"/>
    <n v="6992.3538488050199"/>
  </r>
  <r>
    <s v="44"/>
    <s v="44"/>
    <s v="LEM"/>
    <x v="40"/>
    <s v="4442"/>
    <s v="LEM - referenční diagnostika"/>
    <s v="4442 - LEM - referenční diagnostika"/>
    <s v="50115020     diagnostika laboratorní-LEK (sk.Z_501)"/>
    <x v="10"/>
    <x v="0"/>
    <n v="3206.6241700000028"/>
    <n v="3020.6324166110899"/>
  </r>
  <r>
    <s v="44"/>
    <s v="44"/>
    <s v="LEM"/>
    <x v="40"/>
    <s v="4442"/>
    <s v="LEM - referenční diagnostika"/>
    <s v="4442 - LEM - referenční diagnostika"/>
    <s v="50115020     diagnostika laboratorní-LEK (sk.Z_501)"/>
    <x v="10"/>
    <x v="1"/>
    <n v="5097.2612200000003"/>
    <n v="4906.6212166212599"/>
  </r>
  <r>
    <s v="44"/>
    <s v="44"/>
    <s v="LEM"/>
    <x v="40"/>
    <s v="4442"/>
    <s v="LEM - referenční diagnostika"/>
    <s v="4442 - LEM - referenční diagnostika"/>
    <s v="50115020     diagnostika laboratorní-LEK (sk.Z_501)"/>
    <x v="10"/>
    <x v="2"/>
    <n v="4129.6617800000013"/>
    <n v="5036.9998413467101"/>
  </r>
  <r>
    <s v="44"/>
    <s v="44"/>
    <s v="LEM"/>
    <x v="40"/>
    <s v="4442"/>
    <s v="LEM - referenční diagnostika"/>
    <s v="4442 - LEM - referenční diagnostika"/>
    <s v="50115040     laboratorní materiál (sk.Z_505)"/>
    <x v="11"/>
    <x v="0"/>
    <n v="505.07661000000002"/>
    <n v="407.31140025313601"/>
  </r>
  <r>
    <s v="44"/>
    <s v="44"/>
    <s v="LEM"/>
    <x v="40"/>
    <s v="4442"/>
    <s v="LEM - referenční diagnostika"/>
    <s v="4442 - LEM - referenční diagnostika"/>
    <s v="50115040     laboratorní materiál (sk.Z_505)"/>
    <x v="11"/>
    <x v="1"/>
    <n v="962.86717999999996"/>
    <n v="1107.67532158831"/>
  </r>
  <r>
    <s v="44"/>
    <s v="44"/>
    <s v="LEM"/>
    <x v="40"/>
    <s v="4442"/>
    <s v="LEM - referenční diagnostika"/>
    <s v="4442 - LEM - referenční diagnostika"/>
    <s v="50115040     laboratorní materiál (sk.Z_505)"/>
    <x v="11"/>
    <x v="2"/>
    <n v="953.13462999999979"/>
    <n v="1078.99996601411"/>
  </r>
  <r>
    <s v="44"/>
    <s v="44"/>
    <s v="LEM"/>
    <x v="40"/>
    <s v="4442"/>
    <s v="LEM - referenční diagnostika"/>
    <s v="4442 - LEM - referenční diagnostika"/>
    <s v="50115050     obvazový materiál (sk.Z_502)"/>
    <x v="12"/>
    <x v="0"/>
    <n v="7.8277399999999995"/>
    <n v="11.955249366787999"/>
  </r>
  <r>
    <s v="44"/>
    <s v="44"/>
    <s v="LEM"/>
    <x v="40"/>
    <s v="4442"/>
    <s v="LEM - referenční diagnostika"/>
    <s v="4442 - LEM - referenční diagnostika"/>
    <s v="50115050     obvazový materiál (sk.Z_502)"/>
    <x v="12"/>
    <x v="1"/>
    <n v="9.8140500000000017"/>
    <n v="7.8455406836010004"/>
  </r>
  <r>
    <s v="44"/>
    <s v="44"/>
    <s v="LEM"/>
    <x v="40"/>
    <s v="4442"/>
    <s v="LEM - referenční diagnostika"/>
    <s v="4442 - LEM - referenční diagnostika"/>
    <s v="50115050     obvazový materiál (sk.Z_502)"/>
    <x v="12"/>
    <x v="2"/>
    <n v="5.717039999999999"/>
    <n v="8.8728577720080004"/>
  </r>
  <r>
    <s v="44"/>
    <s v="44"/>
    <s v="LEM"/>
    <x v="40"/>
    <s v="4442"/>
    <s v="LEM - referenční diagnostika"/>
    <s v="4442 - LEM - referenční diagnostika"/>
    <s v="50115060     ostatní ZPr - mimo níže uvedené (sk.Z_503)"/>
    <x v="1"/>
    <x v="0"/>
    <n v="331.68183000000005"/>
    <n v="448.19483358963703"/>
  </r>
  <r>
    <s v="44"/>
    <s v="44"/>
    <s v="LEM"/>
    <x v="40"/>
    <s v="4442"/>
    <s v="LEM - referenční diagnostika"/>
    <s v="4442 - LEM - referenční diagnostika"/>
    <s v="50115060     ostatní ZPr - mimo níže uvedené (sk.Z_503)"/>
    <x v="1"/>
    <x v="1"/>
    <n v="568.26479000000006"/>
    <n v="817.67950976200905"/>
  </r>
  <r>
    <s v="44"/>
    <s v="44"/>
    <s v="LEM"/>
    <x v="40"/>
    <s v="4442"/>
    <s v="LEM - referenční diagnostika"/>
    <s v="4442 - LEM - referenční diagnostika"/>
    <s v="50115060     ostatní ZPr - mimo níže uvedené (sk.Z_503)"/>
    <x v="1"/>
    <x v="2"/>
    <n v="408.14257000000003"/>
    <n v="837.99997360503096"/>
  </r>
  <r>
    <s v="44"/>
    <s v="44"/>
    <s v="LEM"/>
    <x v="40"/>
    <s v="4442"/>
    <s v="LEM - referenční diagnostika"/>
    <s v="4442 - LEM - referenční diagnostika"/>
    <s v="50115065     ostatní ZPr - vpichovací materiál (sk.Z_530)"/>
    <x v="14"/>
    <x v="0"/>
    <n v="1.605"/>
    <n v="1"/>
  </r>
  <r>
    <s v="44"/>
    <s v="44"/>
    <s v="LEM"/>
    <x v="40"/>
    <s v="4442"/>
    <s v="LEM - referenční diagnostika"/>
    <s v="4442 - LEM - referenční diagnostika"/>
    <s v="50115065     ostatní ZPr - vpichovací materiál (sk.Z_530)"/>
    <x v="14"/>
    <x v="1"/>
    <n v="4.1469999999999994"/>
    <n v="5.6464343034580002"/>
  </r>
  <r>
    <s v="44"/>
    <s v="44"/>
    <s v="LEM"/>
    <x v="40"/>
    <s v="4442"/>
    <s v="LEM - referenční diagnostika"/>
    <s v="4442 - LEM - referenční diagnostika"/>
    <s v="50115065     ostatní ZPr - vpichovací materiál (sk.Z_530)"/>
    <x v="14"/>
    <x v="2"/>
    <n v="3.6020000000000003"/>
    <n v="1.999999937004"/>
  </r>
  <r>
    <s v="44"/>
    <s v="44"/>
    <s v="LEM"/>
    <x v="40"/>
    <s v="4442"/>
    <s v="LEM - referenční diagnostika"/>
    <s v="4442 - LEM - referenční diagnostika"/>
    <s v="50115067     ostatní ZPr - rukavice (sk.Z_532)"/>
    <x v="15"/>
    <x v="0"/>
    <n v="25.702000000000005"/>
    <n v="24.703370656198"/>
  </r>
  <r>
    <s v="44"/>
    <s v="44"/>
    <s v="LEM"/>
    <x v="40"/>
    <s v="4442"/>
    <s v="LEM - referenční diagnostika"/>
    <s v="4442 - LEM - referenční diagnostika"/>
    <s v="50115067     ostatní ZPr - rukavice (sk.Z_532)"/>
    <x v="15"/>
    <x v="1"/>
    <n v="35.857800000000005"/>
    <n v="36.065696749567003"/>
  </r>
  <r>
    <s v="44"/>
    <s v="44"/>
    <s v="LEM"/>
    <x v="40"/>
    <s v="4442"/>
    <s v="LEM - referenční diagnostika"/>
    <s v="4442 - LEM - referenční diagnostika"/>
    <s v="50115067     ostatní ZPr - rukavice (sk.Z_532)"/>
    <x v="15"/>
    <x v="2"/>
    <n v="34.506"/>
    <n v="27.481210130149002"/>
  </r>
  <r>
    <s v="44"/>
    <s v="44"/>
    <s v="LEM"/>
    <x v="40"/>
    <s v="4443"/>
    <s v="LEM - laboratoř kardiogenomiky "/>
    <s v="4443 - LEM - laboratoř kardiogenomiky "/>
    <s v="50115     Zdravotnické prostředky"/>
    <x v="0"/>
    <x v="2"/>
    <n v="253.19053"/>
    <n v="701.99997788870098"/>
  </r>
  <r>
    <s v="44"/>
    <s v="44"/>
    <s v="LEM"/>
    <x v="40"/>
    <s v="4443"/>
    <s v="LEM - laboratoř kardiogenomiky "/>
    <s v="4443 - LEM - laboratoř kardiogenomiky "/>
    <s v="50115020     diagnostika laboratorní-LEK (sk.Z_501)"/>
    <x v="10"/>
    <x v="2"/>
    <n v="212.15084999999999"/>
    <n v="599.99998110145395"/>
  </r>
  <r>
    <s v="44"/>
    <s v="44"/>
    <s v="LEM"/>
    <x v="40"/>
    <s v="4443"/>
    <s v="LEM - laboratoř kardiogenomiky "/>
    <s v="4443 - LEM - laboratoř kardiogenomiky "/>
    <s v="50115040     laboratorní materiál (sk.Z_505)"/>
    <x v="11"/>
    <x v="2"/>
    <n v="19.672180000000001"/>
    <n v="69.999997795168994"/>
  </r>
  <r>
    <s v="44"/>
    <s v="44"/>
    <s v="LEM"/>
    <x v="40"/>
    <s v="4443"/>
    <s v="LEM - laboratoř kardiogenomiky "/>
    <s v="4443 - LEM - laboratoř kardiogenomiky "/>
    <s v="50115060     ostatní ZPr - mimo níže uvedené (sk.Z_503)"/>
    <x v="1"/>
    <x v="2"/>
    <n v="19.201599999999999"/>
    <n v="31.999998992077"/>
  </r>
  <r>
    <s v="44"/>
    <s v="44"/>
    <s v="LEM"/>
    <x v="40"/>
    <s v="4443"/>
    <s v="LEM - laboratoř kardiogenomiky "/>
    <s v="4443 - LEM - laboratoř kardiogenomiky "/>
    <s v="50115079     ostatní ZPr - intenzivní péče (sk.Z_542)"/>
    <x v="18"/>
    <x v="2"/>
    <n v="2.1659000000000002"/>
    <n v="0"/>
  </r>
  <r>
    <s v="45"/>
    <s v="45"/>
    <s v="Sociální oddělení"/>
    <x v="41"/>
    <s v="4598"/>
    <s v="sociální oddělení"/>
    <s v="4598 - sociální oddělení"/>
    <s v="50113     Léky a léčiva"/>
    <x v="2"/>
    <x v="2"/>
    <n v="8.2100000000000006E-2"/>
    <n v="0"/>
  </r>
  <r>
    <s v="45"/>
    <s v="45"/>
    <s v="Sociální oddělení"/>
    <x v="41"/>
    <s v="4598"/>
    <s v="sociální oddělení"/>
    <s v="4598 - sociální oddělení"/>
    <s v="50113001     léky - paušál+TISS (LEK)"/>
    <x v="3"/>
    <x v="2"/>
    <n v="8.2100000000000006E-2"/>
    <n v="0"/>
  </r>
  <r>
    <s v="45"/>
    <s v="45"/>
    <s v="Sociální oddělení"/>
    <x v="41"/>
    <s v="4598"/>
    <s v="sociální oddělení"/>
    <s v="4598 - sociální oddělení"/>
    <s v="50115     Zdravotnické prostředky"/>
    <x v="0"/>
    <x v="2"/>
    <n v="0.18129999999999999"/>
    <n v="0"/>
  </r>
  <r>
    <s v="45"/>
    <s v="45"/>
    <s v="Sociální oddělení"/>
    <x v="41"/>
    <s v="4598"/>
    <s v="sociální oddělení"/>
    <s v="4598 - sociální oddělení"/>
    <s v="50115050     obvazový materiál (sk.Z_502)"/>
    <x v="12"/>
    <x v="2"/>
    <n v="0.18129999999999999"/>
    <n v="0"/>
  </r>
  <r>
    <s v="46"/>
    <s v="46"/>
    <s v="Transplantační centrum"/>
    <x v="42"/>
    <s v="4692"/>
    <s v="transplantační centrum + koordinační"/>
    <s v="4692 - transplantační centrum + koordinační"/>
    <s v="50115     Zdravotnické prostředky"/>
    <x v="0"/>
    <x v="0"/>
    <n v="103.776"/>
    <n v="105.223655403853"/>
  </r>
  <r>
    <s v="46"/>
    <s v="46"/>
    <s v="Transplantační centrum"/>
    <x v="42"/>
    <s v="4692"/>
    <s v="transplantační centrum + koordinační"/>
    <s v="4692 - transplantační centrum + koordinační"/>
    <s v="50115     Zdravotnické prostředky"/>
    <x v="0"/>
    <x v="1"/>
    <n v="103.58110000000001"/>
    <n v="104.99994346383301"/>
  </r>
  <r>
    <s v="46"/>
    <s v="46"/>
    <s v="Transplantační centrum"/>
    <x v="42"/>
    <s v="4692"/>
    <s v="transplantační centrum + koordinační"/>
    <s v="4692 - transplantační centrum + koordinační"/>
    <s v="50115     Zdravotnické prostředky"/>
    <x v="0"/>
    <x v="2"/>
    <n v="0"/>
    <n v="104.999996692754"/>
  </r>
  <r>
    <s v="46"/>
    <s v="46"/>
    <s v="Transplantační centrum"/>
    <x v="42"/>
    <s v="4692"/>
    <s v="transplantační centrum + koordinační"/>
    <s v="4692 - transplantační centrum + koordinační"/>
    <s v="50115004     implant.umělé těl.náhr.-kovové (s.Z_506)"/>
    <x v="25"/>
    <x v="0"/>
    <n v="103.776"/>
    <n v="105.223655403853"/>
  </r>
  <r>
    <s v="46"/>
    <s v="46"/>
    <s v="Transplantační centrum"/>
    <x v="42"/>
    <s v="4692"/>
    <s v="transplantační centrum + koordinační"/>
    <s v="4692 - transplantační centrum + koordinační"/>
    <s v="50115011     implant.umělé těl.náhr.-ostat.nákl.PZT(s.Z_515)"/>
    <x v="26"/>
    <x v="1"/>
    <n v="103.58110000000001"/>
    <n v="104.99994346383301"/>
  </r>
  <r>
    <s v="46"/>
    <s v="46"/>
    <s v="Transplantační centrum"/>
    <x v="42"/>
    <s v="4692"/>
    <s v="transplantační centrum + koordinační"/>
    <s v="4692 - transplantační centrum + koordinační"/>
    <s v="50115011     implant.umělé těl.náhr.-ostat.nákl.PZT(s.Z_515)"/>
    <x v="26"/>
    <x v="2"/>
    <n v="0"/>
    <n v="104.999996692754"/>
  </r>
  <r>
    <s v="47"/>
    <s v="47"/>
    <s v="Centrální operační sály "/>
    <x v="43"/>
    <s v="4764"/>
    <s v="centrální operační sály "/>
    <s v="4764 - centrální operační sály "/>
    <s v="50113     Léky a léčiva"/>
    <x v="2"/>
    <x v="0"/>
    <n v="877.7644999999992"/>
    <n v="896.99531487027002"/>
  </r>
  <r>
    <s v="47"/>
    <s v="47"/>
    <s v="Centrální operační sály "/>
    <x v="43"/>
    <s v="4764"/>
    <s v="centrální operační sály "/>
    <s v="4764 - centrální operační sály "/>
    <s v="50113     Léky a léčiva"/>
    <x v="2"/>
    <x v="1"/>
    <n v="894.05020999999988"/>
    <n v="869.99938887859605"/>
  </r>
  <r>
    <s v="47"/>
    <s v="47"/>
    <s v="Centrální operační sály "/>
    <x v="43"/>
    <s v="4764"/>
    <s v="centrální operační sály "/>
    <s v="4764 - centrální operační sály "/>
    <s v="50113     Léky a léčiva"/>
    <x v="2"/>
    <x v="2"/>
    <n v="665.78216999999995"/>
    <n v="894.41514406530405"/>
  </r>
  <r>
    <s v="47"/>
    <s v="47"/>
    <s v="Centrální operační sály "/>
    <x v="43"/>
    <s v="4764"/>
    <s v="centrální operační sály "/>
    <s v="4764 - centrální operační sály "/>
    <s v="50113001     léky - paušál+TISS (LEK)"/>
    <x v="3"/>
    <x v="0"/>
    <n v="677.55431999999894"/>
    <n v="714.48349730258496"/>
  </r>
  <r>
    <s v="47"/>
    <s v="47"/>
    <s v="Centrální operační sály "/>
    <x v="43"/>
    <s v="4764"/>
    <s v="centrální operační sály "/>
    <s v="4764 - centrální operační sály "/>
    <s v="50113001     léky - paušál+TISS (LEK)"/>
    <x v="3"/>
    <x v="1"/>
    <n v="698.72735999999998"/>
    <n v="678.06756106753505"/>
  </r>
  <r>
    <s v="47"/>
    <s v="47"/>
    <s v="Centrální operační sály "/>
    <x v="43"/>
    <s v="4764"/>
    <s v="centrální operační sály "/>
    <s v="4764 - centrální operační sály "/>
    <s v="50113001     léky - paušál+TISS (LEK)"/>
    <x v="3"/>
    <x v="2"/>
    <n v="519.45192000000009"/>
    <n v="682.99997848715498"/>
  </r>
  <r>
    <s v="47"/>
    <s v="47"/>
    <s v="Centrální operační sály "/>
    <x v="43"/>
    <s v="4764"/>
    <s v="centrální operační sály "/>
    <s v="4764 - centrální operační sály "/>
    <s v="50113009     léky - RTG diagnostika ZUL (LEK)"/>
    <x v="22"/>
    <x v="0"/>
    <n v="6.1598899999999999"/>
    <n v="0"/>
  </r>
  <r>
    <s v="47"/>
    <s v="47"/>
    <s v="Centrální operační sály "/>
    <x v="43"/>
    <s v="4764"/>
    <s v="centrální operační sály "/>
    <s v="4764 - centrální operační sály "/>
    <s v="50113009     léky - RTG diagnostika ZUL (LEK)"/>
    <x v="22"/>
    <x v="1"/>
    <n v="0"/>
    <n v="5.7690940597219997"/>
  </r>
  <r>
    <s v="47"/>
    <s v="47"/>
    <s v="Centrální operační sály "/>
    <x v="43"/>
    <s v="4764"/>
    <s v="centrální operační sály "/>
    <s v="4764 - centrální operační sály "/>
    <s v="50113013     léky (paušál) - antibiotika (LEK)"/>
    <x v="7"/>
    <x v="0"/>
    <n v="9.2123999999990005"/>
    <n v="24"/>
  </r>
  <r>
    <s v="47"/>
    <s v="47"/>
    <s v="Centrální operační sály "/>
    <x v="43"/>
    <s v="4764"/>
    <s v="centrální operační sály "/>
    <s v="4764 - centrální operační sály "/>
    <s v="50113013     léky (paušál) - antibiotika (LEK)"/>
    <x v="7"/>
    <x v="1"/>
    <n v="8.9146900000000002"/>
    <n v="9.3244085439410007"/>
  </r>
  <r>
    <s v="47"/>
    <s v="47"/>
    <s v="Centrální operační sály "/>
    <x v="43"/>
    <s v="4764"/>
    <s v="centrální operační sály "/>
    <s v="4764 - centrální operační sály "/>
    <s v="50113013     léky (paušál) - antibiotika (LEK)"/>
    <x v="7"/>
    <x v="2"/>
    <n v="14.437059999999997"/>
    <n v="17.999999433043001"/>
  </r>
  <r>
    <s v="47"/>
    <s v="47"/>
    <s v="Centrální operační sály "/>
    <x v="43"/>
    <s v="4764"/>
    <s v="centrální operační sály "/>
    <s v="4764 - centrální operační sály "/>
    <s v="50113190     medicinální plyny"/>
    <x v="9"/>
    <x v="0"/>
    <n v="184.83789000000002"/>
    <n v="158.51181756768599"/>
  </r>
  <r>
    <s v="47"/>
    <s v="47"/>
    <s v="Centrální operační sály "/>
    <x v="43"/>
    <s v="4764"/>
    <s v="centrální operační sály "/>
    <s v="4764 - centrální operační sály "/>
    <s v="50113190     medicinální plyny"/>
    <x v="9"/>
    <x v="1"/>
    <n v="186.40815999999998"/>
    <n v="176.83832520739799"/>
  </r>
  <r>
    <s v="47"/>
    <s v="47"/>
    <s v="Centrální operační sály "/>
    <x v="43"/>
    <s v="4764"/>
    <s v="centrální operační sály "/>
    <s v="4764 - centrální operační sály "/>
    <s v="50113190     medicinální plyny"/>
    <x v="9"/>
    <x v="2"/>
    <n v="131.89319"/>
    <n v="193.41516614510499"/>
  </r>
  <r>
    <s v="47"/>
    <s v="47"/>
    <s v="Centrální operační sály "/>
    <x v="43"/>
    <s v="4764"/>
    <s v="centrální operační sály "/>
    <s v="4764 - centrální operační sály "/>
    <s v="50115     Zdravotnické prostředky"/>
    <x v="0"/>
    <x v="0"/>
    <n v="7805.4617700000035"/>
    <n v="6353.5678857133498"/>
  </r>
  <r>
    <s v="47"/>
    <s v="47"/>
    <s v="Centrální operační sály "/>
    <x v="43"/>
    <s v="4764"/>
    <s v="centrální operační sály "/>
    <s v="4764 - centrální operační sály "/>
    <s v="50115     Zdravotnické prostředky"/>
    <x v="0"/>
    <x v="1"/>
    <n v="14047.272330000009"/>
    <n v="6425.4816099624804"/>
  </r>
  <r>
    <s v="47"/>
    <s v="47"/>
    <s v="Centrální operační sály "/>
    <x v="43"/>
    <s v="4764"/>
    <s v="centrální operační sály "/>
    <s v="4764 - centrální operační sály "/>
    <s v="50115     Zdravotnické prostředky"/>
    <x v="0"/>
    <x v="2"/>
    <n v="8999.9067000000105"/>
    <n v="9590.2432277567805"/>
  </r>
  <r>
    <s v="47"/>
    <s v="47"/>
    <s v="Centrální operační sály "/>
    <x v="43"/>
    <s v="4764"/>
    <s v="centrální operační sály "/>
    <s v="4764 - centrální operační sály "/>
    <s v="50115004     implant.umělé těl.náhr.-kovové (s.Z_506)"/>
    <x v="25"/>
    <x v="0"/>
    <n v="5.1646599999999996"/>
    <n v="6.2318405246430002"/>
  </r>
  <r>
    <s v="47"/>
    <s v="47"/>
    <s v="Centrální operační sály "/>
    <x v="43"/>
    <s v="4764"/>
    <s v="centrální operační sály "/>
    <s v="4764 - centrální operační sály "/>
    <s v="50115004     implant.umělé těl.náhr.-kovové (s.Z_506)"/>
    <x v="25"/>
    <x v="1"/>
    <n v="1.41489"/>
    <n v="5.9999967693610001"/>
  </r>
  <r>
    <s v="47"/>
    <s v="47"/>
    <s v="Centrální operační sály "/>
    <x v="43"/>
    <s v="4764"/>
    <s v="centrální operační sály "/>
    <s v="4764 - centrální operační sály "/>
    <s v="50115004     implant.umělé těl.náhr.-kovové (s.Z_506)"/>
    <x v="25"/>
    <x v="2"/>
    <n v="0.68969000000000003"/>
    <n v="2.4058721176570002"/>
  </r>
  <r>
    <s v="47"/>
    <s v="47"/>
    <s v="Centrální operační sály "/>
    <x v="43"/>
    <s v="4764"/>
    <s v="centrální operační sály "/>
    <s v="4764 - centrální operační sály "/>
    <s v="50115050     obvazový materiál (sk.Z_502)"/>
    <x v="12"/>
    <x v="0"/>
    <n v="1162.9230499999999"/>
    <n v="1167.0239711377501"/>
  </r>
  <r>
    <s v="47"/>
    <s v="47"/>
    <s v="Centrální operační sály "/>
    <x v="43"/>
    <s v="4764"/>
    <s v="centrální operační sály "/>
    <s v="4764 - centrální operační sály "/>
    <s v="50115050     obvazový materiál (sk.Z_502)"/>
    <x v="12"/>
    <x v="1"/>
    <n v="1166.8729899999998"/>
    <n v="1165.5675968636399"/>
  </r>
  <r>
    <s v="47"/>
    <s v="47"/>
    <s v="Centrální operační sály "/>
    <x v="43"/>
    <s v="4764"/>
    <s v="centrální operační sály "/>
    <s v="4764 - centrální operační sály "/>
    <s v="50115050     obvazový materiál (sk.Z_502)"/>
    <x v="12"/>
    <x v="2"/>
    <n v="1685.7340100000001"/>
    <n v="4147.8521823979099"/>
  </r>
  <r>
    <s v="47"/>
    <s v="47"/>
    <s v="Centrální operační sály "/>
    <x v="43"/>
    <s v="4764"/>
    <s v="centrální operační sály "/>
    <s v="4764 - centrální operační sály "/>
    <s v="50115060     ostatní ZPr - mimo níže uvedené (sk.Z_503)"/>
    <x v="1"/>
    <x v="0"/>
    <n v="903.05928999999901"/>
    <n v="920.093821818386"/>
  </r>
  <r>
    <s v="47"/>
    <s v="47"/>
    <s v="Centrální operační sály "/>
    <x v="43"/>
    <s v="4764"/>
    <s v="centrální operační sály "/>
    <s v="4764 - centrální operační sály "/>
    <s v="50115060     ostatní ZPr - mimo níže uvedené (sk.Z_503)"/>
    <x v="1"/>
    <x v="1"/>
    <n v="945.21334999999999"/>
    <n v="903.05248694714896"/>
  </r>
  <r>
    <s v="47"/>
    <s v="47"/>
    <s v="Centrální operační sály "/>
    <x v="43"/>
    <s v="4764"/>
    <s v="centrální operační sály "/>
    <s v="4764 - centrální operační sály "/>
    <s v="50115060     ostatní ZPr - mimo níže uvedené (sk.Z_503)"/>
    <x v="1"/>
    <x v="2"/>
    <n v="934.67622000000006"/>
    <n v="921.32650496993006"/>
  </r>
  <r>
    <s v="47"/>
    <s v="47"/>
    <s v="Centrální operační sály "/>
    <x v="43"/>
    <s v="4764"/>
    <s v="centrální operační sály "/>
    <s v="4764 - centrální operační sály "/>
    <s v="50115061     ostatní ZPr - robotické centrum (sk.Z_512)"/>
    <x v="43"/>
    <x v="0"/>
    <n v="1642.327650000002"/>
    <n v="0"/>
  </r>
  <r>
    <s v="47"/>
    <s v="47"/>
    <s v="Centrální operační sály "/>
    <x v="43"/>
    <s v="4764"/>
    <s v="centrální operační sály "/>
    <s v="4764 - centrální operační sály "/>
    <s v="50115061     ostatní ZPr - robotické centrum (sk.Z_512)"/>
    <x v="43"/>
    <x v="1"/>
    <n v="9484.8130700000092"/>
    <n v="0"/>
  </r>
  <r>
    <s v="47"/>
    <s v="47"/>
    <s v="Centrální operační sály "/>
    <x v="43"/>
    <s v="4764"/>
    <s v="centrální operační sály "/>
    <s v="4764 - centrální operační sály "/>
    <s v="50115061     ostatní ZPr - robotické centrum (sk.Z_512)"/>
    <x v="43"/>
    <x v="2"/>
    <n v="3151.0449799999997"/>
    <n v="0"/>
  </r>
  <r>
    <s v="47"/>
    <s v="47"/>
    <s v="Centrální operační sály "/>
    <x v="43"/>
    <s v="4764"/>
    <s v="centrální operační sály "/>
    <s v="4764 - centrální operační sály "/>
    <s v="50115063     ostatní ZPr - vaky, sety (sk.Z_528)"/>
    <x v="13"/>
    <x v="0"/>
    <n v="86.087879999999004"/>
    <n v="141.551547124145"/>
  </r>
  <r>
    <s v="47"/>
    <s v="47"/>
    <s v="Centrální operační sály "/>
    <x v="43"/>
    <s v="4764"/>
    <s v="centrální operační sály "/>
    <s v="4764 - centrální operační sály "/>
    <s v="50115063     ostatní ZPr - vaky, sety (sk.Z_528)"/>
    <x v="13"/>
    <x v="1"/>
    <n v="35.134999999999998"/>
    <n v="84.333785536326005"/>
  </r>
  <r>
    <s v="47"/>
    <s v="47"/>
    <s v="Centrální operační sály "/>
    <x v="43"/>
    <s v="4764"/>
    <s v="centrální operační sály "/>
    <s v="4764 - centrální operační sály "/>
    <s v="50115063     ostatní ZPr - vaky, sety (sk.Z_528)"/>
    <x v="13"/>
    <x v="2"/>
    <n v="37.871120000000005"/>
    <n v="85.999997291208004"/>
  </r>
  <r>
    <s v="47"/>
    <s v="47"/>
    <s v="Centrální operační sály "/>
    <x v="43"/>
    <s v="4764"/>
    <s v="centrální operační sály "/>
    <s v="4764 - centrální operační sály "/>
    <s v="50115064     ostatní ZPr - šicí materiál (sk.Z_529)"/>
    <x v="21"/>
    <x v="0"/>
    <n v="3471.9332799999997"/>
    <n v="3560.53660582374"/>
  </r>
  <r>
    <s v="47"/>
    <s v="47"/>
    <s v="Centrální operační sály "/>
    <x v="43"/>
    <s v="4764"/>
    <s v="centrální operační sály "/>
    <s v="4764 - centrální operační sály "/>
    <s v="50115064     ostatní ZPr - šicí materiál (sk.Z_529)"/>
    <x v="21"/>
    <x v="1"/>
    <n v="1704.2926600000014"/>
    <n v="3494.3522624755601"/>
  </r>
  <r>
    <s v="47"/>
    <s v="47"/>
    <s v="Centrální operační sály "/>
    <x v="43"/>
    <s v="4764"/>
    <s v="centrální operační sály "/>
    <s v="4764 - centrální operační sály "/>
    <s v="50115064     ostatní ZPr - šicí materiál (sk.Z_529)"/>
    <x v="21"/>
    <x v="2"/>
    <n v="2598.8454100000008"/>
    <n v="3708.9998831754901"/>
  </r>
  <r>
    <s v="47"/>
    <s v="47"/>
    <s v="Centrální operační sály "/>
    <x v="43"/>
    <s v="4764"/>
    <s v="centrální operační sály "/>
    <s v="4764 - centrální operační sály "/>
    <s v="50115065     ostatní ZPr - vpichovací materiál (sk.Z_530)"/>
    <x v="14"/>
    <x v="0"/>
    <n v="93.87894"/>
    <n v="144.420840406141"/>
  </r>
  <r>
    <s v="47"/>
    <s v="47"/>
    <s v="Centrální operační sály "/>
    <x v="43"/>
    <s v="4764"/>
    <s v="centrální operační sály "/>
    <s v="4764 - centrální operační sály "/>
    <s v="50115065     ostatní ZPr - vpichovací materiál (sk.Z_530)"/>
    <x v="14"/>
    <x v="1"/>
    <n v="64.140330000000006"/>
    <n v="96.302496690514005"/>
  </r>
  <r>
    <s v="47"/>
    <s v="47"/>
    <s v="Centrální operační sály "/>
    <x v="43"/>
    <s v="4764"/>
    <s v="centrální operační sály "/>
    <s v="4764 - centrální operační sály "/>
    <s v="50115065     ostatní ZPr - vpichovací materiál (sk.Z_530)"/>
    <x v="14"/>
    <x v="2"/>
    <n v="62.380170000000007"/>
    <n v="105.472684351374"/>
  </r>
  <r>
    <s v="47"/>
    <s v="47"/>
    <s v="Centrální operační sály "/>
    <x v="43"/>
    <s v="4764"/>
    <s v="centrální operační sály "/>
    <s v="4764 - centrální operační sály "/>
    <s v="50115066     ostatní ZPr - šicí materiál - robot (sk.Z_531)"/>
    <x v="44"/>
    <x v="0"/>
    <n v="42.576689999999999"/>
    <n v="7.1731746795770004"/>
  </r>
  <r>
    <s v="47"/>
    <s v="47"/>
    <s v="Centrální operační sály "/>
    <x v="43"/>
    <s v="4764"/>
    <s v="centrální operační sály "/>
    <s v="4764 - centrální operační sály "/>
    <s v="50115066     ostatní ZPr - šicí materiál - robot (sk.Z_531)"/>
    <x v="44"/>
    <x v="1"/>
    <n v="0"/>
    <n v="9.6727923927959996"/>
  </r>
  <r>
    <s v="47"/>
    <s v="47"/>
    <s v="Centrální operační sály "/>
    <x v="43"/>
    <s v="4764"/>
    <s v="centrální operační sály "/>
    <s v="4764 - centrální operační sály "/>
    <s v="50115066     ostatní ZPr - šicí materiál - robot (sk.Z_531)"/>
    <x v="44"/>
    <x v="2"/>
    <n v="22.653739999999999"/>
    <n v="42.999998645604002"/>
  </r>
  <r>
    <s v="47"/>
    <s v="47"/>
    <s v="Centrální operační sály "/>
    <x v="43"/>
    <s v="4764"/>
    <s v="centrální operační sály "/>
    <s v="4764 - centrální operační sály "/>
    <s v="50115067     ostatní ZPr - rukavice (sk.Z_532)"/>
    <x v="15"/>
    <x v="0"/>
    <n v="323.65569999999997"/>
    <n v="323.99374700571298"/>
  </r>
  <r>
    <s v="47"/>
    <s v="47"/>
    <s v="Centrální operační sály "/>
    <x v="43"/>
    <s v="4764"/>
    <s v="centrální operační sály "/>
    <s v="4764 - centrální operační sály "/>
    <s v="50115067     ostatní ZPr - rukavice (sk.Z_532)"/>
    <x v="15"/>
    <x v="1"/>
    <n v="596.28913"/>
    <n v="600.23558395964699"/>
  </r>
  <r>
    <s v="47"/>
    <s v="47"/>
    <s v="Centrální operační sály "/>
    <x v="43"/>
    <s v="4764"/>
    <s v="centrální operační sály "/>
    <s v="4764 - centrální operační sály "/>
    <s v="50115067     ostatní ZPr - rukavice (sk.Z_532)"/>
    <x v="15"/>
    <x v="2"/>
    <n v="350.10320999999999"/>
    <n v="524.945665670484"/>
  </r>
  <r>
    <s v="47"/>
    <s v="47"/>
    <s v="Centrální operační sály "/>
    <x v="43"/>
    <s v="4764"/>
    <s v="centrální operační sály "/>
    <s v="4764 - centrální operační sály "/>
    <s v="50115070     ostatní ZPr - katetry (sk.Z_513)"/>
    <x v="16"/>
    <x v="0"/>
    <n v="9.5909999999999993"/>
    <n v="0"/>
  </r>
  <r>
    <s v="47"/>
    <s v="47"/>
    <s v="Centrální operační sály "/>
    <x v="43"/>
    <s v="4764"/>
    <s v="centrální operační sály "/>
    <s v="4764 - centrální operační sály "/>
    <s v="50115070     ostatní ZPr - katetry (sk.Z_513)"/>
    <x v="16"/>
    <x v="1"/>
    <n v="9.1790599999999998"/>
    <n v="9.590954932512"/>
  </r>
  <r>
    <s v="47"/>
    <s v="47"/>
    <s v="Centrální operační sály "/>
    <x v="43"/>
    <s v="4764"/>
    <s v="centrální operační sály "/>
    <s v="4764 - centrální operační sály "/>
    <s v="50115070     ostatní ZPr - katetry (sk.Z_513)"/>
    <x v="16"/>
    <x v="2"/>
    <n v="0"/>
    <n v="6.9999997795160001"/>
  </r>
  <r>
    <s v="47"/>
    <s v="47"/>
    <s v="Centrální operační sály "/>
    <x v="43"/>
    <s v="4764"/>
    <s v="centrální operační sály "/>
    <s v="4764 - centrální operační sály "/>
    <s v="50115079     ostatní ZPr - intenzivní péče (sk.Z_542)"/>
    <x v="18"/>
    <x v="2"/>
    <n v="136.71360000000001"/>
    <n v="0"/>
  </r>
  <r>
    <s v="47"/>
    <s v="47"/>
    <s v="Centrální operační sály "/>
    <x v="43"/>
    <s v="4764"/>
    <s v="centrální operační sály "/>
    <s v="4764 - centrální operační sály "/>
    <s v="50115080     ostatní ZPr - staplery, extraktory (sk.Z_523)"/>
    <x v="30"/>
    <x v="0"/>
    <n v="64.263630000000006"/>
    <n v="82.542337193251001"/>
  </r>
  <r>
    <s v="47"/>
    <s v="47"/>
    <s v="Centrální operační sály "/>
    <x v="43"/>
    <s v="4764"/>
    <s v="centrální operační sály "/>
    <s v="4764 - centrální operační sály "/>
    <s v="50115080     ostatní ZPr - staplery, extraktory (sk.Z_523)"/>
    <x v="30"/>
    <x v="1"/>
    <n v="39.921849999999999"/>
    <n v="56.373653394972997"/>
  </r>
  <r>
    <s v="47"/>
    <s v="47"/>
    <s v="Centrální operační sály "/>
    <x v="43"/>
    <s v="4764"/>
    <s v="centrální operační sály "/>
    <s v="4764 - centrální operační sály "/>
    <s v="50115080     ostatní ZPr - staplery, extraktory (sk.Z_523)"/>
    <x v="30"/>
    <x v="2"/>
    <n v="19.19455"/>
    <n v="43.240439357607997"/>
  </r>
  <r>
    <s v="47"/>
    <s v="47"/>
    <s v="Centrální operační sály "/>
    <x v="43"/>
    <s v="4766"/>
    <s v="operační sály dětské chirurgie"/>
    <s v="4766 - operační sály dětské chirurgie"/>
    <s v="50113     Léky a léčiva"/>
    <x v="2"/>
    <x v="0"/>
    <n v="23.788460000000001"/>
    <n v="25.515078075828001"/>
  </r>
  <r>
    <s v="47"/>
    <s v="47"/>
    <s v="Centrální operační sály "/>
    <x v="43"/>
    <s v="4766"/>
    <s v="operační sály dětské chirurgie"/>
    <s v="4766 - operační sály dětské chirurgie"/>
    <s v="50113     Léky a léčiva"/>
    <x v="2"/>
    <x v="1"/>
    <n v="23.861619999999995"/>
    <n v="23.806479536211999"/>
  </r>
  <r>
    <s v="47"/>
    <s v="47"/>
    <s v="Centrální operační sály "/>
    <x v="43"/>
    <s v="4766"/>
    <s v="operační sály dětské chirurgie"/>
    <s v="4766 - operační sály dětské chirurgie"/>
    <s v="50113     Léky a léčiva"/>
    <x v="2"/>
    <x v="2"/>
    <n v="10.33761"/>
    <n v="16.166032521923"/>
  </r>
  <r>
    <s v="47"/>
    <s v="47"/>
    <s v="Centrální operační sály "/>
    <x v="43"/>
    <s v="4766"/>
    <s v="operační sály dětské chirurgie"/>
    <s v="4766 - operační sály dětské chirurgie"/>
    <s v="50113001     léky - paušál+TISS (LEK)"/>
    <x v="3"/>
    <x v="0"/>
    <n v="23.788460000000001"/>
    <n v="25.515078075828001"/>
  </r>
  <r>
    <s v="47"/>
    <s v="47"/>
    <s v="Centrální operační sály "/>
    <x v="43"/>
    <s v="4766"/>
    <s v="operační sály dětské chirurgie"/>
    <s v="4766 - operační sály dětské chirurgie"/>
    <s v="50113001     léky - paušál+TISS (LEK)"/>
    <x v="3"/>
    <x v="1"/>
    <n v="23.861619999999995"/>
    <n v="23.806479536211999"/>
  </r>
  <r>
    <s v="47"/>
    <s v="47"/>
    <s v="Centrální operační sály "/>
    <x v="43"/>
    <s v="4766"/>
    <s v="operační sály dětské chirurgie"/>
    <s v="4766 - operační sály dětské chirurgie"/>
    <s v="50113001     léky - paušál+TISS (LEK)"/>
    <x v="3"/>
    <x v="2"/>
    <n v="10.33761"/>
    <n v="16.166032521923"/>
  </r>
  <r>
    <s v="47"/>
    <s v="47"/>
    <s v="Centrální operační sály "/>
    <x v="43"/>
    <s v="4766"/>
    <s v="operační sály dětské chirurgie"/>
    <s v="4766 - operační sály dětské chirurgie"/>
    <s v="50115     Zdravotnické prostředky"/>
    <x v="0"/>
    <x v="0"/>
    <n v="2643.7845800000005"/>
    <n v="2824.5098219916299"/>
  </r>
  <r>
    <s v="47"/>
    <s v="47"/>
    <s v="Centrální operační sály "/>
    <x v="43"/>
    <s v="4766"/>
    <s v="operační sály dětské chirurgie"/>
    <s v="4766 - operační sály dětské chirurgie"/>
    <s v="50115     Zdravotnické prostředky"/>
    <x v="0"/>
    <x v="1"/>
    <n v="2334.1777900000011"/>
    <n v="2582.1709848310002"/>
  </r>
  <r>
    <s v="47"/>
    <s v="47"/>
    <s v="Centrální operační sály "/>
    <x v="43"/>
    <s v="4766"/>
    <s v="operační sály dětské chirurgie"/>
    <s v="4766 - operační sály dětské chirurgie"/>
    <s v="50115     Zdravotnické prostředky"/>
    <x v="0"/>
    <x v="2"/>
    <n v="2179.153510000001"/>
    <n v="3627.70385874766"/>
  </r>
  <r>
    <s v="47"/>
    <s v="47"/>
    <s v="Centrální operační sály "/>
    <x v="43"/>
    <s v="4766"/>
    <s v="operační sály dětské chirurgie"/>
    <s v="4766 - operační sály dětské chirurgie"/>
    <s v="50115004     implant.umělé těl.náhr.-kovové (s.Z_506)"/>
    <x v="25"/>
    <x v="0"/>
    <n v="1.3793800000000001"/>
    <n v="4.1754984523210004"/>
  </r>
  <r>
    <s v="47"/>
    <s v="47"/>
    <s v="Centrální operační sály "/>
    <x v="43"/>
    <s v="4766"/>
    <s v="operační sály dětské chirurgie"/>
    <s v="4766 - operační sály dětské chirurgie"/>
    <s v="50115004     implant.umělé těl.náhr.-kovové (s.Z_506)"/>
    <x v="25"/>
    <x v="1"/>
    <n v="0.90059999999999996"/>
    <n v="0.99999946155999997"/>
  </r>
  <r>
    <s v="47"/>
    <s v="47"/>
    <s v="Centrální operační sály "/>
    <x v="43"/>
    <s v="4766"/>
    <s v="operační sály dětské chirurgie"/>
    <s v="4766 - operační sály dětské chirurgie"/>
    <s v="50115004     implant.umělé těl.náhr.-kovové (s.Z_506)"/>
    <x v="25"/>
    <x v="2"/>
    <n v="0"/>
    <n v="4.5941276618589999"/>
  </r>
  <r>
    <s v="47"/>
    <s v="47"/>
    <s v="Centrální operační sály "/>
    <x v="43"/>
    <s v="4766"/>
    <s v="operační sály dětské chirurgie"/>
    <s v="4766 - operační sály dětské chirurgie"/>
    <s v="50115050     obvazový materiál (sk.Z_502)"/>
    <x v="12"/>
    <x v="0"/>
    <n v="387.60151999999999"/>
    <n v="380.00774462800803"/>
  </r>
  <r>
    <s v="47"/>
    <s v="47"/>
    <s v="Centrální operační sály "/>
    <x v="43"/>
    <s v="4766"/>
    <s v="operační sály dětské chirurgie"/>
    <s v="4766 - operační sály dětské chirurgie"/>
    <s v="50115050     obvazový materiál (sk.Z_502)"/>
    <x v="12"/>
    <x v="1"/>
    <n v="420.96899000000002"/>
    <n v="388.48294580376"/>
  </r>
  <r>
    <s v="47"/>
    <s v="47"/>
    <s v="Centrální operační sály "/>
    <x v="43"/>
    <s v="4766"/>
    <s v="operační sály dětské chirurgie"/>
    <s v="4766 - operační sály dětské chirurgie"/>
    <s v="50115050     obvazový materiál (sk.Z_502)"/>
    <x v="12"/>
    <x v="2"/>
    <n v="732.04531999999995"/>
    <n v="1342.1476446803999"/>
  </r>
  <r>
    <s v="47"/>
    <s v="47"/>
    <s v="Centrální operační sály "/>
    <x v="43"/>
    <s v="4766"/>
    <s v="operační sály dětské chirurgie"/>
    <s v="4766 - operační sály dětské chirurgie"/>
    <s v="50115060     ostatní ZPr - mimo níže uvedené (sk.Z_503)"/>
    <x v="1"/>
    <x v="0"/>
    <n v="965.29331000000002"/>
    <n v="1590.8391719394699"/>
  </r>
  <r>
    <s v="47"/>
    <s v="47"/>
    <s v="Centrální operační sály "/>
    <x v="43"/>
    <s v="4766"/>
    <s v="operační sály dětské chirurgie"/>
    <s v="4766 - operační sály dětské chirurgie"/>
    <s v="50115060     ostatní ZPr - mimo níže uvedené (sk.Z_503)"/>
    <x v="1"/>
    <x v="1"/>
    <n v="822.18720000000008"/>
    <n v="910.28650696557895"/>
  </r>
  <r>
    <s v="47"/>
    <s v="47"/>
    <s v="Centrální operační sály "/>
    <x v="43"/>
    <s v="4766"/>
    <s v="operační sály dětské chirurgie"/>
    <s v="4766 - operační sály dětské chirurgie"/>
    <s v="50115060     ostatní ZPr - mimo níže uvedené (sk.Z_503)"/>
    <x v="1"/>
    <x v="2"/>
    <n v="651.88085000000001"/>
    <n v="946.67343619259805"/>
  </r>
  <r>
    <s v="47"/>
    <s v="47"/>
    <s v="Centrální operační sály "/>
    <x v="43"/>
    <s v="4766"/>
    <s v="operační sály dětské chirurgie"/>
    <s v="4766 - operační sály dětské chirurgie"/>
    <s v="50115063     ostatní ZPr - vaky, sety (sk.Z_528)"/>
    <x v="13"/>
    <x v="0"/>
    <n v="0"/>
    <n v="3.8000025129830002"/>
  </r>
  <r>
    <s v="47"/>
    <s v="47"/>
    <s v="Centrální operační sály "/>
    <x v="43"/>
    <s v="4766"/>
    <s v="operační sály dětské chirurgie"/>
    <s v="4766 - operační sály dětské chirurgie"/>
    <s v="50115064     ostatní ZPr - šicí materiál (sk.Z_529)"/>
    <x v="21"/>
    <x v="0"/>
    <n v="382.11142000000001"/>
    <n v="384.55966961158202"/>
  </r>
  <r>
    <s v="47"/>
    <s v="47"/>
    <s v="Centrální operační sály "/>
    <x v="43"/>
    <s v="4766"/>
    <s v="operační sály dětské chirurgie"/>
    <s v="4766 - operační sály dětské chirurgie"/>
    <s v="50115064     ostatní ZPr - šicí materiál (sk.Z_529)"/>
    <x v="21"/>
    <x v="1"/>
    <n v="383.87769000000003"/>
    <n v="384.57879150107101"/>
  </r>
  <r>
    <s v="47"/>
    <s v="47"/>
    <s v="Centrální operační sály "/>
    <x v="43"/>
    <s v="4766"/>
    <s v="operační sály dětské chirurgie"/>
    <s v="4766 - operační sály dětské chirurgie"/>
    <s v="50115064     ostatní ZPr - šicí materiál (sk.Z_529)"/>
    <x v="21"/>
    <x v="2"/>
    <n v="308.20062999999999"/>
    <n v="419.96409103891301"/>
  </r>
  <r>
    <s v="47"/>
    <s v="47"/>
    <s v="Centrální operační sály "/>
    <x v="43"/>
    <s v="4766"/>
    <s v="operační sály dětské chirurgie"/>
    <s v="4766 - operační sály dětské chirurgie"/>
    <s v="50115065     ostatní ZPr - vpichovací materiál (sk.Z_530)"/>
    <x v="14"/>
    <x v="0"/>
    <n v="19.469609999999999"/>
    <n v="26.603794015700998"/>
  </r>
  <r>
    <s v="47"/>
    <s v="47"/>
    <s v="Centrální operační sály "/>
    <x v="43"/>
    <s v="4766"/>
    <s v="operační sály dětské chirurgie"/>
    <s v="4766 - operační sály dětské chirurgie"/>
    <s v="50115065     ostatní ZPr - vpichovací materiál (sk.Z_530)"/>
    <x v="14"/>
    <x v="1"/>
    <n v="3.8097000000000003"/>
    <n v="19.97223288408"/>
  </r>
  <r>
    <s v="47"/>
    <s v="47"/>
    <s v="Centrální operační sály "/>
    <x v="43"/>
    <s v="4766"/>
    <s v="operační sály dětské chirurgie"/>
    <s v="4766 - operační sály dětské chirurgie"/>
    <s v="50115065     ostatní ZPr - vpichovací materiál (sk.Z_530)"/>
    <x v="14"/>
    <x v="2"/>
    <n v="1.9361299999999999"/>
    <n v="7.5273120893999996"/>
  </r>
  <r>
    <s v="47"/>
    <s v="47"/>
    <s v="Centrální operační sály "/>
    <x v="43"/>
    <s v="4766"/>
    <s v="operační sály dětské chirurgie"/>
    <s v="4766 - operační sály dětské chirurgie"/>
    <s v="50115066     ostatní ZPr - šicí materiál - robot (sk.Z_531)"/>
    <x v="44"/>
    <x v="0"/>
    <n v="0"/>
    <n v="46.595759605837998"/>
  </r>
  <r>
    <s v="47"/>
    <s v="47"/>
    <s v="Centrální operační sály "/>
    <x v="43"/>
    <s v="4766"/>
    <s v="operační sály dětské chirurgie"/>
    <s v="4766 - operační sály dětské chirurgie"/>
    <s v="50115066     ostatní ZPr - šicí materiál - robot (sk.Z_531)"/>
    <x v="44"/>
    <x v="1"/>
    <n v="0"/>
    <n v="38.691158211930997"/>
  </r>
  <r>
    <s v="47"/>
    <s v="47"/>
    <s v="Centrální operační sály "/>
    <x v="43"/>
    <s v="4766"/>
    <s v="operační sály dětské chirurgie"/>
    <s v="4766 - operační sály dětské chirurgie"/>
    <s v="50115067     ostatní ZPr - rukavice (sk.Z_532)"/>
    <x v="15"/>
    <x v="0"/>
    <n v="241.50484999999998"/>
    <n v="148.21999590642699"/>
  </r>
  <r>
    <s v="47"/>
    <s v="47"/>
    <s v="Centrální operační sály "/>
    <x v="43"/>
    <s v="4766"/>
    <s v="operační sály dětské chirurgie"/>
    <s v="4766 - operační sály dětské chirurgie"/>
    <s v="50115067     ostatní ZPr - rukavice (sk.Z_532)"/>
    <x v="15"/>
    <x v="1"/>
    <n v="221.42151999999999"/>
    <n v="270.92223027135998"/>
  </r>
  <r>
    <s v="47"/>
    <s v="47"/>
    <s v="Centrální operační sály "/>
    <x v="43"/>
    <s v="4766"/>
    <s v="operační sály dětské chirurgie"/>
    <s v="4766 - operační sály dětské chirurgie"/>
    <s v="50115067     ostatní ZPr - rukavice (sk.Z_532)"/>
    <x v="15"/>
    <x v="2"/>
    <n v="25.01258"/>
    <n v="282.054308910972"/>
  </r>
  <r>
    <s v="47"/>
    <s v="47"/>
    <s v="Centrální operační sály "/>
    <x v="43"/>
    <s v="4766"/>
    <s v="operační sály dětské chirurgie"/>
    <s v="4766 - operační sály dětské chirurgie"/>
    <s v="50115070     ostatní ZPr - katetry (sk.Z_513)"/>
    <x v="16"/>
    <x v="0"/>
    <n v="9.5909999999999993"/>
    <n v="0"/>
  </r>
  <r>
    <s v="47"/>
    <s v="47"/>
    <s v="Centrální operační sály "/>
    <x v="43"/>
    <s v="4766"/>
    <s v="operační sály dětské chirurgie"/>
    <s v="4766 - operační sály dětské chirurgie"/>
    <s v="50115070     ostatní ZPr - katetry (sk.Z_513)"/>
    <x v="16"/>
    <x v="1"/>
    <n v="0"/>
    <n v="9.590954932512"/>
  </r>
  <r>
    <s v="47"/>
    <s v="47"/>
    <s v="Centrální operační sály "/>
    <x v="43"/>
    <s v="4766"/>
    <s v="operační sály dětské chirurgie"/>
    <s v="4766 - operační sály dětské chirurgie"/>
    <s v="50115079     ostatní ZPr - intenzivní péče (sk.Z_542)"/>
    <x v="18"/>
    <x v="2"/>
    <n v="4.1326299999999918"/>
    <n v="0"/>
  </r>
  <r>
    <s v="47"/>
    <s v="47"/>
    <s v="Centrální operační sály "/>
    <x v="43"/>
    <s v="4766"/>
    <s v="operační sály dětské chirurgie"/>
    <s v="4766 - operační sály dětské chirurgie"/>
    <s v="50115080     ostatní ZPr - staplery, extraktory (sk.Z_523)"/>
    <x v="30"/>
    <x v="0"/>
    <n v="636.83348999999998"/>
    <n v="239.70818531929399"/>
  </r>
  <r>
    <s v="47"/>
    <s v="47"/>
    <s v="Centrální operační sály "/>
    <x v="43"/>
    <s v="4766"/>
    <s v="operační sály dětské chirurgie"/>
    <s v="4766 - operační sály dětské chirurgie"/>
    <s v="50115080     ostatní ZPr - staplery, extraktory (sk.Z_523)"/>
    <x v="30"/>
    <x v="1"/>
    <n v="481.01209"/>
    <n v="558.64616479914105"/>
  </r>
  <r>
    <s v="47"/>
    <s v="47"/>
    <s v="Centrální operační sály "/>
    <x v="43"/>
    <s v="4766"/>
    <s v="operační sály dětské chirurgie"/>
    <s v="4766 - operační sály dětské chirurgie"/>
    <s v="50115080     ostatní ZPr - staplery, extraktory (sk.Z_523)"/>
    <x v="30"/>
    <x v="2"/>
    <n v="455.94537000000003"/>
    <n v="624.74293817351702"/>
  </r>
  <r>
    <s v="48"/>
    <s v="48"/>
    <s v="Lékárna"/>
    <x v="44"/>
    <s v="4801"/>
    <s v="lékárna - vedení klinického pracoviště"/>
    <s v="4801 - lékárna - vedení klinického pracoviště"/>
    <s v="50115     Zdravotnické prostředky"/>
    <x v="0"/>
    <x v="1"/>
    <n v="0"/>
    <n v="0.45457419010099998"/>
  </r>
  <r>
    <s v="48"/>
    <s v="48"/>
    <s v="Lékárna"/>
    <x v="44"/>
    <s v="4801"/>
    <s v="lékárna - vedení klinického pracoviště"/>
    <s v="4801 - lékárna - vedení klinického pracoviště"/>
    <s v="50115040     laboratorní materiál (sk.Z_505)"/>
    <x v="11"/>
    <x v="1"/>
    <n v="0"/>
    <n v="0.45457419010099998"/>
  </r>
  <r>
    <s v="48"/>
    <s v="48"/>
    <s v="Lékárna"/>
    <x v="44"/>
    <s v="4802"/>
    <s v="lékárna -výdejna Z (hlavní lékárna)"/>
    <s v="4802 - lékárna -výdejna Z (hlavní lékárna)"/>
    <s v="50113     Léky a léčiva"/>
    <x v="2"/>
    <x v="0"/>
    <n v="198.52159999999901"/>
    <n v="31.113501708483"/>
  </r>
  <r>
    <s v="48"/>
    <s v="48"/>
    <s v="Lékárna"/>
    <x v="44"/>
    <s v="4802"/>
    <s v="lékárna -výdejna Z (hlavní lékárna)"/>
    <s v="4802 - lékárna -výdejna Z (hlavní lékárna)"/>
    <s v="50113     Léky a léčiva"/>
    <x v="2"/>
    <x v="1"/>
    <n v="0"/>
    <n v="14.250467546932001"/>
  </r>
  <r>
    <s v="48"/>
    <s v="48"/>
    <s v="Lékárna"/>
    <x v="44"/>
    <s v="4802"/>
    <s v="lékárna -výdejna Z (hlavní lékárna)"/>
    <s v="4802 - lékárna -výdejna Z (hlavní lékárna)"/>
    <s v="50113     Léky a léčiva"/>
    <x v="2"/>
    <x v="2"/>
    <n v="0.1089"/>
    <n v="0"/>
  </r>
  <r>
    <s v="48"/>
    <s v="48"/>
    <s v="Lékárna"/>
    <x v="44"/>
    <s v="4802"/>
    <s v="lékárna -výdejna Z (hlavní lékárna)"/>
    <s v="4802 - lékárna -výdejna Z (hlavní lékárna)"/>
    <s v="50113001     léky - paušál+TISS (LEK)"/>
    <x v="3"/>
    <x v="0"/>
    <n v="196.40757999999903"/>
    <n v="31.113501708483"/>
  </r>
  <r>
    <s v="48"/>
    <s v="48"/>
    <s v="Lékárna"/>
    <x v="44"/>
    <s v="4802"/>
    <s v="lékárna -výdejna Z (hlavní lékárna)"/>
    <s v="4802 - lékárna -výdejna Z (hlavní lékárna)"/>
    <s v="50113001     léky - paušál+TISS (LEK)"/>
    <x v="3"/>
    <x v="1"/>
    <n v="0"/>
    <n v="16.048716915799002"/>
  </r>
  <r>
    <s v="48"/>
    <s v="48"/>
    <s v="Lékárna"/>
    <x v="44"/>
    <s v="4802"/>
    <s v="lékárna -výdejna Z (hlavní lékárna)"/>
    <s v="4802 - lékárna -výdejna Z (hlavní lékárna)"/>
    <s v="50113001     léky - paušál+TISS (LEK)"/>
    <x v="3"/>
    <x v="2"/>
    <n v="0.1089"/>
    <n v="0"/>
  </r>
  <r>
    <s v="48"/>
    <s v="48"/>
    <s v="Lékárna"/>
    <x v="44"/>
    <s v="4802"/>
    <s v="lékárna -výdejna Z (hlavní lékárna)"/>
    <s v="4802 - lékárna -výdejna Z (hlavní lékárna)"/>
    <s v="50113006     léky - enterální výživa (LEK)"/>
    <x v="4"/>
    <x v="0"/>
    <n v="-1.80094"/>
    <n v="0"/>
  </r>
  <r>
    <s v="48"/>
    <s v="48"/>
    <s v="Lékárna"/>
    <x v="44"/>
    <s v="4802"/>
    <s v="lékárna -výdejna Z (hlavní lékárna)"/>
    <s v="4802 - lékárna -výdejna Z (hlavní lékárna)"/>
    <s v="50113006     léky - enterální výživa (LEK)"/>
    <x v="4"/>
    <x v="1"/>
    <n v="0"/>
    <n v="-1.798249368867"/>
  </r>
  <r>
    <s v="48"/>
    <s v="48"/>
    <s v="Lékárna"/>
    <x v="44"/>
    <s v="4802"/>
    <s v="lékárna -výdejna Z (hlavní lékárna)"/>
    <s v="4802 - lékárna -výdejna Z (hlavní lékárna)"/>
    <s v="50113013     léky (paušál) - antibiotika (LEK)"/>
    <x v="7"/>
    <x v="0"/>
    <n v="3.1884100000000002"/>
    <n v="0"/>
  </r>
  <r>
    <s v="48"/>
    <s v="48"/>
    <s v="Lékárna"/>
    <x v="44"/>
    <s v="4802"/>
    <s v="lékárna -výdejna Z (hlavní lékárna)"/>
    <s v="4802 - lékárna -výdejna Z (hlavní lékárna)"/>
    <s v="50113014     léky (paušál) - antimykotika (LEK)"/>
    <x v="8"/>
    <x v="0"/>
    <n v="0.72654999999999992"/>
    <n v="0"/>
  </r>
  <r>
    <s v="48"/>
    <s v="48"/>
    <s v="Lékárna"/>
    <x v="44"/>
    <s v="4802"/>
    <s v="lékárna -výdejna Z (hlavní lékárna)"/>
    <s v="4802 - lékárna -výdejna Z (hlavní lékárna)"/>
    <s v="50115     Zdravotnické prostředky"/>
    <x v="0"/>
    <x v="0"/>
    <n v="1.5769500000000001"/>
    <n v="26.361524094604999"/>
  </r>
  <r>
    <s v="48"/>
    <s v="48"/>
    <s v="Lékárna"/>
    <x v="44"/>
    <s v="4802"/>
    <s v="lékárna -výdejna Z (hlavní lékárna)"/>
    <s v="4802 - lékárna -výdejna Z (hlavní lékárna)"/>
    <s v="50115     Zdravotnické prostředky"/>
    <x v="0"/>
    <x v="1"/>
    <n v="1.3211999999999999"/>
    <n v="1.7726369832019999"/>
  </r>
  <r>
    <s v="48"/>
    <s v="48"/>
    <s v="Lékárna"/>
    <x v="44"/>
    <s v="4802"/>
    <s v="lékárna -výdejna Z (hlavní lékárna)"/>
    <s v="4802 - lékárna -výdejna Z (hlavní lékárna)"/>
    <s v="50115     Zdravotnické prostředky"/>
    <x v="0"/>
    <x v="2"/>
    <n v="3.7870300000000001"/>
    <n v="1.4598103366720001"/>
  </r>
  <r>
    <s v="48"/>
    <s v="48"/>
    <s v="Lékárna"/>
    <x v="44"/>
    <s v="4802"/>
    <s v="lékárna -výdejna Z (hlavní lékárna)"/>
    <s v="4802 - lékárna -výdejna Z (hlavní lékárna)"/>
    <s v="50115020     diagnostika laboratorní-LEK (sk.Z_501)"/>
    <x v="10"/>
    <x v="0"/>
    <n v="-0.79144000000000003"/>
    <n v="0"/>
  </r>
  <r>
    <s v="48"/>
    <s v="48"/>
    <s v="Lékárna"/>
    <x v="44"/>
    <s v="4802"/>
    <s v="lékárna -výdejna Z (hlavní lékárna)"/>
    <s v="4802 - lékárna -výdejna Z (hlavní lékárna)"/>
    <s v="50115040     laboratorní materiál (sk.Z_505)"/>
    <x v="11"/>
    <x v="0"/>
    <n v="1.0527"/>
    <n v="2.8498422938360002"/>
  </r>
  <r>
    <s v="48"/>
    <s v="48"/>
    <s v="Lékárna"/>
    <x v="44"/>
    <s v="4802"/>
    <s v="lékárna -výdejna Z (hlavní lékárna)"/>
    <s v="4802 - lékárna -výdejna Z (hlavní lékárna)"/>
    <s v="50115040     laboratorní materiál (sk.Z_505)"/>
    <x v="11"/>
    <x v="1"/>
    <n v="0"/>
    <n v="0.45457419010099998"/>
  </r>
  <r>
    <s v="48"/>
    <s v="48"/>
    <s v="Lékárna"/>
    <x v="44"/>
    <s v="4802"/>
    <s v="lékárna -výdejna Z (hlavní lékárna)"/>
    <s v="4802 - lékárna -výdejna Z (hlavní lékárna)"/>
    <s v="50115050     obvazový materiál (sk.Z_502)"/>
    <x v="12"/>
    <x v="0"/>
    <n v="1.0443199999999999"/>
    <n v="4.1979079739209997"/>
  </r>
  <r>
    <s v="48"/>
    <s v="48"/>
    <s v="Lékárna"/>
    <x v="44"/>
    <s v="4802"/>
    <s v="lékárna -výdejna Z (hlavní lékárna)"/>
    <s v="4802 - lékárna -výdejna Z (hlavní lékárna)"/>
    <s v="50115050     obvazový materiál (sk.Z_502)"/>
    <x v="12"/>
    <x v="1"/>
    <n v="0"/>
    <n v="1.0466948374239999"/>
  </r>
  <r>
    <s v="48"/>
    <s v="48"/>
    <s v="Lékárna"/>
    <x v="44"/>
    <s v="4802"/>
    <s v="lékárna -výdejna Z (hlavní lékárna)"/>
    <s v="4802 - lékárna -výdejna Z (hlavní lékárna)"/>
    <s v="50115060     ostatní ZPr - mimo níže uvedené (sk.Z_503)"/>
    <x v="1"/>
    <x v="0"/>
    <n v="0.27137"/>
    <n v="0.311172243972"/>
  </r>
  <r>
    <s v="48"/>
    <s v="48"/>
    <s v="Lékárna"/>
    <x v="44"/>
    <s v="4802"/>
    <s v="lékárna -výdejna Z (hlavní lékárna)"/>
    <s v="4802 - lékárna -výdejna Z (hlavní lékárna)"/>
    <s v="50115060     ostatní ZPr - mimo níže uvedené (sk.Z_503)"/>
    <x v="1"/>
    <x v="1"/>
    <n v="0"/>
    <n v="0.27136795567700001"/>
  </r>
  <r>
    <s v="48"/>
    <s v="48"/>
    <s v="Lékárna"/>
    <x v="44"/>
    <s v="4802"/>
    <s v="lékárna -výdejna Z (hlavní lékárna)"/>
    <s v="4802 - lékárna -výdejna Z (hlavní lékárna)"/>
    <s v="50115060     ostatní ZPr - mimo níže uvedené (sk.Z_503)"/>
    <x v="1"/>
    <x v="2"/>
    <n v="3.7870300000000001"/>
    <n v="0"/>
  </r>
  <r>
    <s v="48"/>
    <s v="48"/>
    <s v="Lékárna"/>
    <x v="44"/>
    <s v="4802"/>
    <s v="lékárna -výdejna Z (hlavní lékárna)"/>
    <s v="4802 - lékárna -výdejna Z (hlavní lékárna)"/>
    <s v="50115067     ostatní ZPr - rukavice (sk.Z_532)"/>
    <x v="15"/>
    <x v="0"/>
    <n v="0"/>
    <n v="19.002601582874"/>
  </r>
  <r>
    <s v="48"/>
    <s v="48"/>
    <s v="Lékárna"/>
    <x v="44"/>
    <s v="4802"/>
    <s v="lékárna -výdejna Z (hlavní lékárna)"/>
    <s v="4802 - lékárna -výdejna Z (hlavní lékárna)"/>
    <s v="50115067     ostatní ZPr - rukavice (sk.Z_532)"/>
    <x v="15"/>
    <x v="1"/>
    <n v="1.3211999999999999"/>
    <n v="0"/>
  </r>
  <r>
    <s v="48"/>
    <s v="48"/>
    <s v="Lékárna"/>
    <x v="44"/>
    <s v="4802"/>
    <s v="lékárna -výdejna Z (hlavní lékárna)"/>
    <s v="4802 - lékárna -výdejna Z (hlavní lékárna)"/>
    <s v="50115067     ostatní ZPr - rukavice (sk.Z_532)"/>
    <x v="15"/>
    <x v="2"/>
    <n v="0"/>
    <n v="1.4598103366720001"/>
  </r>
  <r>
    <s v="48"/>
    <s v="48"/>
    <s v="Lékárna"/>
    <x v="44"/>
    <s v="4804"/>
    <s v="lékárna - výdejna A (monoblok)"/>
    <s v="4804 - lékárna - výdejna A (monoblok)"/>
    <s v="50113     Léky a léčiva"/>
    <x v="2"/>
    <x v="0"/>
    <n v="82.983279999999013"/>
    <n v="59.600922676661"/>
  </r>
  <r>
    <s v="48"/>
    <s v="48"/>
    <s v="Lékárna"/>
    <x v="44"/>
    <s v="4804"/>
    <s v="lékárna - výdejna A (monoblok)"/>
    <s v="4804 - lékárna - výdejna A (monoblok)"/>
    <s v="50113     Léky a léčiva"/>
    <x v="2"/>
    <x v="1"/>
    <n v="0"/>
    <n v="6.9562949714939997"/>
  </r>
  <r>
    <s v="48"/>
    <s v="48"/>
    <s v="Lékárna"/>
    <x v="44"/>
    <s v="4804"/>
    <s v="lékárna - výdejna A (monoblok)"/>
    <s v="4804 - lékárna - výdejna A (monoblok)"/>
    <s v="50113001     léky - paušál+TISS (LEK)"/>
    <x v="3"/>
    <x v="0"/>
    <n v="81.190699999998998"/>
    <n v="59.414436027133"/>
  </r>
  <r>
    <s v="48"/>
    <s v="48"/>
    <s v="Lékárna"/>
    <x v="44"/>
    <s v="4804"/>
    <s v="lékárna - výdejna A (monoblok)"/>
    <s v="4804 - lékárna - výdejna A (monoblok)"/>
    <s v="50113001     léky - paušál+TISS (LEK)"/>
    <x v="3"/>
    <x v="1"/>
    <n v="0"/>
    <n v="6.634196910809"/>
  </r>
  <r>
    <s v="48"/>
    <s v="48"/>
    <s v="Lékárna"/>
    <x v="44"/>
    <s v="4804"/>
    <s v="lékárna - výdejna A (monoblok)"/>
    <s v="4804 - lékárna - výdejna A (monoblok)"/>
    <s v="50113006     léky - enterální výživa (LEK)"/>
    <x v="4"/>
    <x v="0"/>
    <n v="0.32257999999999998"/>
    <n v="0.18648664952800001"/>
  </r>
  <r>
    <s v="48"/>
    <s v="48"/>
    <s v="Lékárna"/>
    <x v="44"/>
    <s v="4804"/>
    <s v="lékárna - výdejna A (monoblok)"/>
    <s v="4804 - lékárna - výdejna A (monoblok)"/>
    <s v="50113006     léky - enterální výživa (LEK)"/>
    <x v="4"/>
    <x v="1"/>
    <n v="0"/>
    <n v="0.32209806068399999"/>
  </r>
  <r>
    <s v="48"/>
    <s v="48"/>
    <s v="Lékárna"/>
    <x v="44"/>
    <s v="4804"/>
    <s v="lékárna - výdejna A (monoblok)"/>
    <s v="4804 - lékárna - výdejna A (monoblok)"/>
    <s v="50113013     léky (paušál) - antibiotika (LEK)"/>
    <x v="7"/>
    <x v="0"/>
    <n v="1.1853099999999999"/>
    <n v="0"/>
  </r>
  <r>
    <s v="48"/>
    <s v="48"/>
    <s v="Lékárna"/>
    <x v="44"/>
    <s v="4804"/>
    <s v="lékárna - výdejna A (monoblok)"/>
    <s v="4804 - lékárna - výdejna A (monoblok)"/>
    <s v="50113014     léky (paušál) - antimykotika (LEK)"/>
    <x v="8"/>
    <x v="0"/>
    <n v="0.28469"/>
    <n v="0"/>
  </r>
  <r>
    <s v="48"/>
    <s v="48"/>
    <s v="Lékárna"/>
    <x v="44"/>
    <s v="4804"/>
    <s v="lékárna - výdejna A (monoblok)"/>
    <s v="4804 - lékárna - výdejna A (monoblok)"/>
    <s v="50115     Zdravotnické prostředky"/>
    <x v="0"/>
    <x v="0"/>
    <n v="1.93005"/>
    <n v="20.902534443328999"/>
  </r>
  <r>
    <s v="48"/>
    <s v="48"/>
    <s v="Lékárna"/>
    <x v="44"/>
    <s v="4804"/>
    <s v="lékárna - výdejna A (monoblok)"/>
    <s v="4804 - lékárna - výdejna A (monoblok)"/>
    <s v="50115     Zdravotnické prostředky"/>
    <x v="0"/>
    <x v="1"/>
    <n v="0.33604000000000001"/>
    <n v="2.3864359677490001"/>
  </r>
  <r>
    <s v="48"/>
    <s v="48"/>
    <s v="Lékárna"/>
    <x v="44"/>
    <s v="4804"/>
    <s v="lékárna - výdejna A (monoblok)"/>
    <s v="4804 - lékárna - výdejna A (monoblok)"/>
    <s v="50115     Zdravotnické prostředky"/>
    <x v="0"/>
    <x v="2"/>
    <n v="6.0139999999999999E-2"/>
    <n v="0"/>
  </r>
  <r>
    <s v="48"/>
    <s v="48"/>
    <s v="Lékárna"/>
    <x v="44"/>
    <s v="4804"/>
    <s v="lékárna - výdejna A (monoblok)"/>
    <s v="4804 - lékárna - výdejna A (monoblok)"/>
    <s v="50115040     laboratorní materiál (sk.Z_505)"/>
    <x v="11"/>
    <x v="0"/>
    <n v="0"/>
    <n v="1.899932860454"/>
  </r>
  <r>
    <s v="48"/>
    <s v="48"/>
    <s v="Lékárna"/>
    <x v="44"/>
    <s v="4804"/>
    <s v="lékárna - výdejna A (monoblok)"/>
    <s v="4804 - lékárna - výdejna A (monoblok)"/>
    <s v="50115040     laboratorní materiál (sk.Z_505)"/>
    <x v="11"/>
    <x v="1"/>
    <n v="0.33604000000000001"/>
    <n v="0.45457419010099998"/>
  </r>
  <r>
    <s v="48"/>
    <s v="48"/>
    <s v="Lékárna"/>
    <x v="44"/>
    <s v="4804"/>
    <s v="lékárna - výdejna A (monoblok)"/>
    <s v="4804 - lékárna - výdejna A (monoblok)"/>
    <s v="50115050     obvazový materiál (sk.Z_502)"/>
    <x v="12"/>
    <x v="0"/>
    <n v="0.80045999999999995"/>
    <n v="0"/>
  </r>
  <r>
    <s v="48"/>
    <s v="48"/>
    <s v="Lékárna"/>
    <x v="44"/>
    <s v="4804"/>
    <s v="lékárna - výdejna A (monoblok)"/>
    <s v="4804 - lékárna - výdejna A (monoblok)"/>
    <s v="50115050     obvazový materiál (sk.Z_502)"/>
    <x v="12"/>
    <x v="1"/>
    <n v="0"/>
    <n v="0.80228028723400002"/>
  </r>
  <r>
    <s v="48"/>
    <s v="48"/>
    <s v="Lékárna"/>
    <x v="44"/>
    <s v="4804"/>
    <s v="lékárna - výdejna A (monoblok)"/>
    <s v="4804 - lékárna - výdejna A (monoblok)"/>
    <s v="50115050     obvazový materiál (sk.Z_502)"/>
    <x v="12"/>
    <x v="2"/>
    <n v="6.0139999999999999E-2"/>
    <n v="0"/>
  </r>
  <r>
    <s v="48"/>
    <s v="48"/>
    <s v="Lékárna"/>
    <x v="44"/>
    <s v="4804"/>
    <s v="lékárna - výdejna A (monoblok)"/>
    <s v="4804 - lékárna - výdejna A (monoblok)"/>
    <s v="50115060     ostatní ZPr - mimo níže uvedené (sk.Z_503)"/>
    <x v="1"/>
    <x v="0"/>
    <n v="1.1295899999999999"/>
    <n v="0"/>
  </r>
  <r>
    <s v="48"/>
    <s v="48"/>
    <s v="Lékárna"/>
    <x v="44"/>
    <s v="4804"/>
    <s v="lékárna - výdejna A (monoblok)"/>
    <s v="4804 - lékárna - výdejna A (monoblok)"/>
    <s v="50115060     ostatní ZPr - mimo níže uvedené (sk.Z_503)"/>
    <x v="1"/>
    <x v="1"/>
    <n v="0"/>
    <n v="1.129581490414"/>
  </r>
  <r>
    <s v="48"/>
    <s v="48"/>
    <s v="Lékárna"/>
    <x v="44"/>
    <s v="4804"/>
    <s v="lékárna - výdejna A (monoblok)"/>
    <s v="4804 - lékárna - výdejna A (monoblok)"/>
    <s v="50115067     ostatní ZPr - rukavice (sk.Z_532)"/>
    <x v="15"/>
    <x v="0"/>
    <n v="0"/>
    <n v="19.002601582874"/>
  </r>
  <r>
    <s v="48"/>
    <s v="48"/>
    <s v="Lékárna"/>
    <x v="44"/>
    <s v="4805"/>
    <s v="lékárna - PZT-FONI"/>
    <s v="4805 - lékárna - PZT-FONI"/>
    <s v="50115     Zdravotnické prostředky"/>
    <x v="0"/>
    <x v="0"/>
    <n v="0"/>
    <n v="16.401324302930998"/>
  </r>
  <r>
    <s v="48"/>
    <s v="48"/>
    <s v="Lékárna"/>
    <x v="44"/>
    <s v="4805"/>
    <s v="lékárna - PZT-FONI"/>
    <s v="4805 - lékárna - PZT-FONI"/>
    <s v="50115     Zdravotnické prostředky"/>
    <x v="0"/>
    <x v="1"/>
    <n v="0"/>
    <n v="0.45457419010099998"/>
  </r>
  <r>
    <s v="48"/>
    <s v="48"/>
    <s v="Lékárna"/>
    <x v="44"/>
    <s v="4805"/>
    <s v="lékárna - PZT-FONI"/>
    <s v="4805 - lékárna - PZT-FONI"/>
    <s v="50115040     laboratorní materiál (sk.Z_505)"/>
    <x v="11"/>
    <x v="0"/>
    <n v="0"/>
    <n v="1.899932860454"/>
  </r>
  <r>
    <s v="48"/>
    <s v="48"/>
    <s v="Lékárna"/>
    <x v="44"/>
    <s v="4805"/>
    <s v="lékárna - PZT-FONI"/>
    <s v="4805 - lékárna - PZT-FONI"/>
    <s v="50115040     laboratorní materiál (sk.Z_505)"/>
    <x v="11"/>
    <x v="1"/>
    <n v="0"/>
    <n v="0.45457419010099998"/>
  </r>
  <r>
    <s v="48"/>
    <s v="48"/>
    <s v="Lékárna"/>
    <x v="44"/>
    <s v="4805"/>
    <s v="lékárna - PZT-FONI"/>
    <s v="4805 - lékárna - PZT-FONI"/>
    <s v="50115067     ostatní ZPr - rukavice (sk.Z_532)"/>
    <x v="15"/>
    <x v="0"/>
    <n v="0"/>
    <n v="14.501391442476001"/>
  </r>
  <r>
    <s v="48"/>
    <s v="48"/>
    <s v="Lékárna"/>
    <x v="44"/>
    <s v="4806"/>
    <s v="lékárna - výdej HVLP"/>
    <s v="4806 - lékárna - výdej HVLP"/>
    <s v="50113     Léky a léčiva"/>
    <x v="2"/>
    <x v="0"/>
    <n v="-663.32689000000107"/>
    <n v="68.837955756754994"/>
  </r>
  <r>
    <s v="48"/>
    <s v="48"/>
    <s v="Lékárna"/>
    <x v="44"/>
    <s v="4806"/>
    <s v="lékárna - výdej HVLP"/>
    <s v="4806 - lékárna - výdej HVLP"/>
    <s v="50113     Léky a léčiva"/>
    <x v="2"/>
    <x v="1"/>
    <n v="-615.12319000000286"/>
    <n v="7.096682179908"/>
  </r>
  <r>
    <s v="48"/>
    <s v="48"/>
    <s v="Lékárna"/>
    <x v="44"/>
    <s v="4806"/>
    <s v="lékárna - výdej HVLP"/>
    <s v="4806 - lékárna - výdej HVLP"/>
    <s v="50113     Léky a léčiva"/>
    <x v="2"/>
    <x v="2"/>
    <n v="-0.20885000000000001"/>
    <n v="9.1917787388870007"/>
  </r>
  <r>
    <s v="48"/>
    <s v="48"/>
    <s v="Lékárna"/>
    <x v="44"/>
    <s v="4806"/>
    <s v="lékárna - výdej HVLP"/>
    <s v="4806 - lékárna - výdej HVLP"/>
    <s v="50113001     léky - paušál+TISS (LEK)"/>
    <x v="3"/>
    <x v="0"/>
    <n v="21.509400000000003"/>
    <n v="68.837955756754994"/>
  </r>
  <r>
    <s v="48"/>
    <s v="48"/>
    <s v="Lékárna"/>
    <x v="44"/>
    <s v="4806"/>
    <s v="lékárna - výdej HVLP"/>
    <s v="4806 - lékárna - výdej HVLP"/>
    <s v="50113001     léky - paušál+TISS (LEK)"/>
    <x v="3"/>
    <x v="1"/>
    <n v="7.9034400000000007"/>
    <n v="1.757560841738"/>
  </r>
  <r>
    <s v="48"/>
    <s v="48"/>
    <s v="Lékárna"/>
    <x v="44"/>
    <s v="4806"/>
    <s v="lékárna - výdej HVLP"/>
    <s v="4806 - lékárna - výdej HVLP"/>
    <s v="50113001     léky - paušál+TISS (LEK)"/>
    <x v="3"/>
    <x v="2"/>
    <n v="-0.20885000000000001"/>
    <n v="9.1065796821039999"/>
  </r>
  <r>
    <s v="48"/>
    <s v="48"/>
    <s v="Lékárna"/>
    <x v="44"/>
    <s v="4806"/>
    <s v="lékárna - výdej HVLP"/>
    <s v="4806 - lékárna - výdej HVLP"/>
    <s v="50113006     léky - enterální výživa (LEK)"/>
    <x v="4"/>
    <x v="0"/>
    <n v="5.3471099999999998"/>
    <n v="0"/>
  </r>
  <r>
    <s v="48"/>
    <s v="48"/>
    <s v="Lékárna"/>
    <x v="44"/>
    <s v="4806"/>
    <s v="lékárna - výdej HVLP"/>
    <s v="4806 - lékárna - výdej HVLP"/>
    <s v="50113006     léky - enterální výživa (LEK)"/>
    <x v="4"/>
    <x v="1"/>
    <n v="0"/>
    <n v="5.3391213381689999"/>
  </r>
  <r>
    <s v="48"/>
    <s v="48"/>
    <s v="Lékárna"/>
    <x v="44"/>
    <s v="4806"/>
    <s v="lékárna - výdej HVLP"/>
    <s v="4806 - lékárna - výdej HVLP"/>
    <s v="50113009     léky - RTG diagnostika ZUL (LEK)"/>
    <x v="22"/>
    <x v="1"/>
    <n v="8.9069999999999996E-2"/>
    <n v="0"/>
  </r>
  <r>
    <s v="48"/>
    <s v="48"/>
    <s v="Lékárna"/>
    <x v="44"/>
    <s v="4806"/>
    <s v="lékárna - výdej HVLP"/>
    <s v="4806 - lékárna - výdej HVLP"/>
    <s v="50113009     léky - RTG diagnostika ZUL (LEK)"/>
    <x v="22"/>
    <x v="2"/>
    <n v="0"/>
    <n v="8.5199056782999993E-2"/>
  </r>
  <r>
    <s v="48"/>
    <s v="48"/>
    <s v="Lékárna"/>
    <x v="44"/>
    <s v="4806"/>
    <s v="lékárna - výdej HVLP"/>
    <s v="4806 - lékárna - výdej HVLP"/>
    <s v="50113013     léky (paušál) - antibiotika (LEK)"/>
    <x v="7"/>
    <x v="0"/>
    <n v="-0.43640000000000001"/>
    <n v="0"/>
  </r>
  <r>
    <s v="48"/>
    <s v="48"/>
    <s v="Lékárna"/>
    <x v="44"/>
    <s v="4806"/>
    <s v="lékárna - výdej HVLP"/>
    <s v="4806 - lékárna - výdej HVLP"/>
    <s v="50113014     léky (paušál) - antimykotika (LEK)"/>
    <x v="8"/>
    <x v="0"/>
    <n v="0.45527000000000001"/>
    <n v="0"/>
  </r>
  <r>
    <s v="48"/>
    <s v="48"/>
    <s v="Lékárna"/>
    <x v="44"/>
    <s v="4806"/>
    <s v="lékárna - výdej HVLP"/>
    <s v="4806 - lékárna - výdej HVLP"/>
    <s v="50113300     léky - finanční bonusy"/>
    <x v="62"/>
    <x v="0"/>
    <n v="-690.20226999999988"/>
    <n v="0"/>
  </r>
  <r>
    <s v="48"/>
    <s v="48"/>
    <s v="Lékárna"/>
    <x v="44"/>
    <s v="4806"/>
    <s v="lékárna - výdej HVLP"/>
    <s v="4806 - lékárna - výdej HVLP"/>
    <s v="50113300     léky - finanční bonusy"/>
    <x v="62"/>
    <x v="1"/>
    <n v="-623.11570000000302"/>
    <n v="0"/>
  </r>
  <r>
    <s v="48"/>
    <s v="48"/>
    <s v="Lékárna"/>
    <x v="44"/>
    <s v="4806"/>
    <s v="lékárna - výdej HVLP"/>
    <s v="4806 - lékárna - výdej HVLP"/>
    <s v="50115     Zdravotnické prostředky"/>
    <x v="0"/>
    <x v="0"/>
    <n v="16.428009999999997"/>
    <n v="62.334053318770003"/>
  </r>
  <r>
    <s v="48"/>
    <s v="48"/>
    <s v="Lékárna"/>
    <x v="44"/>
    <s v="4806"/>
    <s v="lékárna - výdej HVLP"/>
    <s v="4806 - lékárna - výdej HVLP"/>
    <s v="50115     Zdravotnické prostředky"/>
    <x v="0"/>
    <x v="1"/>
    <n v="60.890120000000017"/>
    <n v="14.60644620163"/>
  </r>
  <r>
    <s v="48"/>
    <s v="48"/>
    <s v="Lékárna"/>
    <x v="44"/>
    <s v="4806"/>
    <s v="lékárna - výdej HVLP"/>
    <s v="4806 - lékárna - výdej HVLP"/>
    <s v="50115     Zdravotnické prostředky"/>
    <x v="0"/>
    <x v="2"/>
    <n v="1.1913899999999999"/>
    <n v="73.517090486434995"/>
  </r>
  <r>
    <s v="48"/>
    <s v="48"/>
    <s v="Lékárna"/>
    <x v="44"/>
    <s v="4806"/>
    <s v="lékárna - výdej HVLP"/>
    <s v="4806 - lékárna - výdej HVLP"/>
    <s v="50115020     diagnostika laboratorní-LEK (sk.Z_501)"/>
    <x v="10"/>
    <x v="0"/>
    <n v="3.8837599999999997"/>
    <n v="16.533418374936002"/>
  </r>
  <r>
    <s v="48"/>
    <s v="48"/>
    <s v="Lékárna"/>
    <x v="44"/>
    <s v="4806"/>
    <s v="lékárna - výdej HVLP"/>
    <s v="4806 - lékárna - výdej HVLP"/>
    <s v="50115020     diagnostika laboratorní-LEK (sk.Z_501)"/>
    <x v="10"/>
    <x v="1"/>
    <n v="48.112270000000002"/>
    <n v="2.9999950233349999"/>
  </r>
  <r>
    <s v="48"/>
    <s v="48"/>
    <s v="Lékárna"/>
    <x v="44"/>
    <s v="4806"/>
    <s v="lékárna - výdej HVLP"/>
    <s v="4806 - lékárna - výdej HVLP"/>
    <s v="50115020     diagnostika laboratorní-LEK (sk.Z_501)"/>
    <x v="10"/>
    <x v="2"/>
    <n v="0"/>
    <n v="54.999998267633003"/>
  </r>
  <r>
    <s v="48"/>
    <s v="48"/>
    <s v="Lékárna"/>
    <x v="44"/>
    <s v="4806"/>
    <s v="lékárna - výdej HVLP"/>
    <s v="4806 - lékárna - výdej HVLP"/>
    <s v="50115040     laboratorní materiál (sk.Z_505)"/>
    <x v="11"/>
    <x v="0"/>
    <n v="3.4342999999999999"/>
    <n v="8.1000484222820006"/>
  </r>
  <r>
    <s v="48"/>
    <s v="48"/>
    <s v="Lékárna"/>
    <x v="44"/>
    <s v="4806"/>
    <s v="lékárna - výdej HVLP"/>
    <s v="4806 - lékárna - výdej HVLP"/>
    <s v="50115040     laboratorní materiál (sk.Z_505)"/>
    <x v="11"/>
    <x v="1"/>
    <n v="5.5437500000000002"/>
    <n v="0.45457419010099998"/>
  </r>
  <r>
    <s v="48"/>
    <s v="48"/>
    <s v="Lékárna"/>
    <x v="44"/>
    <s v="4806"/>
    <s v="lékárna - výdej HVLP"/>
    <s v="4806 - lékárna - výdej HVLP"/>
    <s v="50115040     laboratorní materiál (sk.Z_505)"/>
    <x v="11"/>
    <x v="2"/>
    <n v="0.62339"/>
    <n v="7.9999997480190004"/>
  </r>
  <r>
    <s v="48"/>
    <s v="48"/>
    <s v="Lékárna"/>
    <x v="44"/>
    <s v="4806"/>
    <s v="lékárna - výdej HVLP"/>
    <s v="4806 - lékárna - výdej HVLP"/>
    <s v="50115050     obvazový materiál (sk.Z_502)"/>
    <x v="12"/>
    <x v="0"/>
    <n v="0.89485999999999999"/>
    <n v="4.1979079739209997"/>
  </r>
  <r>
    <s v="48"/>
    <s v="48"/>
    <s v="Lékárna"/>
    <x v="44"/>
    <s v="4806"/>
    <s v="lékárna - výdej HVLP"/>
    <s v="4806 - lékárna - výdej HVLP"/>
    <s v="50115050     obvazový materiál (sk.Z_502)"/>
    <x v="12"/>
    <x v="1"/>
    <n v="3.49912"/>
    <n v="2.896894957692"/>
  </r>
  <r>
    <s v="48"/>
    <s v="48"/>
    <s v="Lékárna"/>
    <x v="44"/>
    <s v="4806"/>
    <s v="lékárna - výdej HVLP"/>
    <s v="4806 - lékárna - výdej HVLP"/>
    <s v="50115050     obvazový materiál (sk.Z_502)"/>
    <x v="12"/>
    <x v="2"/>
    <n v="0"/>
    <n v="6.6968984460619998"/>
  </r>
  <r>
    <s v="48"/>
    <s v="48"/>
    <s v="Lékárna"/>
    <x v="44"/>
    <s v="4806"/>
    <s v="lékárna - výdej HVLP"/>
    <s v="4806 - lékárna - výdej HVLP"/>
    <s v="50115060     ostatní ZPr - mimo níže uvedené (sk.Z_503)"/>
    <x v="1"/>
    <x v="0"/>
    <n v="5.3930900000000008"/>
    <n v="13.549986790995"/>
  </r>
  <r>
    <s v="48"/>
    <s v="48"/>
    <s v="Lékárna"/>
    <x v="44"/>
    <s v="4806"/>
    <s v="lékárna - výdej HVLP"/>
    <s v="4806 - lékárna - výdej HVLP"/>
    <s v="50115060     ostatní ZPr - mimo níže uvedené (sk.Z_503)"/>
    <x v="1"/>
    <x v="1"/>
    <n v="2.44598"/>
    <n v="5.3930493720179999"/>
  </r>
  <r>
    <s v="48"/>
    <s v="48"/>
    <s v="Lékárna"/>
    <x v="44"/>
    <s v="4806"/>
    <s v="lékárna - výdej HVLP"/>
    <s v="4806 - lékárna - výdej HVLP"/>
    <s v="50115060     ostatní ZPr - mimo níže uvedené (sk.Z_503)"/>
    <x v="1"/>
    <x v="2"/>
    <n v="0"/>
    <n v="2.3875555521280001"/>
  </r>
  <r>
    <s v="48"/>
    <s v="48"/>
    <s v="Lékárna"/>
    <x v="44"/>
    <s v="4806"/>
    <s v="lékárna - výdej HVLP"/>
    <s v="4806 - lékárna - výdej HVLP"/>
    <s v="50115065     ostatní ZPr - vpichovací materiál (sk.Z_530)"/>
    <x v="14"/>
    <x v="1"/>
    <n v="0.129"/>
    <n v="0"/>
  </r>
  <r>
    <s v="48"/>
    <s v="48"/>
    <s v="Lékárna"/>
    <x v="44"/>
    <s v="4806"/>
    <s v="lékárna - výdej HVLP"/>
    <s v="4806 - lékárna - výdej HVLP"/>
    <s v="50115065     ostatní ZPr - vpichovací materiál (sk.Z_530)"/>
    <x v="14"/>
    <x v="2"/>
    <n v="0"/>
    <n v="0.15094002380300001"/>
  </r>
  <r>
    <s v="48"/>
    <s v="48"/>
    <s v="Lékárna"/>
    <x v="44"/>
    <s v="4806"/>
    <s v="lékárna - výdej HVLP"/>
    <s v="4806 - lékárna - výdej HVLP"/>
    <s v="50115067     ostatní ZPr - rukavice (sk.Z_532)"/>
    <x v="15"/>
    <x v="0"/>
    <n v="2.8219999999999996"/>
    <n v="19.952691756634"/>
  </r>
  <r>
    <s v="48"/>
    <s v="48"/>
    <s v="Lékárna"/>
    <x v="44"/>
    <s v="4806"/>
    <s v="lékárna - výdej HVLP"/>
    <s v="4806 - lékárna - výdej HVLP"/>
    <s v="50115067     ostatní ZPr - rukavice (sk.Z_532)"/>
    <x v="15"/>
    <x v="1"/>
    <n v="1.1599999999999999"/>
    <n v="2.861932658482"/>
  </r>
  <r>
    <s v="48"/>
    <s v="48"/>
    <s v="Lékárna"/>
    <x v="44"/>
    <s v="4806"/>
    <s v="lékárna - výdej HVLP"/>
    <s v="4806 - lékárna - výdej HVLP"/>
    <s v="50115067     ostatní ZPr - rukavice (sk.Z_532)"/>
    <x v="15"/>
    <x v="2"/>
    <n v="0.56799999999999995"/>
    <n v="1.2816984487880001"/>
  </r>
  <r>
    <s v="48"/>
    <s v="48"/>
    <s v="Lékárna"/>
    <x v="44"/>
    <s v="4807"/>
    <m/>
    <s v="4807 - "/>
    <s v="50113     Léky a léčiva"/>
    <x v="2"/>
    <x v="0"/>
    <n v="-27.948250000000009"/>
    <n v="748.25663041126904"/>
  </r>
  <r>
    <s v="48"/>
    <s v="48"/>
    <s v="Lékárna"/>
    <x v="44"/>
    <s v="4807"/>
    <m/>
    <s v="4807 - "/>
    <s v="50113     Léky a léčiva"/>
    <x v="2"/>
    <x v="1"/>
    <n v="70.662170000000003"/>
    <n v="8.1584368810070007"/>
  </r>
  <r>
    <s v="48"/>
    <s v="48"/>
    <s v="Lékárna"/>
    <x v="44"/>
    <s v="4807"/>
    <m/>
    <s v="4807 - "/>
    <s v="50113     Léky a léčiva"/>
    <x v="2"/>
    <x v="2"/>
    <n v="0"/>
    <n v="67.355708489736998"/>
  </r>
  <r>
    <s v="48"/>
    <s v="48"/>
    <s v="Lékárna"/>
    <x v="44"/>
    <s v="4807"/>
    <m/>
    <s v="4807 - "/>
    <s v="50113001     léky - paušál+TISS (LEK)"/>
    <x v="3"/>
    <x v="0"/>
    <n v="99.844669999999994"/>
    <n v="748.25629041126899"/>
  </r>
  <r>
    <s v="48"/>
    <s v="48"/>
    <s v="Lékárna"/>
    <x v="44"/>
    <s v="4807"/>
    <m/>
    <s v="4807 - "/>
    <s v="50113001     léky - paušál+TISS (LEK)"/>
    <x v="3"/>
    <x v="1"/>
    <n v="84.209469999999996"/>
    <n v="8.1584368810070007"/>
  </r>
  <r>
    <s v="48"/>
    <s v="48"/>
    <s v="Lékárna"/>
    <x v="44"/>
    <s v="4807"/>
    <m/>
    <s v="4807 - "/>
    <s v="50113001     léky - paušál+TISS (LEK)"/>
    <x v="3"/>
    <x v="2"/>
    <n v="0"/>
    <n v="67.355708489736998"/>
  </r>
  <r>
    <s v="48"/>
    <s v="48"/>
    <s v="Lékárna"/>
    <x v="44"/>
    <s v="4807"/>
    <m/>
    <s v="4807 - "/>
    <s v="50113016     léky - spotřeba v centrech (LEK)"/>
    <x v="39"/>
    <x v="0"/>
    <n v="0"/>
    <n v="3.4000000000000002E-4"/>
  </r>
  <r>
    <s v="48"/>
    <s v="48"/>
    <s v="Lékárna"/>
    <x v="44"/>
    <s v="4807"/>
    <m/>
    <s v="4807 - "/>
    <s v="50113300     léky - finanční bonusy"/>
    <x v="62"/>
    <x v="0"/>
    <n v="-127.792919999999"/>
    <n v="0"/>
  </r>
  <r>
    <s v="48"/>
    <s v="48"/>
    <s v="Lékárna"/>
    <x v="44"/>
    <s v="4807"/>
    <m/>
    <s v="4807 - "/>
    <s v="50113300     léky - finanční bonusy"/>
    <x v="62"/>
    <x v="1"/>
    <n v="-13.5473"/>
    <n v="0"/>
  </r>
  <r>
    <s v="48"/>
    <s v="48"/>
    <s v="Lékárna"/>
    <x v="44"/>
    <s v="4807"/>
    <m/>
    <s v="4807 - "/>
    <s v="50115     Zdravotnické prostředky"/>
    <x v="0"/>
    <x v="0"/>
    <n v="2529.4612800000004"/>
    <n v="192.64890938147701"/>
  </r>
  <r>
    <s v="48"/>
    <s v="48"/>
    <s v="Lékárna"/>
    <x v="44"/>
    <s v="4807"/>
    <m/>
    <s v="4807 - "/>
    <s v="50115     Zdravotnické prostředky"/>
    <x v="0"/>
    <x v="1"/>
    <n v="2791.7189200000016"/>
    <n v="2820.0212164752002"/>
  </r>
  <r>
    <s v="48"/>
    <s v="48"/>
    <s v="Lékárna"/>
    <x v="44"/>
    <s v="4807"/>
    <m/>
    <s v="4807 - "/>
    <s v="50115001     implant.umělé těl.náhr.-kardiostim. (sk.Z_517)"/>
    <x v="23"/>
    <x v="1"/>
    <n v="0"/>
    <n v="0"/>
  </r>
  <r>
    <s v="48"/>
    <s v="48"/>
    <s v="Lékárna"/>
    <x v="44"/>
    <s v="4807"/>
    <m/>
    <s v="4807 - "/>
    <s v="50115040     laboratorní materiál (sk.Z_505)"/>
    <x v="11"/>
    <x v="0"/>
    <n v="0"/>
    <n v="3.7997517272180001"/>
  </r>
  <r>
    <s v="48"/>
    <s v="48"/>
    <s v="Lékárna"/>
    <x v="44"/>
    <s v="4807"/>
    <m/>
    <s v="4807 - "/>
    <s v="50115040     laboratorní materiál (sk.Z_505)"/>
    <x v="11"/>
    <x v="1"/>
    <n v="0"/>
    <n v="0.45457419010099998"/>
  </r>
  <r>
    <s v="48"/>
    <s v="48"/>
    <s v="Lékárna"/>
    <x v="44"/>
    <s v="4807"/>
    <m/>
    <s v="4807 - "/>
    <s v="50115050     obvazový materiál (sk.Z_502)"/>
    <x v="12"/>
    <x v="0"/>
    <n v="18.844920000000002"/>
    <n v="17.841023387417"/>
  </r>
  <r>
    <s v="48"/>
    <s v="48"/>
    <s v="Lékárna"/>
    <x v="44"/>
    <s v="4807"/>
    <m/>
    <s v="4807 - "/>
    <s v="50115050     obvazový materiál (sk.Z_502)"/>
    <x v="12"/>
    <x v="1"/>
    <n v="23.814109999999999"/>
    <n v="19.887775394782"/>
  </r>
  <r>
    <s v="48"/>
    <s v="48"/>
    <s v="Lékárna"/>
    <x v="44"/>
    <s v="4807"/>
    <m/>
    <s v="4807 - "/>
    <s v="50115060     ostatní ZPr - mimo níže uvedené (sk.Z_503)"/>
    <x v="1"/>
    <x v="0"/>
    <n v="1196.60292"/>
    <n v="110.04161095960301"/>
  </r>
  <r>
    <s v="48"/>
    <s v="48"/>
    <s v="Lékárna"/>
    <x v="44"/>
    <s v="4807"/>
    <m/>
    <s v="4807 - "/>
    <s v="50115060     ostatní ZPr - mimo níže uvedené (sk.Z_503)"/>
    <x v="1"/>
    <x v="1"/>
    <n v="1227.8034900000009"/>
    <n v="1286.9925312595601"/>
  </r>
  <r>
    <s v="48"/>
    <s v="48"/>
    <s v="Lékárna"/>
    <x v="44"/>
    <s v="4807"/>
    <m/>
    <s v="4807 - "/>
    <s v="50115063     ostatní ZPr - vaky, sety (sk.Z_528)"/>
    <x v="13"/>
    <x v="0"/>
    <n v="1078.2319200000002"/>
    <n v="0"/>
  </r>
  <r>
    <s v="48"/>
    <s v="48"/>
    <s v="Lékárna"/>
    <x v="44"/>
    <s v="4807"/>
    <m/>
    <s v="4807 - "/>
    <s v="50115063     ostatní ZPr - vaky, sety (sk.Z_528)"/>
    <x v="13"/>
    <x v="1"/>
    <n v="1277.367670000001"/>
    <n v="1272.99954771068"/>
  </r>
  <r>
    <s v="48"/>
    <s v="48"/>
    <s v="Lékárna"/>
    <x v="44"/>
    <s v="4807"/>
    <m/>
    <s v="4807 - "/>
    <s v="50115065     ostatní ZPr - vpichovací materiál (sk.Z_530)"/>
    <x v="14"/>
    <x v="0"/>
    <n v="48.763999999998994"/>
    <n v="0"/>
  </r>
  <r>
    <s v="48"/>
    <s v="48"/>
    <s v="Lékárna"/>
    <x v="44"/>
    <s v="4807"/>
    <m/>
    <s v="4807 - "/>
    <s v="50115065     ostatní ZPr - vpichovací materiál (sk.Z_530)"/>
    <x v="14"/>
    <x v="1"/>
    <n v="57.183749999999996"/>
    <n v="50.022879983692"/>
  </r>
  <r>
    <s v="48"/>
    <s v="48"/>
    <s v="Lékárna"/>
    <x v="44"/>
    <s v="4807"/>
    <m/>
    <s v="4807 - "/>
    <s v="50115067     ostatní ZPr - rukavice (sk.Z_532)"/>
    <x v="15"/>
    <x v="0"/>
    <n v="187.017519999999"/>
    <n v="60.966523307237999"/>
  </r>
  <r>
    <s v="48"/>
    <s v="48"/>
    <s v="Lékárna"/>
    <x v="44"/>
    <s v="4807"/>
    <m/>
    <s v="4807 - "/>
    <s v="50115067     ostatní ZPr - rukavice (sk.Z_532)"/>
    <x v="15"/>
    <x v="1"/>
    <n v="205.54990000000001"/>
    <n v="189.66390793638101"/>
  </r>
  <r>
    <s v="48"/>
    <s v="48"/>
    <s v="Lékárna"/>
    <x v="44"/>
    <s v="4808"/>
    <m/>
    <s v="4808 - "/>
    <s v="50113     Léky a léčiva"/>
    <x v="2"/>
    <x v="0"/>
    <n v="0.30176999999999998"/>
    <n v="0.28984690369100002"/>
  </r>
  <r>
    <s v="48"/>
    <s v="48"/>
    <s v="Lékárna"/>
    <x v="44"/>
    <s v="4808"/>
    <m/>
    <s v="4808 - "/>
    <s v="50113     Léky a léčiva"/>
    <x v="2"/>
    <x v="1"/>
    <n v="0"/>
    <n v="2.4658016272E-2"/>
  </r>
  <r>
    <s v="48"/>
    <s v="48"/>
    <s v="Lékárna"/>
    <x v="44"/>
    <s v="4808"/>
    <m/>
    <s v="4808 - "/>
    <s v="50113001     léky - paušál+TISS (LEK)"/>
    <x v="3"/>
    <x v="0"/>
    <n v="0.30176999999999998"/>
    <n v="0.28984690369100002"/>
  </r>
  <r>
    <s v="48"/>
    <s v="48"/>
    <s v="Lékárna"/>
    <x v="44"/>
    <s v="4808"/>
    <m/>
    <s v="4808 - "/>
    <s v="50113001     léky - paušál+TISS (LEK)"/>
    <x v="3"/>
    <x v="1"/>
    <n v="0"/>
    <n v="2.4658016272E-2"/>
  </r>
  <r>
    <s v="48"/>
    <s v="48"/>
    <s v="Lékárna"/>
    <x v="44"/>
    <s v="4808"/>
    <m/>
    <s v="4808 - "/>
    <s v="50115     Zdravotnické prostředky"/>
    <x v="0"/>
    <x v="0"/>
    <n v="3.297539999999"/>
    <n v="20.902534443328999"/>
  </r>
  <r>
    <s v="48"/>
    <s v="48"/>
    <s v="Lékárna"/>
    <x v="44"/>
    <s v="4808"/>
    <m/>
    <s v="4808 - "/>
    <s v="50115     Zdravotnické prostředky"/>
    <x v="0"/>
    <x v="1"/>
    <n v="4.2999999899999999E-4"/>
    <n v="3.7551717624340002"/>
  </r>
  <r>
    <s v="48"/>
    <s v="48"/>
    <s v="Lékárna"/>
    <x v="44"/>
    <s v="4808"/>
    <m/>
    <s v="4808 - "/>
    <s v="50115     Zdravotnické prostředky"/>
    <x v="0"/>
    <x v="2"/>
    <n v="0"/>
    <n v="4.0942269399999999E-4"/>
  </r>
  <r>
    <s v="48"/>
    <s v="48"/>
    <s v="Lékárna"/>
    <x v="44"/>
    <s v="4808"/>
    <m/>
    <s v="4808 - "/>
    <s v="50115040     laboratorní materiál (sk.Z_505)"/>
    <x v="11"/>
    <x v="0"/>
    <n v="0"/>
    <n v="1.899932860454"/>
  </r>
  <r>
    <s v="48"/>
    <s v="48"/>
    <s v="Lékárna"/>
    <x v="44"/>
    <s v="4808"/>
    <m/>
    <s v="4808 - "/>
    <s v="50115040     laboratorní materiál (sk.Z_505)"/>
    <x v="11"/>
    <x v="1"/>
    <n v="0"/>
    <n v="0.45457419010099998"/>
  </r>
  <r>
    <s v="48"/>
    <s v="48"/>
    <s v="Lékárna"/>
    <x v="44"/>
    <s v="4808"/>
    <m/>
    <s v="4808 - "/>
    <s v="50115050     obvazový materiál (sk.Z_502)"/>
    <x v="12"/>
    <x v="0"/>
    <n v="0.32090999999899994"/>
    <n v="0"/>
  </r>
  <r>
    <s v="48"/>
    <s v="48"/>
    <s v="Lékárna"/>
    <x v="44"/>
    <s v="4808"/>
    <m/>
    <s v="4808 - "/>
    <s v="50115050     obvazový materiál (sk.Z_502)"/>
    <x v="12"/>
    <x v="1"/>
    <n v="4.2999999899999999E-4"/>
    <n v="0.32163976585499998"/>
  </r>
  <r>
    <s v="48"/>
    <s v="48"/>
    <s v="Lékárna"/>
    <x v="44"/>
    <s v="4808"/>
    <m/>
    <s v="4808 - "/>
    <s v="50115050     obvazový materiál (sk.Z_502)"/>
    <x v="12"/>
    <x v="2"/>
    <n v="0"/>
    <n v="4.0942269399999999E-4"/>
  </r>
  <r>
    <s v="48"/>
    <s v="48"/>
    <s v="Lékárna"/>
    <x v="44"/>
    <s v="4808"/>
    <m/>
    <s v="4808 - "/>
    <s v="50115060     ostatní ZPr - mimo níže uvedené (sk.Z_503)"/>
    <x v="1"/>
    <x v="0"/>
    <n v="2.8106299999990001"/>
    <n v="0"/>
  </r>
  <r>
    <s v="48"/>
    <s v="48"/>
    <s v="Lékárna"/>
    <x v="44"/>
    <s v="4808"/>
    <m/>
    <s v="4808 - "/>
    <s v="50115060     ostatní ZPr - mimo níže uvedené (sk.Z_503)"/>
    <x v="1"/>
    <x v="1"/>
    <n v="0"/>
    <n v="2.810608826568"/>
  </r>
  <r>
    <s v="48"/>
    <s v="48"/>
    <s v="Lékárna"/>
    <x v="44"/>
    <s v="4808"/>
    <m/>
    <s v="4808 - "/>
    <s v="50115067     ostatní ZPr - rukavice (sk.Z_532)"/>
    <x v="15"/>
    <x v="0"/>
    <n v="0.16600000000000001"/>
    <n v="19.002601582874"/>
  </r>
  <r>
    <s v="48"/>
    <s v="48"/>
    <s v="Lékárna"/>
    <x v="44"/>
    <s v="4808"/>
    <m/>
    <s v="4808 - "/>
    <s v="50115067     ostatní ZPr - rukavice (sk.Z_532)"/>
    <x v="15"/>
    <x v="1"/>
    <n v="0"/>
    <n v="0.16834897991"/>
  </r>
  <r>
    <s v="48"/>
    <s v="48"/>
    <s v="Lékárna"/>
    <x v="44"/>
    <s v="4809"/>
    <s v="lékárna - výdejna léků - Puškinova ul."/>
    <s v="4809 - lékárna - výdejna léků - Puškinova ul."/>
    <s v="50113     Léky a léčiva"/>
    <x v="2"/>
    <x v="0"/>
    <n v="42.659549999999996"/>
    <n v="18.204365524816001"/>
  </r>
  <r>
    <s v="48"/>
    <s v="48"/>
    <s v="Lékárna"/>
    <x v="44"/>
    <s v="4809"/>
    <s v="lékárna - výdejna léků - Puškinova ul."/>
    <s v="4809 - lékárna - výdejna léků - Puškinova ul."/>
    <s v="50113     Léky a léčiva"/>
    <x v="2"/>
    <x v="1"/>
    <n v="6.88E-2"/>
    <n v="3.7166339207050001"/>
  </r>
  <r>
    <s v="48"/>
    <s v="48"/>
    <s v="Lékárna"/>
    <x v="44"/>
    <s v="4809"/>
    <s v="lékárna - výdejna léků - Puškinova ul."/>
    <s v="4809 - lékárna - výdejna léků - Puškinova ul."/>
    <s v="50113     Léky a léčiva"/>
    <x v="2"/>
    <x v="2"/>
    <n v="0"/>
    <n v="5.9622251798000001E-2"/>
  </r>
  <r>
    <s v="48"/>
    <s v="48"/>
    <s v="Lékárna"/>
    <x v="44"/>
    <s v="4809"/>
    <s v="lékárna - výdejna léků - Puškinova ul."/>
    <s v="4809 - lékárna - výdejna léků - Puškinova ul."/>
    <s v="50113001     léky - paušál+TISS (LEK)"/>
    <x v="3"/>
    <x v="0"/>
    <n v="41.322719999999997"/>
    <n v="17.839204987965999"/>
  </r>
  <r>
    <s v="48"/>
    <s v="48"/>
    <s v="Lékárna"/>
    <x v="44"/>
    <s v="4809"/>
    <s v="lékárna - výdejna léků - Puškinova ul."/>
    <s v="4809 - lékárna - výdejna léků - Puškinova ul."/>
    <s v="50113001     léky - paušál+TISS (LEK)"/>
    <x v="3"/>
    <x v="1"/>
    <n v="6.88E-2"/>
    <n v="3.3765327971089998"/>
  </r>
  <r>
    <s v="48"/>
    <s v="48"/>
    <s v="Lékárna"/>
    <x v="44"/>
    <s v="4809"/>
    <s v="lékárna - výdejna léků - Puškinova ul."/>
    <s v="4809 - lékárna - výdejna léků - Puškinova ul."/>
    <s v="50113001     léky - paušál+TISS (LEK)"/>
    <x v="3"/>
    <x v="2"/>
    <n v="0"/>
    <n v="5.9622251798000001E-2"/>
  </r>
  <r>
    <s v="48"/>
    <s v="48"/>
    <s v="Lékárna"/>
    <x v="44"/>
    <s v="4809"/>
    <s v="lékárna - výdejna léků - Puškinova ul."/>
    <s v="4809 - lékárna - výdejna léků - Puškinova ul."/>
    <s v="50113006     léky - enterální výživa (LEK)"/>
    <x v="4"/>
    <x v="0"/>
    <n v="0.34061000000000002"/>
    <n v="0.330505300818"/>
  </r>
  <r>
    <s v="48"/>
    <s v="48"/>
    <s v="Lékárna"/>
    <x v="44"/>
    <s v="4809"/>
    <s v="lékárna - výdejna léků - Puškinova ul."/>
    <s v="4809 - lékárna - výdejna léků - Puškinova ul."/>
    <s v="50113006     léky - enterální výživa (LEK)"/>
    <x v="4"/>
    <x v="1"/>
    <n v="0"/>
    <n v="0.34010112359599998"/>
  </r>
  <r>
    <s v="48"/>
    <s v="48"/>
    <s v="Lékárna"/>
    <x v="44"/>
    <s v="4809"/>
    <s v="lékárna - výdejna léků - Puškinova ul."/>
    <s v="4809 - lékárna - výdejna léků - Puškinova ul."/>
    <s v="50113013     léky (paušál) - antibiotika (LEK)"/>
    <x v="7"/>
    <x v="0"/>
    <n v="0.99621999999900002"/>
    <n v="0"/>
  </r>
  <r>
    <s v="48"/>
    <s v="48"/>
    <s v="Lékárna"/>
    <x v="44"/>
    <s v="4809"/>
    <s v="lékárna - výdejna léků - Puškinova ul."/>
    <s v="4809 - lékárna - výdejna léků - Puškinova ul."/>
    <s v="50113014     léky (paušál) - antimykotika (LEK)"/>
    <x v="8"/>
    <x v="0"/>
    <n v="0"/>
    <n v="3.4655236031999999E-2"/>
  </r>
  <r>
    <s v="48"/>
    <s v="48"/>
    <s v="Lékárna"/>
    <x v="44"/>
    <s v="4809"/>
    <s v="lékárna - výdejna léků - Puškinova ul."/>
    <s v="4809 - lékárna - výdejna léků - Puškinova ul."/>
    <s v="50115     Zdravotnické prostředky"/>
    <x v="0"/>
    <x v="0"/>
    <n v="5.7355899999999993"/>
    <n v="20.974249884321999"/>
  </r>
  <r>
    <s v="48"/>
    <s v="48"/>
    <s v="Lékárna"/>
    <x v="44"/>
    <s v="4809"/>
    <s v="lékárna - výdejna léků - Puškinova ul."/>
    <s v="4809 - lékárna - výdejna léků - Puškinova ul."/>
    <s v="50115     Zdravotnické prostředky"/>
    <x v="0"/>
    <x v="1"/>
    <n v="0.51119999999999999"/>
    <n v="4.1902404000980003"/>
  </r>
  <r>
    <s v="48"/>
    <s v="48"/>
    <s v="Lékárna"/>
    <x v="44"/>
    <s v="4809"/>
    <s v="lékárna - výdejna léků - Puškinova ul."/>
    <s v="4809 - lékárna - výdejna léků - Puškinova ul."/>
    <s v="50115040     laboratorní materiál (sk.Z_505)"/>
    <x v="11"/>
    <x v="0"/>
    <n v="0"/>
    <n v="1.899932860454"/>
  </r>
  <r>
    <s v="48"/>
    <s v="48"/>
    <s v="Lékárna"/>
    <x v="44"/>
    <s v="4809"/>
    <s v="lékárna - výdejna léků - Puškinova ul."/>
    <s v="4809 - lékárna - výdejna léků - Puškinova ul."/>
    <s v="50115040     laboratorní materiál (sk.Z_505)"/>
    <x v="11"/>
    <x v="1"/>
    <n v="0.33611999999999997"/>
    <n v="0.45457419010099998"/>
  </r>
  <r>
    <s v="48"/>
    <s v="48"/>
    <s v="Lékárna"/>
    <x v="44"/>
    <s v="4809"/>
    <s v="lékárna - výdejna léků - Puškinova ul."/>
    <s v="4809 - lékárna - výdejna léků - Puškinova ul."/>
    <s v="50115050     obvazový materiál (sk.Z_502)"/>
    <x v="12"/>
    <x v="0"/>
    <n v="5.2339999999999998E-2"/>
    <n v="0"/>
  </r>
  <r>
    <s v="48"/>
    <s v="48"/>
    <s v="Lékárna"/>
    <x v="44"/>
    <s v="4809"/>
    <s v="lékárna - výdejna léků - Puškinova ul."/>
    <s v="4809 - lékárna - výdejna léků - Puškinova ul."/>
    <s v="50115050     obvazový materiál (sk.Z_502)"/>
    <x v="12"/>
    <x v="1"/>
    <n v="0.17508000000000001"/>
    <n v="5.2459023852999997E-2"/>
  </r>
  <r>
    <s v="48"/>
    <s v="48"/>
    <s v="Lékárna"/>
    <x v="44"/>
    <s v="4809"/>
    <s v="lékárna - výdejna léků - Puškinova ul."/>
    <s v="4809 - lékárna - výdejna léků - Puškinova ul."/>
    <s v="50115060     ostatní ZPr - mimo níže uvedené (sk.Z_503)"/>
    <x v="1"/>
    <x v="0"/>
    <n v="5.6832499999999992"/>
    <n v="7.1715440992999993E-2"/>
  </r>
  <r>
    <s v="48"/>
    <s v="48"/>
    <s v="Lékárna"/>
    <x v="44"/>
    <s v="4809"/>
    <s v="lékárna - výdejna léků - Puškinova ul."/>
    <s v="4809 - lékárna - výdejna léků - Puškinova ul."/>
    <s v="50115060     ostatní ZPr - mimo níže uvedené (sk.Z_503)"/>
    <x v="1"/>
    <x v="1"/>
    <n v="0"/>
    <n v="3.6832071861440001"/>
  </r>
  <r>
    <s v="48"/>
    <s v="48"/>
    <s v="Lékárna"/>
    <x v="44"/>
    <s v="4809"/>
    <s v="lékárna - výdejna léků - Puškinova ul."/>
    <s v="4809 - lékárna - výdejna léků - Puškinova ul."/>
    <s v="50115067     ostatní ZPr - rukavice (sk.Z_532)"/>
    <x v="15"/>
    <x v="0"/>
    <n v="0"/>
    <n v="19.002601582874"/>
  </r>
  <r>
    <s v="48"/>
    <s v="48"/>
    <s v="Lékárna"/>
    <x v="44"/>
    <s v="4822"/>
    <m/>
    <s v="4822 - "/>
    <s v="50115     Zdravotnické prostředky"/>
    <x v="0"/>
    <x v="1"/>
    <n v="0"/>
    <n v="0.45457419010099998"/>
  </r>
  <r>
    <s v="48"/>
    <s v="48"/>
    <s v="Lékárna"/>
    <x v="44"/>
    <s v="4822"/>
    <m/>
    <s v="4822 - "/>
    <s v="50115040     laboratorní materiál (sk.Z_505)"/>
    <x v="11"/>
    <x v="1"/>
    <n v="0"/>
    <n v="0.45457419010099998"/>
  </r>
  <r>
    <s v="48"/>
    <s v="48"/>
    <s v="Lékárna"/>
    <x v="44"/>
    <s v="4841"/>
    <s v="lékárna - oddělení ředění cytostatik"/>
    <s v="4841 - lékárna - oddělení ředění cytostatik"/>
    <s v="50113     Léky a léčiva"/>
    <x v="2"/>
    <x v="2"/>
    <n v="51.822410000000005"/>
    <n v="0"/>
  </r>
  <r>
    <s v="48"/>
    <s v="48"/>
    <s v="Lékárna"/>
    <x v="44"/>
    <s v="4841"/>
    <s v="lékárna - oddělení ředění cytostatik"/>
    <s v="4841 - lékárna - oddělení ředění cytostatik"/>
    <s v="50113001     léky - paušál+TISS (LEK)"/>
    <x v="3"/>
    <x v="2"/>
    <n v="51.822410000000005"/>
    <n v="0"/>
  </r>
  <r>
    <s v="48"/>
    <s v="48"/>
    <s v="Lékárna"/>
    <x v="44"/>
    <s v="4841"/>
    <s v="lékárna - oddělení ředění cytostatik"/>
    <s v="4841 - lékárna - oddělení ředění cytostatik"/>
    <s v="50115     Zdravotnické prostředky"/>
    <x v="0"/>
    <x v="2"/>
    <n v="2084.5630500000011"/>
    <n v="2912.9999204056198"/>
  </r>
  <r>
    <s v="48"/>
    <s v="48"/>
    <s v="Lékárna"/>
    <x v="44"/>
    <s v="4841"/>
    <s v="lékárna - oddělení ředění cytostatik"/>
    <s v="4841 - lékárna - oddělení ředění cytostatik"/>
    <s v="50115050     obvazový materiál (sk.Z_502)"/>
    <x v="12"/>
    <x v="2"/>
    <n v="15.340510000000002"/>
    <n v="20.999999338550001"/>
  </r>
  <r>
    <s v="48"/>
    <s v="48"/>
    <s v="Lékárna"/>
    <x v="44"/>
    <s v="4841"/>
    <s v="lékárna - oddělení ředění cytostatik"/>
    <s v="4841 - lékárna - oddělení ředění cytostatik"/>
    <s v="50115060     ostatní ZPr - mimo níže uvedené (sk.Z_503)"/>
    <x v="1"/>
    <x v="2"/>
    <n v="918.30827999999997"/>
    <n v="1330.99996506919"/>
  </r>
  <r>
    <s v="48"/>
    <s v="48"/>
    <s v="Lékárna"/>
    <x v="44"/>
    <s v="4841"/>
    <s v="lékárna - oddělení ředění cytostatik"/>
    <s v="4841 - lékárna - oddělení ředění cytostatik"/>
    <s v="50115063     ostatní ZPr - vaky, sety (sk.Z_528)"/>
    <x v="13"/>
    <x v="2"/>
    <n v="954.88324999999998"/>
    <n v="1304.99996406126"/>
  </r>
  <r>
    <s v="48"/>
    <s v="48"/>
    <s v="Lékárna"/>
    <x v="44"/>
    <s v="4841"/>
    <s v="lékárna - oddělení ředění cytostatik"/>
    <s v="4841 - lékárna - oddělení ředění cytostatik"/>
    <s v="50115065     ostatní ZPr - vpichovací materiál (sk.Z_530)"/>
    <x v="14"/>
    <x v="2"/>
    <n v="39.603749999999991"/>
    <n v="58.999998141642997"/>
  </r>
  <r>
    <s v="48"/>
    <s v="48"/>
    <s v="Lékárna"/>
    <x v="44"/>
    <s v="4841"/>
    <s v="lékárna - oddělení ředění cytostatik"/>
    <s v="4841 - lékárna - oddělení ředění cytostatik"/>
    <s v="50115067     ostatní ZPr - rukavice (sk.Z_532)"/>
    <x v="15"/>
    <x v="2"/>
    <n v="156.42726000000005"/>
    <n v="196.999993794977"/>
  </r>
  <r>
    <s v="48"/>
    <s v="48"/>
    <s v="Lékárna"/>
    <x v="44"/>
    <s v="4842"/>
    <s v="lékárna - oddělení přípravy sterilních léčiv"/>
    <s v="4842 - lékárna - oddělení přípravy sterilních léčiv"/>
    <s v="50113     Léky a léčiva"/>
    <x v="2"/>
    <x v="2"/>
    <n v="1.8444999999999998"/>
    <n v="0"/>
  </r>
  <r>
    <s v="48"/>
    <s v="48"/>
    <s v="Lékárna"/>
    <x v="44"/>
    <s v="4842"/>
    <s v="lékárna - oddělení přípravy sterilních léčiv"/>
    <s v="4842 - lékárna - oddělení přípravy sterilních léčiv"/>
    <s v="50113001     léky - paušál+TISS (LEK)"/>
    <x v="3"/>
    <x v="2"/>
    <n v="1.8444999999999998"/>
    <n v="0"/>
  </r>
  <r>
    <s v="48"/>
    <s v="48"/>
    <s v="Lékárna"/>
    <x v="44"/>
    <s v="4842"/>
    <s v="lékárna - oddělení přípravy sterilních léčiv"/>
    <s v="4842 - lékárna - oddělení přípravy sterilních léčiv"/>
    <s v="50115     Zdravotnické prostředky"/>
    <x v="0"/>
    <x v="2"/>
    <n v="129.86265"/>
    <n v="773"/>
  </r>
  <r>
    <s v="48"/>
    <s v="48"/>
    <s v="Lékárna"/>
    <x v="44"/>
    <s v="4842"/>
    <s v="lékárna - oddělení přípravy sterilních léčiv"/>
    <s v="4842 - lékárna - oddělení přípravy sterilních léčiv"/>
    <s v="50115040     laboratorní materiál (sk.Z_505)"/>
    <x v="11"/>
    <x v="2"/>
    <n v="2.9849600000000001"/>
    <n v="0"/>
  </r>
  <r>
    <s v="48"/>
    <s v="48"/>
    <s v="Lékárna"/>
    <x v="44"/>
    <s v="4842"/>
    <s v="lékárna - oddělení přípravy sterilních léčiv"/>
    <s v="4842 - lékárna - oddělení přípravy sterilních léčiv"/>
    <s v="50115050     obvazový materiál (sk.Z_502)"/>
    <x v="12"/>
    <x v="2"/>
    <n v="0.52946000000000004"/>
    <n v="0"/>
  </r>
  <r>
    <s v="48"/>
    <s v="48"/>
    <s v="Lékárna"/>
    <x v="44"/>
    <s v="4842"/>
    <s v="lékárna - oddělení přípravy sterilních léčiv"/>
    <s v="4842 - lékárna - oddělení přípravy sterilních léčiv"/>
    <s v="50115060     ostatní ZPr - mimo níže uvedené (sk.Z_503)"/>
    <x v="1"/>
    <x v="2"/>
    <n v="113.50599"/>
    <n v="763"/>
  </r>
  <r>
    <s v="48"/>
    <s v="48"/>
    <s v="Lékárna"/>
    <x v="44"/>
    <s v="4842"/>
    <s v="lékárna - oddělení přípravy sterilních léčiv"/>
    <s v="4842 - lékárna - oddělení přípravy sterilních léčiv"/>
    <s v="50115065     ostatní ZPr - vpichovací materiál (sk.Z_530)"/>
    <x v="14"/>
    <x v="2"/>
    <n v="0.14399999999999999"/>
    <n v="0"/>
  </r>
  <r>
    <s v="48"/>
    <s v="48"/>
    <s v="Lékárna"/>
    <x v="44"/>
    <s v="4842"/>
    <s v="lékárna - oddělení přípravy sterilních léčiv"/>
    <s v="4842 - lékárna - oddělení přípravy sterilních léčiv"/>
    <s v="50115067     ostatní ZPr - rukavice (sk.Z_532)"/>
    <x v="15"/>
    <x v="2"/>
    <n v="12.698240000000002"/>
    <n v="10"/>
  </r>
  <r>
    <s v="48"/>
    <s v="48"/>
    <s v="Lékárna"/>
    <x v="44"/>
    <s v="4843"/>
    <s v="lékárna - oddělení přípravy léčiv"/>
    <s v="4843 - lékárna - oddělení přípravy léčiv"/>
    <s v="50113     Léky a léčiva"/>
    <x v="2"/>
    <x v="2"/>
    <n v="2.7559"/>
    <n v="0"/>
  </r>
  <r>
    <s v="48"/>
    <s v="48"/>
    <s v="Lékárna"/>
    <x v="44"/>
    <s v="4843"/>
    <s v="lékárna - oddělení přípravy léčiv"/>
    <s v="4843 - lékárna - oddělení přípravy léčiv"/>
    <s v="50113001     léky - paušál+TISS (LEK)"/>
    <x v="3"/>
    <x v="2"/>
    <n v="2.7559"/>
    <n v="0"/>
  </r>
  <r>
    <s v="48"/>
    <s v="48"/>
    <s v="Lékárna"/>
    <x v="44"/>
    <s v="4843"/>
    <s v="lékárna - oddělení přípravy léčiv"/>
    <s v="4843 - lékárna - oddělení přípravy léčiv"/>
    <s v="50115     Zdravotnické prostředky"/>
    <x v="0"/>
    <x v="2"/>
    <n v="7.8557699999999988"/>
    <n v="0"/>
  </r>
  <r>
    <s v="48"/>
    <s v="48"/>
    <s v="Lékárna"/>
    <x v="44"/>
    <s v="4843"/>
    <s v="lékárna - oddělení přípravy léčiv"/>
    <s v="4843 - lékárna - oddělení přípravy léčiv"/>
    <s v="50115020     diagnostika laboratorní-LEK (sk.Z_501)"/>
    <x v="10"/>
    <x v="2"/>
    <n v="6.4245099999999997"/>
    <n v="0"/>
  </r>
  <r>
    <s v="48"/>
    <s v="48"/>
    <s v="Lékárna"/>
    <x v="44"/>
    <s v="4843"/>
    <s v="lékárna - oddělení přípravy léčiv"/>
    <s v="4843 - lékárna - oddělení přípravy léčiv"/>
    <s v="50115050     obvazový materiál (sk.Z_502)"/>
    <x v="12"/>
    <x v="2"/>
    <n v="0.57926"/>
    <n v="0"/>
  </r>
  <r>
    <s v="48"/>
    <s v="48"/>
    <s v="Lékárna"/>
    <x v="44"/>
    <s v="4843"/>
    <s v="lékárna - oddělení přípravy léčiv"/>
    <s v="4843 - lékárna - oddělení přípravy léčiv"/>
    <s v="50115067     ostatní ZPr - rukavice (sk.Z_532)"/>
    <x v="15"/>
    <x v="2"/>
    <n v="0.85199999999999987"/>
    <n v="0"/>
  </r>
  <r>
    <s v="48"/>
    <s v="48"/>
    <s v="Lékárna"/>
    <x v="44"/>
    <s v="4844"/>
    <s v="lékárna - oddělení diagnostik"/>
    <s v="4844 - lékárna - oddělení diagnostik"/>
    <s v="50115     Zdravotnické prostředky"/>
    <x v="0"/>
    <x v="2"/>
    <n v="1.7818500000000002"/>
    <n v="0"/>
  </r>
  <r>
    <s v="48"/>
    <s v="48"/>
    <s v="Lékárna"/>
    <x v="44"/>
    <s v="4844"/>
    <s v="lékárna - oddělení diagnostik"/>
    <s v="4844 - lékárna - oddělení diagnostik"/>
    <s v="50115040     laboratorní materiál (sk.Z_505)"/>
    <x v="11"/>
    <x v="2"/>
    <n v="1.7818500000000002"/>
    <n v="0"/>
  </r>
  <r>
    <s v="48"/>
    <s v="48"/>
    <s v="Lékárna"/>
    <x v="44"/>
    <s v="4881"/>
    <m/>
    <s v="4881 - "/>
    <s v="50115     Zdravotnické prostředky"/>
    <x v="0"/>
    <x v="1"/>
    <n v="0"/>
    <n v="0.45457419010099998"/>
  </r>
  <r>
    <s v="48"/>
    <s v="48"/>
    <s v="Lékárna"/>
    <x v="44"/>
    <s v="4881"/>
    <m/>
    <s v="4881 - "/>
    <s v="50115040     laboratorní materiál (sk.Z_505)"/>
    <x v="11"/>
    <x v="1"/>
    <n v="0"/>
    <n v="0.45457419010099998"/>
  </r>
  <r>
    <s v="48"/>
    <s v="48"/>
    <s v="Lékárna"/>
    <x v="44"/>
    <s v="4897"/>
    <m/>
    <s v="4897 - "/>
    <s v="50115     Zdravotnické prostředky"/>
    <x v="0"/>
    <x v="1"/>
    <n v="0"/>
    <n v="0.45457419010099998"/>
  </r>
  <r>
    <s v="48"/>
    <s v="48"/>
    <s v="Lékárna"/>
    <x v="44"/>
    <s v="4897"/>
    <m/>
    <s v="4897 - "/>
    <s v="50115040     laboratorní materiál (sk.Z_505)"/>
    <x v="11"/>
    <x v="1"/>
    <n v="0"/>
    <n v="0.45457419010099998"/>
  </r>
  <r>
    <s v="50"/>
    <s v="50"/>
    <s v="Kardiochirurgická klinika"/>
    <x v="45"/>
    <s v="5001"/>
    <s v="vedení klinického pracoviště"/>
    <s v="5001 - vedení klinického pracoviště"/>
    <s v="50113     Léky a léčiva"/>
    <x v="2"/>
    <x v="0"/>
    <n v="0"/>
    <n v="0.65921379382300005"/>
  </r>
  <r>
    <s v="50"/>
    <s v="50"/>
    <s v="Kardiochirurgická klinika"/>
    <x v="45"/>
    <s v="5001"/>
    <s v="vedení klinického pracoviště"/>
    <s v="5001 - vedení klinického pracoviště"/>
    <s v="50113001     léky - paušál+TISS (LEK)"/>
    <x v="3"/>
    <x v="0"/>
    <n v="0"/>
    <n v="0.65921379382300005"/>
  </r>
  <r>
    <s v="50"/>
    <s v="50"/>
    <s v="Kardiochirurgická klinika"/>
    <x v="45"/>
    <s v="5011"/>
    <s v="lůžkové oddělení 50"/>
    <s v="5011 - lůžkové oddělení 50"/>
    <s v="50113     Léky a léčiva"/>
    <x v="2"/>
    <x v="0"/>
    <n v="1350.9169200000008"/>
    <n v="1456.9938745363399"/>
  </r>
  <r>
    <s v="50"/>
    <s v="50"/>
    <s v="Kardiochirurgická klinika"/>
    <x v="45"/>
    <s v="5011"/>
    <s v="lůžkové oddělení 50"/>
    <s v="5011 - lůžkové oddělení 50"/>
    <s v="50113     Léky a léčiva"/>
    <x v="2"/>
    <x v="1"/>
    <n v="1499.6427999999999"/>
    <n v="1301.9432161105301"/>
  </r>
  <r>
    <s v="50"/>
    <s v="50"/>
    <s v="Kardiochirurgická klinika"/>
    <x v="45"/>
    <s v="5011"/>
    <s v="lůžkové oddělení 50"/>
    <s v="5011 - lůžkové oddělení 50"/>
    <s v="50113     Léky a léčiva"/>
    <x v="2"/>
    <x v="2"/>
    <n v="993.12005000000011"/>
    <n v="1436.8953277847199"/>
  </r>
  <r>
    <s v="50"/>
    <s v="50"/>
    <s v="Kardiochirurgická klinika"/>
    <x v="45"/>
    <s v="5011"/>
    <s v="lůžkové oddělení 50"/>
    <s v="5011 - lůžkové oddělení 50"/>
    <s v="50113001     léky - paušál+TISS (LEK)"/>
    <x v="3"/>
    <x v="0"/>
    <n v="1016.2240399999989"/>
    <n v="1086.68380113489"/>
  </r>
  <r>
    <s v="50"/>
    <s v="50"/>
    <s v="Kardiochirurgická klinika"/>
    <x v="45"/>
    <s v="5011"/>
    <s v="lůžkové oddělení 50"/>
    <s v="5011 - lůžkové oddělení 50"/>
    <s v="50113001     léky - paušál+TISS (LEK)"/>
    <x v="3"/>
    <x v="1"/>
    <n v="1027.9949300000001"/>
    <n v="1013.9416178608"/>
  </r>
  <r>
    <s v="50"/>
    <s v="50"/>
    <s v="Kardiochirurgická klinika"/>
    <x v="45"/>
    <s v="5011"/>
    <s v="lůžkové oddělení 50"/>
    <s v="5011 - lůžkové oddělení 50"/>
    <s v="50113001     léky - paušál+TISS (LEK)"/>
    <x v="3"/>
    <x v="2"/>
    <n v="706.18052"/>
    <n v="997.99996856541895"/>
  </r>
  <r>
    <s v="50"/>
    <s v="50"/>
    <s v="Kardiochirurgická klinika"/>
    <x v="45"/>
    <s v="5011"/>
    <s v="lůžkové oddělení 50"/>
    <s v="5011 - lůžkové oddělení 50"/>
    <s v="50113002     léky - parenterální výživa (LEK)"/>
    <x v="17"/>
    <x v="2"/>
    <n v="21.409410000000001"/>
    <n v="28"/>
  </r>
  <r>
    <s v="50"/>
    <s v="50"/>
    <s v="Kardiochirurgická klinika"/>
    <x v="45"/>
    <s v="5011"/>
    <s v="lůžkové oddělení 50"/>
    <s v="5011 - lůžkové oddělení 50"/>
    <s v="50113006     léky - enterální výživa (LEK)"/>
    <x v="4"/>
    <x v="0"/>
    <n v="64.694659999999004"/>
    <n v="62.246164602566999"/>
  </r>
  <r>
    <s v="50"/>
    <s v="50"/>
    <s v="Kardiochirurgická klinika"/>
    <x v="45"/>
    <s v="5011"/>
    <s v="lůžkové oddělení 50"/>
    <s v="5011 - lůžkové oddělení 50"/>
    <s v="50113006     léky - enterální výživa (LEK)"/>
    <x v="4"/>
    <x v="1"/>
    <n v="61.882879999999993"/>
    <n v="59.598005216205003"/>
  </r>
  <r>
    <s v="50"/>
    <s v="50"/>
    <s v="Kardiochirurgická klinika"/>
    <x v="45"/>
    <s v="5011"/>
    <s v="lůžkové oddělení 50"/>
    <s v="5011 - lůžkové oddělení 50"/>
    <s v="50113006     léky - enterální výživa (LEK)"/>
    <x v="4"/>
    <x v="2"/>
    <n v="24.472010000000001"/>
    <n v="40"/>
  </r>
  <r>
    <s v="50"/>
    <s v="50"/>
    <s v="Kardiochirurgická klinika"/>
    <x v="45"/>
    <s v="5011"/>
    <s v="lůžkové oddělení 50"/>
    <s v="5011 - lůžkové oddělení 50"/>
    <s v="50113012     léky - trombolýza (LEK)"/>
    <x v="19"/>
    <x v="2"/>
    <n v="21.645879999999998"/>
    <n v="21.999999307052999"/>
  </r>
  <r>
    <s v="50"/>
    <s v="50"/>
    <s v="Kardiochirurgická klinika"/>
    <x v="45"/>
    <s v="5011"/>
    <s v="lůžkové oddělení 50"/>
    <s v="5011 - lůžkové oddělení 50"/>
    <s v="50113013     léky (paušál) - antibiotika (LEK)"/>
    <x v="7"/>
    <x v="0"/>
    <n v="258.19516999999996"/>
    <n v="289.39155717208899"/>
  </r>
  <r>
    <s v="50"/>
    <s v="50"/>
    <s v="Kardiochirurgická klinika"/>
    <x v="45"/>
    <s v="5011"/>
    <s v="lůžkové oddělení 50"/>
    <s v="5011 - lůžkové oddělení 50"/>
    <s v="50113013     léky (paušál) - antibiotika (LEK)"/>
    <x v="7"/>
    <x v="1"/>
    <n v="395.68020000000001"/>
    <n v="213.97942840715999"/>
  </r>
  <r>
    <s v="50"/>
    <s v="50"/>
    <s v="Kardiochirurgická klinika"/>
    <x v="45"/>
    <s v="5011"/>
    <s v="lůžkové oddělení 50"/>
    <s v="5011 - lůžkové oddělení 50"/>
    <s v="50113013     léky (paušál) - antibiotika (LEK)"/>
    <x v="7"/>
    <x v="2"/>
    <n v="209.71308999999999"/>
    <n v="331.08971516910901"/>
  </r>
  <r>
    <s v="50"/>
    <s v="50"/>
    <s v="Kardiochirurgická klinika"/>
    <x v="45"/>
    <s v="5011"/>
    <s v="lůžkové oddělení 50"/>
    <s v="5011 - lůžkové oddělení 50"/>
    <s v="50113014     léky (paušál) - antimykotika (LEK)"/>
    <x v="8"/>
    <x v="0"/>
    <n v="2.9158499999999998"/>
    <n v="10.262198177850999"/>
  </r>
  <r>
    <s v="50"/>
    <s v="50"/>
    <s v="Kardiochirurgická klinika"/>
    <x v="45"/>
    <s v="5011"/>
    <s v="lůžkové oddělení 50"/>
    <s v="5011 - lůžkové oddělení 50"/>
    <s v="50113014     léky (paušál) - antimykotika (LEK)"/>
    <x v="8"/>
    <x v="1"/>
    <n v="2.9757900000000004"/>
    <n v="5.9215921084499996"/>
  </r>
  <r>
    <s v="50"/>
    <s v="50"/>
    <s v="Kardiochirurgická klinika"/>
    <x v="45"/>
    <s v="5011"/>
    <s v="lůžkové oddělení 50"/>
    <s v="5011 - lůžkové oddělení 50"/>
    <s v="50113014     léky (paušál) - antimykotika (LEK)"/>
    <x v="8"/>
    <x v="2"/>
    <n v="2.6611399999999996"/>
    <n v="5.9170949332970002"/>
  </r>
  <r>
    <s v="50"/>
    <s v="50"/>
    <s v="Kardiochirurgická klinika"/>
    <x v="45"/>
    <s v="5011"/>
    <s v="lůžkové oddělení 50"/>
    <s v="5011 - lůžkové oddělení 50"/>
    <s v="50113190     medicinální plyny"/>
    <x v="9"/>
    <x v="0"/>
    <n v="8.8872"/>
    <n v="8.4101534489340004"/>
  </r>
  <r>
    <s v="50"/>
    <s v="50"/>
    <s v="Kardiochirurgická klinika"/>
    <x v="45"/>
    <s v="5011"/>
    <s v="lůžkové oddělení 50"/>
    <s v="5011 - lůžkové oddělení 50"/>
    <s v="50113190     medicinální plyny"/>
    <x v="9"/>
    <x v="1"/>
    <n v="11.108999999999998"/>
    <n v="8.5025725179130003"/>
  </r>
  <r>
    <s v="50"/>
    <s v="50"/>
    <s v="Kardiochirurgická klinika"/>
    <x v="45"/>
    <s v="5011"/>
    <s v="lůžkové oddělení 50"/>
    <s v="5011 - lůžkové oddělení 50"/>
    <s v="50113190     medicinální plyny"/>
    <x v="9"/>
    <x v="2"/>
    <n v="7.0380000000000003"/>
    <n v="11.888549809839001"/>
  </r>
  <r>
    <s v="50"/>
    <s v="50"/>
    <s v="Kardiochirurgická klinika"/>
    <x v="45"/>
    <s v="5011"/>
    <s v="lůžkové oddělení 50"/>
    <s v="5011 - lůžkové oddělení 50"/>
    <s v="50115     Zdravotnické prostředky"/>
    <x v="0"/>
    <x v="0"/>
    <n v="888.47066999999902"/>
    <n v="858.31020898927295"/>
  </r>
  <r>
    <s v="50"/>
    <s v="50"/>
    <s v="Kardiochirurgická klinika"/>
    <x v="45"/>
    <s v="5011"/>
    <s v="lůžkové oddělení 50"/>
    <s v="5011 - lůžkové oddělení 50"/>
    <s v="50115     Zdravotnické prostředky"/>
    <x v="0"/>
    <x v="1"/>
    <n v="1029.8961299999999"/>
    <n v="1033.93342250562"/>
  </r>
  <r>
    <s v="50"/>
    <s v="50"/>
    <s v="Kardiochirurgická klinika"/>
    <x v="45"/>
    <s v="5011"/>
    <s v="lůžkové oddělení 50"/>
    <s v="5011 - lůžkové oddělení 50"/>
    <s v="50115     Zdravotnické prostředky"/>
    <x v="0"/>
    <x v="2"/>
    <n v="794.01541999999995"/>
    <n v="1016.14638166713"/>
  </r>
  <r>
    <s v="50"/>
    <s v="50"/>
    <s v="Kardiochirurgická klinika"/>
    <x v="45"/>
    <s v="5011"/>
    <s v="lůžkové oddělení 50"/>
    <s v="5011 - lůžkové oddělení 50"/>
    <s v="50115004     implant.umělé těl.náhr.-kovové (s.Z_506)"/>
    <x v="25"/>
    <x v="0"/>
    <n v="7.1250999999999998"/>
    <n v="0"/>
  </r>
  <r>
    <s v="50"/>
    <s v="50"/>
    <s v="Kardiochirurgická klinika"/>
    <x v="45"/>
    <s v="5011"/>
    <s v="lůžkové oddělení 50"/>
    <s v="5011 - lůžkové oddělení 50"/>
    <s v="50115004     implant.umělé těl.náhr.-kovové (s.Z_506)"/>
    <x v="25"/>
    <x v="1"/>
    <n v="0"/>
    <n v="6.9999962309220001"/>
  </r>
  <r>
    <s v="50"/>
    <s v="50"/>
    <s v="Kardiochirurgická klinika"/>
    <x v="45"/>
    <s v="5011"/>
    <s v="lůžkové oddělení 50"/>
    <s v="5011 - lůžkové oddělení 50"/>
    <s v="50115020     diagnostika laboratorní-LEK (sk.Z_501)"/>
    <x v="10"/>
    <x v="0"/>
    <n v="25.122749999999996"/>
    <n v="29.162432133635999"/>
  </r>
  <r>
    <s v="50"/>
    <s v="50"/>
    <s v="Kardiochirurgická klinika"/>
    <x v="45"/>
    <s v="5011"/>
    <s v="lůžkové oddělení 50"/>
    <s v="5011 - lůžkové oddělení 50"/>
    <s v="50115020     diagnostika laboratorní-LEK (sk.Z_501)"/>
    <x v="10"/>
    <x v="1"/>
    <n v="23.30058"/>
    <n v="27.122726708969001"/>
  </r>
  <r>
    <s v="50"/>
    <s v="50"/>
    <s v="Kardiochirurgická klinika"/>
    <x v="45"/>
    <s v="5011"/>
    <s v="lůžkové oddělení 50"/>
    <s v="5011 - lůžkové oddělení 50"/>
    <s v="50115020     diagnostika laboratorní-LEK (sk.Z_501)"/>
    <x v="10"/>
    <x v="2"/>
    <n v="15.232799999999997"/>
    <n v="15.85053536389"/>
  </r>
  <r>
    <s v="50"/>
    <s v="50"/>
    <s v="Kardiochirurgická klinika"/>
    <x v="45"/>
    <s v="5011"/>
    <s v="lůžkové oddělení 50"/>
    <s v="5011 - lůžkové oddělení 50"/>
    <s v="50115040     laboratorní materiál (sk.Z_505)"/>
    <x v="11"/>
    <x v="0"/>
    <n v="0.38428000000000001"/>
    <n v="0"/>
  </r>
  <r>
    <s v="50"/>
    <s v="50"/>
    <s v="Kardiochirurgická klinika"/>
    <x v="45"/>
    <s v="5011"/>
    <s v="lůžkové oddělení 50"/>
    <s v="5011 - lůžkové oddělení 50"/>
    <s v="50115040     laboratorní materiál (sk.Z_505)"/>
    <x v="11"/>
    <x v="1"/>
    <n v="0"/>
    <n v="0.38430429349799999"/>
  </r>
  <r>
    <s v="50"/>
    <s v="50"/>
    <s v="Kardiochirurgická klinika"/>
    <x v="45"/>
    <s v="5011"/>
    <s v="lůžkové oddělení 50"/>
    <s v="5011 - lůžkové oddělení 50"/>
    <s v="50115050     obvazový materiál (sk.Z_502)"/>
    <x v="12"/>
    <x v="0"/>
    <n v="240.79487999999998"/>
    <n v="222.63458051600901"/>
  </r>
  <r>
    <s v="50"/>
    <s v="50"/>
    <s v="Kardiochirurgická klinika"/>
    <x v="45"/>
    <s v="5011"/>
    <s v="lůžkové oddělení 50"/>
    <s v="5011 - lůžkové oddělení 50"/>
    <s v="50115050     obvazový materiál (sk.Z_502)"/>
    <x v="12"/>
    <x v="1"/>
    <n v="301.99912"/>
    <n v="284.34248364058197"/>
  </r>
  <r>
    <s v="50"/>
    <s v="50"/>
    <s v="Kardiochirurgická klinika"/>
    <x v="45"/>
    <s v="5011"/>
    <s v="lůžkové oddělení 50"/>
    <s v="5011 - lůžkové oddělení 50"/>
    <s v="50115050     obvazový materiál (sk.Z_502)"/>
    <x v="12"/>
    <x v="2"/>
    <n v="293.37256999999994"/>
    <n v="317.91998469366598"/>
  </r>
  <r>
    <s v="50"/>
    <s v="50"/>
    <s v="Kardiochirurgická klinika"/>
    <x v="45"/>
    <s v="5011"/>
    <s v="lůžkové oddělení 50"/>
    <s v="5011 - lůžkové oddělení 50"/>
    <s v="50115060     ostatní ZPr - mimo níže uvedené (sk.Z_503)"/>
    <x v="1"/>
    <x v="0"/>
    <n v="517.67165999999997"/>
    <n v="499.75264002096702"/>
  </r>
  <r>
    <s v="50"/>
    <s v="50"/>
    <s v="Kardiochirurgická klinika"/>
    <x v="45"/>
    <s v="5011"/>
    <s v="lůžkové oddělení 50"/>
    <s v="5011 - lůžkové oddělení 50"/>
    <s v="50115060     ostatní ZPr - mimo níže uvedené (sk.Z_503)"/>
    <x v="1"/>
    <x v="1"/>
    <n v="592.93777999999986"/>
    <n v="617.66759109469797"/>
  </r>
  <r>
    <s v="50"/>
    <s v="50"/>
    <s v="Kardiochirurgická klinika"/>
    <x v="45"/>
    <s v="5011"/>
    <s v="lůžkové oddělení 50"/>
    <s v="5011 - lůžkové oddělení 50"/>
    <s v="50115060     ostatní ZPr - mimo níže uvedené (sk.Z_503)"/>
    <x v="1"/>
    <x v="2"/>
    <n v="371.02147000000002"/>
    <n v="570.74141180608694"/>
  </r>
  <r>
    <s v="50"/>
    <s v="50"/>
    <s v="Kardiochirurgická klinika"/>
    <x v="45"/>
    <s v="5011"/>
    <s v="lůžkové oddělení 50"/>
    <s v="5011 - lůžkové oddělení 50"/>
    <s v="50115063     ostatní ZPr - vaky, sety (sk.Z_528)"/>
    <x v="13"/>
    <x v="0"/>
    <n v="39.679609999999002"/>
    <n v="41.800483647683997"/>
  </r>
  <r>
    <s v="50"/>
    <s v="50"/>
    <s v="Kardiochirurgická klinika"/>
    <x v="45"/>
    <s v="5011"/>
    <s v="lůžkové oddělení 50"/>
    <s v="5011 - lůžkové oddělení 50"/>
    <s v="50115063     ostatní ZPr - vaky, sety (sk.Z_528)"/>
    <x v="13"/>
    <x v="1"/>
    <n v="38.577149999999996"/>
    <n v="38.871113098674002"/>
  </r>
  <r>
    <s v="50"/>
    <s v="50"/>
    <s v="Kardiochirurgická klinika"/>
    <x v="45"/>
    <s v="5011"/>
    <s v="lůžkové oddělení 50"/>
    <s v="5011 - lůžkové oddělení 50"/>
    <s v="50115063     ostatní ZPr - vaky, sety (sk.Z_528)"/>
    <x v="13"/>
    <x v="2"/>
    <n v="23.477600000000002"/>
    <n v="40.752890163796998"/>
  </r>
  <r>
    <s v="50"/>
    <s v="50"/>
    <s v="Kardiochirurgická klinika"/>
    <x v="45"/>
    <s v="5011"/>
    <s v="lůžkové oddělení 50"/>
    <s v="5011 - lůžkové oddělení 50"/>
    <s v="50115064     ostatní ZPr - šicí materiál (sk.Z_529)"/>
    <x v="21"/>
    <x v="0"/>
    <n v="0"/>
    <n v="1.354304808642"/>
  </r>
  <r>
    <s v="50"/>
    <s v="50"/>
    <s v="Kardiochirurgická klinika"/>
    <x v="45"/>
    <s v="5011"/>
    <s v="lůžkové oddělení 50"/>
    <s v="5011 - lůžkové oddělení 50"/>
    <s v="50115065     ostatní ZPr - vpichovací materiál (sk.Z_530)"/>
    <x v="14"/>
    <x v="0"/>
    <n v="3.1239999999990005"/>
    <n v="3.8005094261219998"/>
  </r>
  <r>
    <s v="50"/>
    <s v="50"/>
    <s v="Kardiochirurgická klinika"/>
    <x v="45"/>
    <s v="5011"/>
    <s v="lůžkové oddělení 50"/>
    <s v="5011 - lůžkové oddělení 50"/>
    <s v="50115065     ostatní ZPr - vpichovací materiál (sk.Z_530)"/>
    <x v="14"/>
    <x v="1"/>
    <n v="6.4850000000000003"/>
    <n v="3.2046484510919999"/>
  </r>
  <r>
    <s v="50"/>
    <s v="50"/>
    <s v="Kardiochirurgická klinika"/>
    <x v="45"/>
    <s v="5011"/>
    <s v="lůžkové oddělení 50"/>
    <s v="5011 - lůžkové oddělení 50"/>
    <s v="50115065     ostatní ZPr - vpichovací materiál (sk.Z_530)"/>
    <x v="14"/>
    <x v="2"/>
    <n v="8.3981999999999992"/>
    <n v="8.7901932531100009"/>
  </r>
  <r>
    <s v="50"/>
    <s v="50"/>
    <s v="Kardiochirurgická klinika"/>
    <x v="45"/>
    <s v="5011"/>
    <s v="lůžkové oddělení 50"/>
    <s v="5011 - lůžkové oddělení 50"/>
    <s v="50115067     ostatní ZPr - rukavice (sk.Z_532)"/>
    <x v="15"/>
    <x v="0"/>
    <n v="54.568389999998992"/>
    <n v="59.805258436212"/>
  </r>
  <r>
    <s v="50"/>
    <s v="50"/>
    <s v="Kardiochirurgická klinika"/>
    <x v="45"/>
    <s v="5011"/>
    <s v="lůžkové oddělení 50"/>
    <s v="5011 - lůžkové oddělení 50"/>
    <s v="50115067     ostatní ZPr - rukavice (sk.Z_532)"/>
    <x v="15"/>
    <x v="1"/>
    <n v="66.596500000000006"/>
    <n v="55.340558987182"/>
  </r>
  <r>
    <s v="50"/>
    <s v="50"/>
    <s v="Kardiochirurgická klinika"/>
    <x v="45"/>
    <s v="5011"/>
    <s v="lůžkové oddělení 50"/>
    <s v="5011 - lůžkové oddělení 50"/>
    <s v="50115067     ostatní ZPr - rukavice (sk.Z_532)"/>
    <x v="15"/>
    <x v="2"/>
    <n v="48.503"/>
    <n v="62.091366386574002"/>
  </r>
  <r>
    <s v="50"/>
    <s v="50"/>
    <s v="Kardiochirurgická klinika"/>
    <x v="45"/>
    <s v="5011"/>
    <s v="lůžkové oddělení 50"/>
    <s v="5011 - lůžkové oddělení 50"/>
    <s v="50115079     ostatní ZPr - intenzivní péče (sk.Z_542)"/>
    <x v="18"/>
    <x v="2"/>
    <n v="34.009780000000006"/>
    <n v="0"/>
  </r>
  <r>
    <s v="50"/>
    <s v="50"/>
    <s v="Kardiochirurgická klinika"/>
    <x v="45"/>
    <s v="5015"/>
    <s v="lůžkové oddělení ECMO"/>
    <s v="5015 - lůžkové oddělení ECMO"/>
    <s v="50115     Zdravotnické prostředky"/>
    <x v="0"/>
    <x v="0"/>
    <n v="350.75181999999995"/>
    <n v="9.500063283067"/>
  </r>
  <r>
    <s v="50"/>
    <s v="50"/>
    <s v="Kardiochirurgická klinika"/>
    <x v="45"/>
    <s v="5015"/>
    <s v="lůžkové oddělení ECMO"/>
    <s v="5015 - lůžkové oddělení ECMO"/>
    <s v="50115     Zdravotnické prostředky"/>
    <x v="0"/>
    <x v="1"/>
    <n v="678.8916999999999"/>
    <n v="309.74938159186797"/>
  </r>
  <r>
    <s v="50"/>
    <s v="50"/>
    <s v="Kardiochirurgická klinika"/>
    <x v="45"/>
    <s v="5015"/>
    <s v="lůžkové oddělení ECMO"/>
    <s v="5015 - lůžkové oddělení ECMO"/>
    <s v="50115     Zdravotnické prostředky"/>
    <x v="0"/>
    <x v="2"/>
    <n v="582.2804799999999"/>
    <n v="535.23462182025901"/>
  </r>
  <r>
    <s v="50"/>
    <s v="50"/>
    <s v="Kardiochirurgická klinika"/>
    <x v="45"/>
    <s v="5015"/>
    <s v="lůžkové oddělení ECMO"/>
    <s v="5015 - lůžkové oddělení ECMO"/>
    <s v="50115060     ostatní ZPr - mimo níže uvedené (sk.Z_503)"/>
    <x v="1"/>
    <x v="0"/>
    <n v="350.75181999999995"/>
    <n v="0"/>
  </r>
  <r>
    <s v="50"/>
    <s v="50"/>
    <s v="Kardiochirurgická klinika"/>
    <x v="45"/>
    <s v="5015"/>
    <s v="lůžkové oddělení ECMO"/>
    <s v="5015 - lůžkové oddělení ECMO"/>
    <s v="50115060     ostatní ZPr - mimo níže uvedené (sk.Z_503)"/>
    <x v="1"/>
    <x v="1"/>
    <n v="678.8916999999999"/>
    <n v="309.74938159186797"/>
  </r>
  <r>
    <s v="50"/>
    <s v="50"/>
    <s v="Kardiochirurgická klinika"/>
    <x v="45"/>
    <s v="5015"/>
    <s v="lůžkové oddělení ECMO"/>
    <s v="5015 - lůžkové oddělení ECMO"/>
    <s v="50115060     ostatní ZPr - mimo níže uvedené (sk.Z_503)"/>
    <x v="1"/>
    <x v="2"/>
    <n v="582.2804799999999"/>
    <n v="535.23462182025901"/>
  </r>
  <r>
    <s v="50"/>
    <s v="50"/>
    <s v="Kardiochirurgická klinika"/>
    <x v="45"/>
    <s v="5015"/>
    <s v="lůžkové oddělení ECMO"/>
    <s v="5015 - lůžkové oddělení ECMO"/>
    <s v="50115063     ostatní ZPr - vaky, sety (sk.Z_528)"/>
    <x v="13"/>
    <x v="0"/>
    <n v="0"/>
    <n v="9.500063283067"/>
  </r>
  <r>
    <s v="50"/>
    <s v="50"/>
    <s v="Kardiochirurgická klinika"/>
    <x v="45"/>
    <s v="5021"/>
    <s v="ambulance"/>
    <s v="5021 - ambulance"/>
    <s v="50113     Léky a léčiva"/>
    <x v="2"/>
    <x v="0"/>
    <n v="6.6813200000000004"/>
    <n v="13.344472002753999"/>
  </r>
  <r>
    <s v="50"/>
    <s v="50"/>
    <s v="Kardiochirurgická klinika"/>
    <x v="45"/>
    <s v="5021"/>
    <s v="ambulance"/>
    <s v="5021 - ambulance"/>
    <s v="50113     Léky a léčiva"/>
    <x v="2"/>
    <x v="1"/>
    <n v="6.5029599999999999"/>
    <n v="6.6863810374810004"/>
  </r>
  <r>
    <s v="50"/>
    <s v="50"/>
    <s v="Kardiochirurgická klinika"/>
    <x v="45"/>
    <s v="5021"/>
    <s v="ambulance"/>
    <s v="5021 - ambulance"/>
    <s v="50113     Léky a léčiva"/>
    <x v="2"/>
    <x v="2"/>
    <n v="4.7818699999999996"/>
    <n v="6.9230162099069998"/>
  </r>
  <r>
    <s v="50"/>
    <s v="50"/>
    <s v="Kardiochirurgická klinika"/>
    <x v="45"/>
    <s v="5021"/>
    <s v="ambulance"/>
    <s v="5021 - ambulance"/>
    <s v="50113001     léky - paušál+TISS (LEK)"/>
    <x v="3"/>
    <x v="0"/>
    <n v="6.6813200000000004"/>
    <n v="13.344472002753999"/>
  </r>
  <r>
    <s v="50"/>
    <s v="50"/>
    <s v="Kardiochirurgická klinika"/>
    <x v="45"/>
    <s v="5021"/>
    <s v="ambulance"/>
    <s v="5021 - ambulance"/>
    <s v="50113001     léky - paušál+TISS (LEK)"/>
    <x v="3"/>
    <x v="1"/>
    <n v="6.5029599999999999"/>
    <n v="6.6863810374810004"/>
  </r>
  <r>
    <s v="50"/>
    <s v="50"/>
    <s v="Kardiochirurgická klinika"/>
    <x v="45"/>
    <s v="5021"/>
    <s v="ambulance"/>
    <s v="5021 - ambulance"/>
    <s v="50113001     léky - paušál+TISS (LEK)"/>
    <x v="3"/>
    <x v="2"/>
    <n v="4.7818699999999996"/>
    <n v="6.9230162099069998"/>
  </r>
  <r>
    <s v="50"/>
    <s v="50"/>
    <s v="Kardiochirurgická klinika"/>
    <x v="45"/>
    <s v="5021"/>
    <s v="ambulance"/>
    <s v="5021 - ambulance"/>
    <s v="50115     Zdravotnické prostředky"/>
    <x v="0"/>
    <x v="0"/>
    <n v="24.749480000000002"/>
    <n v="37.543761577783002"/>
  </r>
  <r>
    <s v="50"/>
    <s v="50"/>
    <s v="Kardiochirurgická klinika"/>
    <x v="45"/>
    <s v="5021"/>
    <s v="ambulance"/>
    <s v="5021 - ambulance"/>
    <s v="50115     Zdravotnické prostředky"/>
    <x v="0"/>
    <x v="1"/>
    <n v="25.750380000000003"/>
    <n v="26.794588017873"/>
  </r>
  <r>
    <s v="50"/>
    <s v="50"/>
    <s v="Kardiochirurgická klinika"/>
    <x v="45"/>
    <s v="5021"/>
    <s v="ambulance"/>
    <s v="5021 - ambulance"/>
    <s v="50115     Zdravotnické prostředky"/>
    <x v="0"/>
    <x v="2"/>
    <n v="26.956240000000001"/>
    <n v="26.602783006355999"/>
  </r>
  <r>
    <s v="50"/>
    <s v="50"/>
    <s v="Kardiochirurgická klinika"/>
    <x v="45"/>
    <s v="5021"/>
    <s v="ambulance"/>
    <s v="5021 - ambulance"/>
    <s v="50115050     obvazový materiál (sk.Z_502)"/>
    <x v="12"/>
    <x v="0"/>
    <n v="9.440499999999"/>
    <n v="13.831675275235"/>
  </r>
  <r>
    <s v="50"/>
    <s v="50"/>
    <s v="Kardiochirurgická klinika"/>
    <x v="45"/>
    <s v="5021"/>
    <s v="ambulance"/>
    <s v="5021 - ambulance"/>
    <s v="50115050     obvazový materiál (sk.Z_502)"/>
    <x v="12"/>
    <x v="1"/>
    <n v="7.3598099999999995"/>
    <n v="9.4619681828389997"/>
  </r>
  <r>
    <s v="50"/>
    <s v="50"/>
    <s v="Kardiochirurgická klinika"/>
    <x v="45"/>
    <s v="5021"/>
    <s v="ambulance"/>
    <s v="5021 - ambulance"/>
    <s v="50115050     obvazový materiál (sk.Z_502)"/>
    <x v="12"/>
    <x v="2"/>
    <n v="13.983999999999998"/>
    <n v="7.8598876453089996"/>
  </r>
  <r>
    <s v="50"/>
    <s v="50"/>
    <s v="Kardiochirurgická klinika"/>
    <x v="45"/>
    <s v="5021"/>
    <s v="ambulance"/>
    <s v="5021 - ambulance"/>
    <s v="50115060     ostatní ZPr - mimo níže uvedené (sk.Z_503)"/>
    <x v="1"/>
    <x v="0"/>
    <n v="13.630979999998999"/>
    <n v="13.164552657385"/>
  </r>
  <r>
    <s v="50"/>
    <s v="50"/>
    <s v="Kardiochirurgická klinika"/>
    <x v="45"/>
    <s v="5021"/>
    <s v="ambulance"/>
    <s v="5021 - ambulance"/>
    <s v="50115060     ostatní ZPr - mimo níže uvedené (sk.Z_503)"/>
    <x v="1"/>
    <x v="1"/>
    <n v="15.54457"/>
    <n v="15.630875327261"/>
  </r>
  <r>
    <s v="50"/>
    <s v="50"/>
    <s v="Kardiochirurgická klinika"/>
    <x v="45"/>
    <s v="5021"/>
    <s v="ambulance"/>
    <s v="5021 - ambulance"/>
    <s v="50115060     ostatní ZPr - mimo níže uvedené (sk.Z_503)"/>
    <x v="1"/>
    <x v="2"/>
    <n v="10.96274"/>
    <n v="16.091104973364001"/>
  </r>
  <r>
    <s v="50"/>
    <s v="50"/>
    <s v="Kardiochirurgická klinika"/>
    <x v="45"/>
    <s v="5021"/>
    <s v="ambulance"/>
    <s v="5021 - ambulance"/>
    <s v="50115065     ostatní ZPr - vpichovací materiál (sk.Z_530)"/>
    <x v="14"/>
    <x v="1"/>
    <n v="0.9870000000000001"/>
    <n v="0"/>
  </r>
  <r>
    <s v="50"/>
    <s v="50"/>
    <s v="Kardiochirurgická klinika"/>
    <x v="45"/>
    <s v="5021"/>
    <s v="ambulance"/>
    <s v="5021 - ambulance"/>
    <s v="50115065     ostatní ZPr - vpichovací materiál (sk.Z_530)"/>
    <x v="14"/>
    <x v="2"/>
    <n v="0.61900000000000011"/>
    <n v="0.69662375163099999"/>
  </r>
  <r>
    <s v="50"/>
    <s v="50"/>
    <s v="Kardiochirurgická klinika"/>
    <x v="45"/>
    <s v="5021"/>
    <s v="ambulance"/>
    <s v="5021 - ambulance"/>
    <s v="50115067     ostatní ZPr - rukavice (sk.Z_532)"/>
    <x v="15"/>
    <x v="0"/>
    <n v="1.6779999999999997"/>
    <n v="10.547533645161"/>
  </r>
  <r>
    <s v="50"/>
    <s v="50"/>
    <s v="Kardiochirurgická klinika"/>
    <x v="45"/>
    <s v="5021"/>
    <s v="ambulance"/>
    <s v="5021 - ambulance"/>
    <s v="50115067     ostatní ZPr - rukavice (sk.Z_532)"/>
    <x v="15"/>
    <x v="1"/>
    <n v="1.8589999999999998"/>
    <n v="1.7017445077719999"/>
  </r>
  <r>
    <s v="50"/>
    <s v="50"/>
    <s v="Kardiochirurgická klinika"/>
    <x v="45"/>
    <s v="5021"/>
    <s v="ambulance"/>
    <s v="5021 - ambulance"/>
    <s v="50115067     ostatní ZPr - rukavice (sk.Z_532)"/>
    <x v="15"/>
    <x v="2"/>
    <n v="1.3904999999999998"/>
    <n v="1.9551666360510001"/>
  </r>
  <r>
    <s v="50"/>
    <s v="50"/>
    <s v="Kardiochirurgická klinika"/>
    <x v="45"/>
    <s v="5031"/>
    <s v="JIP 50B"/>
    <s v="5031 - JIP 50B"/>
    <s v="50113     Léky a léčiva"/>
    <x v="2"/>
    <x v="0"/>
    <n v="5071.3632400000006"/>
    <n v="4549.4146331070197"/>
  </r>
  <r>
    <s v="50"/>
    <s v="50"/>
    <s v="Kardiochirurgická klinika"/>
    <x v="45"/>
    <s v="5031"/>
    <s v="JIP 50B"/>
    <s v="5031 - JIP 50B"/>
    <s v="50113     Léky a léčiva"/>
    <x v="2"/>
    <x v="1"/>
    <n v="4654.1433000000025"/>
    <n v="4823.6194349114103"/>
  </r>
  <r>
    <s v="50"/>
    <s v="50"/>
    <s v="Kardiochirurgická klinika"/>
    <x v="45"/>
    <s v="5031"/>
    <s v="JIP 50B"/>
    <s v="5031 - JIP 50B"/>
    <s v="50113     Léky a léčiva"/>
    <x v="2"/>
    <x v="2"/>
    <n v="3448.7802800000009"/>
    <n v="4413.4433460958098"/>
  </r>
  <r>
    <s v="50"/>
    <s v="50"/>
    <s v="Kardiochirurgická klinika"/>
    <x v="45"/>
    <s v="5031"/>
    <s v="JIP 50B"/>
    <s v="5031 - JIP 50B"/>
    <s v="50113001     léky - paušál+TISS (LEK)"/>
    <x v="3"/>
    <x v="0"/>
    <n v="3131.1600300000009"/>
    <n v="2987.4907999814"/>
  </r>
  <r>
    <s v="50"/>
    <s v="50"/>
    <s v="Kardiochirurgická klinika"/>
    <x v="45"/>
    <s v="5031"/>
    <s v="JIP 50B"/>
    <s v="5031 - JIP 50B"/>
    <s v="50113001     léky - paušál+TISS (LEK)"/>
    <x v="3"/>
    <x v="1"/>
    <n v="3127.5882800000009"/>
    <n v="3086.8205267021499"/>
  </r>
  <r>
    <s v="50"/>
    <s v="50"/>
    <s v="Kardiochirurgická klinika"/>
    <x v="45"/>
    <s v="5031"/>
    <s v="JIP 50B"/>
    <s v="5031 - JIP 50B"/>
    <s v="50113001     léky - paušál+TISS (LEK)"/>
    <x v="3"/>
    <x v="2"/>
    <n v="2257.8547700000008"/>
    <n v="2926.0509159928201"/>
  </r>
  <r>
    <s v="50"/>
    <s v="50"/>
    <s v="Kardiochirurgická klinika"/>
    <x v="45"/>
    <s v="5031"/>
    <s v="JIP 50B"/>
    <s v="5031 - JIP 50B"/>
    <s v="50113002     léky - parenterální výživa (LEK)"/>
    <x v="17"/>
    <x v="2"/>
    <n v="291.35433999999998"/>
    <n v="330"/>
  </r>
  <r>
    <s v="50"/>
    <s v="50"/>
    <s v="Kardiochirurgická klinika"/>
    <x v="45"/>
    <s v="5031"/>
    <s v="JIP 50B"/>
    <s v="5031 - JIP 50B"/>
    <s v="50113006     léky - enterální výživa (LEK)"/>
    <x v="4"/>
    <x v="0"/>
    <n v="600.78204000000005"/>
    <n v="550.31841892148395"/>
  </r>
  <r>
    <s v="50"/>
    <s v="50"/>
    <s v="Kardiochirurgická klinika"/>
    <x v="45"/>
    <s v="5031"/>
    <s v="JIP 50B"/>
    <s v="5031 - JIP 50B"/>
    <s v="50113006     léky - enterální výživa (LEK)"/>
    <x v="4"/>
    <x v="1"/>
    <n v="420.52837000000011"/>
    <n v="569.88446270097995"/>
  </r>
  <r>
    <s v="50"/>
    <s v="50"/>
    <s v="Kardiochirurgická klinika"/>
    <x v="45"/>
    <s v="5031"/>
    <s v="JIP 50B"/>
    <s v="5031 - JIP 50B"/>
    <s v="50113006     léky - enterální výživa (LEK)"/>
    <x v="4"/>
    <x v="2"/>
    <n v="71.051809999999932"/>
    <n v="159"/>
  </r>
  <r>
    <s v="50"/>
    <s v="50"/>
    <s v="Kardiochirurgická klinika"/>
    <x v="45"/>
    <s v="5031"/>
    <s v="JIP 50B"/>
    <s v="5031 - JIP 50B"/>
    <s v="50113007     léky - krev.deriváty ZUL (LEK)"/>
    <x v="45"/>
    <x v="0"/>
    <n v="0"/>
    <n v="35.972185115971001"/>
  </r>
  <r>
    <s v="50"/>
    <s v="50"/>
    <s v="Kardiochirurgická klinika"/>
    <x v="45"/>
    <s v="5031"/>
    <s v="JIP 50B"/>
    <s v="5031 - JIP 50B"/>
    <s v="50113008     léky - krev.deriváty ZUL (TO)"/>
    <x v="5"/>
    <x v="0"/>
    <n v="560.79842999999892"/>
    <n v="387.98808342013001"/>
  </r>
  <r>
    <s v="50"/>
    <s v="50"/>
    <s v="Kardiochirurgická klinika"/>
    <x v="45"/>
    <s v="5031"/>
    <s v="JIP 50B"/>
    <s v="5031 - JIP 50B"/>
    <s v="50113008     léky - krev.deriváty ZUL (TO)"/>
    <x v="5"/>
    <x v="1"/>
    <n v="692.47546"/>
    <n v="560.00491717430305"/>
  </r>
  <r>
    <s v="50"/>
    <s v="50"/>
    <s v="Kardiochirurgická klinika"/>
    <x v="45"/>
    <s v="5031"/>
    <s v="JIP 50B"/>
    <s v="5031 - JIP 50B"/>
    <s v="50113008     léky - krev.deriváty ZUL (TO)"/>
    <x v="5"/>
    <x v="2"/>
    <n v="519.86635000000001"/>
    <n v="632.25792305893003"/>
  </r>
  <r>
    <s v="50"/>
    <s v="50"/>
    <s v="Kardiochirurgická klinika"/>
    <x v="45"/>
    <s v="5031"/>
    <s v="JIP 50B"/>
    <s v="5031 - JIP 50B"/>
    <s v="50113013     léky (paušál) - antibiotika (LEK)"/>
    <x v="7"/>
    <x v="0"/>
    <n v="414.71337999999997"/>
    <n v="416.86763668327001"/>
  </r>
  <r>
    <s v="50"/>
    <s v="50"/>
    <s v="Kardiochirurgická klinika"/>
    <x v="45"/>
    <s v="5031"/>
    <s v="JIP 50B"/>
    <s v="5031 - JIP 50B"/>
    <s v="50113013     léky (paušál) - antibiotika (LEK)"/>
    <x v="7"/>
    <x v="1"/>
    <n v="273.51638000000003"/>
    <n v="291.97193034995701"/>
  </r>
  <r>
    <s v="50"/>
    <s v="50"/>
    <s v="Kardiochirurgická klinika"/>
    <x v="45"/>
    <s v="5031"/>
    <s v="JIP 50B"/>
    <s v="5031 - JIP 50B"/>
    <s v="50113013     léky (paušál) - antibiotika (LEK)"/>
    <x v="7"/>
    <x v="2"/>
    <n v="151.43664000000004"/>
    <n v="217.937713640021"/>
  </r>
  <r>
    <s v="50"/>
    <s v="50"/>
    <s v="Kardiochirurgická klinika"/>
    <x v="45"/>
    <s v="5031"/>
    <s v="JIP 50B"/>
    <s v="5031 - JIP 50B"/>
    <s v="50113014     léky (paušál) - antimykotika (LEK)"/>
    <x v="8"/>
    <x v="0"/>
    <n v="229.23583000000005"/>
    <n v="44.722860514360001"/>
  </r>
  <r>
    <s v="50"/>
    <s v="50"/>
    <s v="Kardiochirurgická klinika"/>
    <x v="45"/>
    <s v="5031"/>
    <s v="JIP 50B"/>
    <s v="5031 - JIP 50B"/>
    <s v="50113014     léky (paušál) - antimykotika (LEK)"/>
    <x v="8"/>
    <x v="1"/>
    <n v="12.577989999999998"/>
    <n v="186.092578735167"/>
  </r>
  <r>
    <s v="50"/>
    <s v="50"/>
    <s v="Kardiochirurgická klinika"/>
    <x v="45"/>
    <s v="5031"/>
    <s v="JIP 50B"/>
    <s v="5031 - JIP 50B"/>
    <s v="50113014     léky (paušál) - antimykotika (LEK)"/>
    <x v="8"/>
    <x v="2"/>
    <n v="50.509599999999999"/>
    <n v="24.691652793296001"/>
  </r>
  <r>
    <s v="50"/>
    <s v="50"/>
    <s v="Kardiochirurgická klinika"/>
    <x v="45"/>
    <s v="5031"/>
    <s v="JIP 50B"/>
    <s v="5031 - JIP 50B"/>
    <s v="50113190     medicinální plyny"/>
    <x v="9"/>
    <x v="0"/>
    <n v="134.67353"/>
    <n v="126.054648470399"/>
  </r>
  <r>
    <s v="50"/>
    <s v="50"/>
    <s v="Kardiochirurgická klinika"/>
    <x v="45"/>
    <s v="5031"/>
    <s v="JIP 50B"/>
    <s v="5031 - JIP 50B"/>
    <s v="50113190     medicinální plyny"/>
    <x v="9"/>
    <x v="1"/>
    <n v="127.45682000000002"/>
    <n v="128.84501924885799"/>
  </r>
  <r>
    <s v="50"/>
    <s v="50"/>
    <s v="Kardiochirurgická klinika"/>
    <x v="45"/>
    <s v="5031"/>
    <s v="JIP 50B"/>
    <s v="5031 - JIP 50B"/>
    <s v="50113190     medicinální plyny"/>
    <x v="9"/>
    <x v="2"/>
    <n v="106.70676999999999"/>
    <n v="123.505140610743"/>
  </r>
  <r>
    <s v="50"/>
    <s v="50"/>
    <s v="Kardiochirurgická klinika"/>
    <x v="45"/>
    <s v="5031"/>
    <s v="JIP 50B"/>
    <s v="5031 - JIP 50B"/>
    <s v="50115     Zdravotnické prostředky"/>
    <x v="0"/>
    <x v="0"/>
    <n v="3665.3838900000014"/>
    <n v="3791.44656199473"/>
  </r>
  <r>
    <s v="50"/>
    <s v="50"/>
    <s v="Kardiochirurgická klinika"/>
    <x v="45"/>
    <s v="5031"/>
    <s v="JIP 50B"/>
    <s v="5031 - JIP 50B"/>
    <s v="50115     Zdravotnické prostředky"/>
    <x v="0"/>
    <x v="1"/>
    <n v="4091.1639200000018"/>
    <n v="4209.03849493901"/>
  </r>
  <r>
    <s v="50"/>
    <s v="50"/>
    <s v="Kardiochirurgická klinika"/>
    <x v="45"/>
    <s v="5031"/>
    <s v="JIP 50B"/>
    <s v="5031 - JIP 50B"/>
    <s v="50115     Zdravotnické prostředky"/>
    <x v="0"/>
    <x v="2"/>
    <n v="2512.3610300000009"/>
    <n v="4019.6226132834299"/>
  </r>
  <r>
    <s v="50"/>
    <s v="50"/>
    <s v="Kardiochirurgická klinika"/>
    <x v="45"/>
    <s v="5031"/>
    <s v="JIP 50B"/>
    <s v="5031 - JIP 50B"/>
    <s v="50115020     diagnostika laboratorní-LEK (sk.Z_501)"/>
    <x v="10"/>
    <x v="0"/>
    <n v="906.85535000000004"/>
    <n v="1007.8261419516"/>
  </r>
  <r>
    <s v="50"/>
    <s v="50"/>
    <s v="Kardiochirurgická klinika"/>
    <x v="45"/>
    <s v="5031"/>
    <s v="JIP 50B"/>
    <s v="5031 - JIP 50B"/>
    <s v="50115020     diagnostika laboratorní-LEK (sk.Z_501)"/>
    <x v="10"/>
    <x v="1"/>
    <n v="1031.43659"/>
    <n v="1127.0656717808999"/>
  </r>
  <r>
    <s v="50"/>
    <s v="50"/>
    <s v="Kardiochirurgická klinika"/>
    <x v="45"/>
    <s v="5031"/>
    <s v="JIP 50B"/>
    <s v="5031 - JIP 50B"/>
    <s v="50115020     diagnostika laboratorní-LEK (sk.Z_501)"/>
    <x v="10"/>
    <x v="2"/>
    <n v="606.05488000000003"/>
    <n v="1000.96402959427"/>
  </r>
  <r>
    <s v="50"/>
    <s v="50"/>
    <s v="Kardiochirurgická klinika"/>
    <x v="45"/>
    <s v="5031"/>
    <s v="JIP 50B"/>
    <s v="5031 - JIP 50B"/>
    <s v="50115040     laboratorní materiál (sk.Z_505)"/>
    <x v="11"/>
    <x v="0"/>
    <n v="0.78197000000000005"/>
    <n v="0.94990943338099998"/>
  </r>
  <r>
    <s v="50"/>
    <s v="50"/>
    <s v="Kardiochirurgická klinika"/>
    <x v="45"/>
    <s v="5031"/>
    <s v="JIP 50B"/>
    <s v="5031 - JIP 50B"/>
    <s v="50115040     laboratorní materiál (sk.Z_505)"/>
    <x v="11"/>
    <x v="1"/>
    <n v="0.83973999999999993"/>
    <n v="0.78201943475299995"/>
  </r>
  <r>
    <s v="50"/>
    <s v="50"/>
    <s v="Kardiochirurgická klinika"/>
    <x v="45"/>
    <s v="5031"/>
    <s v="JIP 50B"/>
    <s v="5031 - JIP 50B"/>
    <s v="50115040     laboratorní materiál (sk.Z_505)"/>
    <x v="11"/>
    <x v="2"/>
    <n v="0.37611000000000006"/>
    <n v="1.461065296001"/>
  </r>
  <r>
    <s v="50"/>
    <s v="50"/>
    <s v="Kardiochirurgická klinika"/>
    <x v="45"/>
    <s v="5031"/>
    <s v="JIP 50B"/>
    <s v="5031 - JIP 50B"/>
    <s v="50115050     obvazový materiál (sk.Z_502)"/>
    <x v="12"/>
    <x v="0"/>
    <n v="388.55725999999999"/>
    <n v="412.49362796726803"/>
  </r>
  <r>
    <s v="50"/>
    <s v="50"/>
    <s v="Kardiochirurgická klinika"/>
    <x v="45"/>
    <s v="5031"/>
    <s v="JIP 50B"/>
    <s v="5031 - JIP 50B"/>
    <s v="50115050     obvazový materiál (sk.Z_502)"/>
    <x v="12"/>
    <x v="1"/>
    <n v="243.65518000000003"/>
    <n v="329.440904973079"/>
  </r>
  <r>
    <s v="50"/>
    <s v="50"/>
    <s v="Kardiochirurgická klinika"/>
    <x v="45"/>
    <s v="5031"/>
    <s v="JIP 50B"/>
    <s v="5031 - JIP 50B"/>
    <s v="50115050     obvazový materiál (sk.Z_502)"/>
    <x v="12"/>
    <x v="2"/>
    <n v="183.69178999999997"/>
    <n v="312.22086618486202"/>
  </r>
  <r>
    <s v="50"/>
    <s v="50"/>
    <s v="Kardiochirurgická klinika"/>
    <x v="45"/>
    <s v="5031"/>
    <s v="JIP 50B"/>
    <s v="5031 - JIP 50B"/>
    <s v="50115060     ostatní ZPr - mimo níže uvedené (sk.Z_503)"/>
    <x v="1"/>
    <x v="0"/>
    <n v="1952.7467500000012"/>
    <n v="1880.02400817749"/>
  </r>
  <r>
    <s v="50"/>
    <s v="50"/>
    <s v="Kardiochirurgická klinika"/>
    <x v="45"/>
    <s v="5031"/>
    <s v="JIP 50B"/>
    <s v="5031 - JIP 50B"/>
    <s v="50115060     ostatní ZPr - mimo níže uvedené (sk.Z_503)"/>
    <x v="1"/>
    <x v="1"/>
    <n v="2286.8152400000008"/>
    <n v="2146.5775414003801"/>
  </r>
  <r>
    <s v="50"/>
    <s v="50"/>
    <s v="Kardiochirurgická klinika"/>
    <x v="45"/>
    <s v="5031"/>
    <s v="JIP 50B"/>
    <s v="5031 - JIP 50B"/>
    <s v="50115060     ostatní ZPr - mimo níže uvedené (sk.Z_503)"/>
    <x v="1"/>
    <x v="2"/>
    <n v="1171.23498"/>
    <n v="2201.1534024139901"/>
  </r>
  <r>
    <s v="50"/>
    <s v="50"/>
    <s v="Kardiochirurgická klinika"/>
    <x v="45"/>
    <s v="5031"/>
    <s v="JIP 50B"/>
    <s v="5031 - JIP 50B"/>
    <s v="50115063     ostatní ZPr - vaky, sety (sk.Z_528)"/>
    <x v="13"/>
    <x v="0"/>
    <n v="148.31629999999899"/>
    <n v="151.76559029888099"/>
  </r>
  <r>
    <s v="50"/>
    <s v="50"/>
    <s v="Kardiochirurgická klinika"/>
    <x v="45"/>
    <s v="5031"/>
    <s v="JIP 50B"/>
    <s v="5031 - JIP 50B"/>
    <s v="50115063     ostatní ZPr - vaky, sety (sk.Z_528)"/>
    <x v="13"/>
    <x v="1"/>
    <n v="150.25245999999999"/>
    <n v="150.29425981887201"/>
  </r>
  <r>
    <s v="50"/>
    <s v="50"/>
    <s v="Kardiochirurgická klinika"/>
    <x v="45"/>
    <s v="5031"/>
    <s v="JIP 50B"/>
    <s v="5031 - JIP 50B"/>
    <s v="50115063     ostatní ZPr - vaky, sety (sk.Z_528)"/>
    <x v="13"/>
    <x v="2"/>
    <n v="162.52081999999999"/>
    <n v="156.48970981252899"/>
  </r>
  <r>
    <s v="50"/>
    <s v="50"/>
    <s v="Kardiochirurgická klinika"/>
    <x v="45"/>
    <s v="5031"/>
    <s v="JIP 50B"/>
    <s v="5031 - JIP 50B"/>
    <s v="50115065     ostatní ZPr - vpichovací materiál (sk.Z_530)"/>
    <x v="14"/>
    <x v="0"/>
    <n v="10.999999999999"/>
    <n v="16.864929227708998"/>
  </r>
  <r>
    <s v="50"/>
    <s v="50"/>
    <s v="Kardiochirurgická klinika"/>
    <x v="45"/>
    <s v="5031"/>
    <s v="JIP 50B"/>
    <s v="5031 - JIP 50B"/>
    <s v="50115065     ostatní ZPr - vpichovací materiál (sk.Z_530)"/>
    <x v="14"/>
    <x v="1"/>
    <n v="20.323250000000002"/>
    <n v="13.283972342459"/>
  </r>
  <r>
    <s v="50"/>
    <s v="50"/>
    <s v="Kardiochirurgická klinika"/>
    <x v="45"/>
    <s v="5031"/>
    <s v="JIP 50B"/>
    <s v="5031 - JIP 50B"/>
    <s v="50115065     ostatní ZPr - vpichovací materiál (sk.Z_530)"/>
    <x v="14"/>
    <x v="2"/>
    <n v="20.84825"/>
    <n v="26.593112346659002"/>
  </r>
  <r>
    <s v="50"/>
    <s v="50"/>
    <s v="Kardiochirurgická klinika"/>
    <x v="45"/>
    <s v="5031"/>
    <s v="JIP 50B"/>
    <s v="5031 - JIP 50B"/>
    <s v="50115067     ostatní ZPr - rukavice (sk.Z_532)"/>
    <x v="15"/>
    <x v="0"/>
    <n v="130.53289999999902"/>
    <n v="150.01235493840301"/>
  </r>
  <r>
    <s v="50"/>
    <s v="50"/>
    <s v="Kardiochirurgická klinika"/>
    <x v="45"/>
    <s v="5031"/>
    <s v="JIP 50B"/>
    <s v="5031 - JIP 50B"/>
    <s v="50115067     ostatní ZPr - rukavice (sk.Z_532)"/>
    <x v="15"/>
    <x v="1"/>
    <n v="138.58321000000004"/>
    <n v="132.380003372245"/>
  </r>
  <r>
    <s v="50"/>
    <s v="50"/>
    <s v="Kardiochirurgická klinika"/>
    <x v="45"/>
    <s v="5031"/>
    <s v="JIP 50B"/>
    <s v="5031 - JIP 50B"/>
    <s v="50115067     ostatní ZPr - rukavice (sk.Z_532)"/>
    <x v="15"/>
    <x v="2"/>
    <n v="89.138000000000005"/>
    <n v="128.22390619797099"/>
  </r>
  <r>
    <s v="50"/>
    <s v="50"/>
    <s v="Kardiochirurgická klinika"/>
    <x v="45"/>
    <s v="5031"/>
    <s v="JIP 50B"/>
    <s v="5031 - JIP 50B"/>
    <s v="50115070     ostatní ZPr - katetry (sk.Z_513)"/>
    <x v="16"/>
    <x v="0"/>
    <n v="126.59335999999998"/>
    <n v="171.51"/>
  </r>
  <r>
    <s v="50"/>
    <s v="50"/>
    <s v="Kardiochirurgická klinika"/>
    <x v="45"/>
    <s v="5031"/>
    <s v="JIP 50B"/>
    <s v="5031 - JIP 50B"/>
    <s v="50115070     ostatní ZPr - katetry (sk.Z_513)"/>
    <x v="16"/>
    <x v="1"/>
    <n v="219.25824999999998"/>
    <n v="309.21412181632502"/>
  </r>
  <r>
    <s v="50"/>
    <s v="50"/>
    <s v="Kardiochirurgická klinika"/>
    <x v="45"/>
    <s v="5031"/>
    <s v="JIP 50B"/>
    <s v="5031 - JIP 50B"/>
    <s v="50115070     ostatní ZPr - katetry (sk.Z_513)"/>
    <x v="16"/>
    <x v="2"/>
    <n v="120.81271"/>
    <n v="192.51652143715"/>
  </r>
  <r>
    <s v="50"/>
    <s v="50"/>
    <s v="Kardiochirurgická klinika"/>
    <x v="45"/>
    <s v="5031"/>
    <s v="JIP 50B"/>
    <s v="5031 - JIP 50B"/>
    <s v="50115079     ostatní ZPr - intenzivní péče (sk.Z_542)"/>
    <x v="18"/>
    <x v="2"/>
    <n v="157.68349000000001"/>
    <n v="0"/>
  </r>
  <r>
    <s v="50"/>
    <s v="50"/>
    <s v="Kardiochirurgická klinika"/>
    <x v="45"/>
    <s v="5062"/>
    <s v="operační sál - lokální"/>
    <s v="5062 - operační sál - lokální"/>
    <s v="50113     Léky a léčiva"/>
    <x v="2"/>
    <x v="0"/>
    <n v="1713.8406200000011"/>
    <n v="1888.3353209515401"/>
  </r>
  <r>
    <s v="50"/>
    <s v="50"/>
    <s v="Kardiochirurgická klinika"/>
    <x v="45"/>
    <s v="5062"/>
    <s v="operační sál - lokální"/>
    <s v="5062 - operační sál - lokální"/>
    <s v="50113     Léky a léčiva"/>
    <x v="2"/>
    <x v="1"/>
    <n v="1846.3706400000012"/>
    <n v="1782.5863476238601"/>
  </r>
  <r>
    <s v="50"/>
    <s v="50"/>
    <s v="Kardiochirurgická klinika"/>
    <x v="45"/>
    <s v="5062"/>
    <s v="operační sál - lokální"/>
    <s v="5062 - operační sál - lokální"/>
    <s v="50113     Léky a léčiva"/>
    <x v="2"/>
    <x v="2"/>
    <n v="1300.43289"/>
    <n v="1876.6406981965199"/>
  </r>
  <r>
    <s v="50"/>
    <s v="50"/>
    <s v="Kardiochirurgická klinika"/>
    <x v="45"/>
    <s v="5062"/>
    <s v="operační sál - lokální"/>
    <s v="5062 - operační sál - lokální"/>
    <s v="50113001     léky - paušál+TISS (LEK)"/>
    <x v="3"/>
    <x v="0"/>
    <n v="1547.2555400000008"/>
    <n v="1631.6982779095699"/>
  </r>
  <r>
    <s v="50"/>
    <s v="50"/>
    <s v="Kardiochirurgická klinika"/>
    <x v="45"/>
    <s v="5062"/>
    <s v="operační sál - lokální"/>
    <s v="5062 - operační sál - lokální"/>
    <s v="50113001     léky - paušál+TISS (LEK)"/>
    <x v="3"/>
    <x v="1"/>
    <n v="1713.4043000000013"/>
    <n v="1622.427244296"/>
  </r>
  <r>
    <s v="50"/>
    <s v="50"/>
    <s v="Kardiochirurgická klinika"/>
    <x v="45"/>
    <s v="5062"/>
    <s v="operační sál - lokální"/>
    <s v="5062 - operační sál - lokální"/>
    <s v="50113001     léky - paušál+TISS (LEK)"/>
    <x v="3"/>
    <x v="2"/>
    <n v="1180.52072"/>
    <n v="1734.9802317065401"/>
  </r>
  <r>
    <s v="50"/>
    <s v="50"/>
    <s v="Kardiochirurgická klinika"/>
    <x v="45"/>
    <s v="5062"/>
    <s v="operační sál - lokální"/>
    <s v="5062 - operační sál - lokální"/>
    <s v="50113006     léky - enterální výživa (LEK)"/>
    <x v="4"/>
    <x v="0"/>
    <n v="17.802"/>
    <n v="82.152502680462007"/>
  </r>
  <r>
    <s v="50"/>
    <s v="50"/>
    <s v="Kardiochirurgická klinika"/>
    <x v="45"/>
    <s v="5062"/>
    <s v="operační sál - lokální"/>
    <s v="5062 - operační sál - lokální"/>
    <s v="50113006     léky - enterální výživa (LEK)"/>
    <x v="4"/>
    <x v="1"/>
    <n v="0"/>
    <n v="13.775403547353999"/>
  </r>
  <r>
    <s v="50"/>
    <s v="50"/>
    <s v="Kardiochirurgická klinika"/>
    <x v="45"/>
    <s v="5062"/>
    <s v="operační sál - lokální"/>
    <s v="5062 - operační sál - lokální"/>
    <s v="50113012     léky - trombolýza (LEK)"/>
    <x v="19"/>
    <x v="2"/>
    <n v="21.645879999999998"/>
    <n v="0"/>
  </r>
  <r>
    <s v="50"/>
    <s v="50"/>
    <s v="Kardiochirurgická klinika"/>
    <x v="45"/>
    <s v="5062"/>
    <s v="operační sál - lokální"/>
    <s v="5062 - operační sál - lokální"/>
    <s v="50113013     léky (paušál) - antibiotika (LEK)"/>
    <x v="7"/>
    <x v="0"/>
    <n v="0.71748000000000001"/>
    <n v="32.310389456844"/>
  </r>
  <r>
    <s v="50"/>
    <s v="50"/>
    <s v="Kardiochirurgická klinika"/>
    <x v="45"/>
    <s v="5062"/>
    <s v="operační sál - lokální"/>
    <s v="5062 - operační sál - lokální"/>
    <s v="50113013     léky (paušál) - antibiotika (LEK)"/>
    <x v="7"/>
    <x v="1"/>
    <n v="0"/>
    <n v="4.7262034477550001"/>
  </r>
  <r>
    <s v="50"/>
    <s v="50"/>
    <s v="Kardiochirurgická klinika"/>
    <x v="45"/>
    <s v="5062"/>
    <s v="operační sál - lokální"/>
    <s v="5062 - operační sál - lokální"/>
    <s v="50113190     medicinální plyny"/>
    <x v="9"/>
    <x v="0"/>
    <n v="148.06559999999999"/>
    <n v="142.17415090466699"/>
  </r>
  <r>
    <s v="50"/>
    <s v="50"/>
    <s v="Kardiochirurgická klinika"/>
    <x v="45"/>
    <s v="5062"/>
    <s v="operační sál - lokální"/>
    <s v="5062 - operační sál - lokální"/>
    <s v="50113190     medicinální plyny"/>
    <x v="9"/>
    <x v="1"/>
    <n v="132.96634"/>
    <n v="141.65749633275101"/>
  </r>
  <r>
    <s v="50"/>
    <s v="50"/>
    <s v="Kardiochirurgická klinika"/>
    <x v="45"/>
    <s v="5062"/>
    <s v="operační sál - lokální"/>
    <s v="5062 - operační sál - lokální"/>
    <s v="50113190     medicinální plyny"/>
    <x v="9"/>
    <x v="2"/>
    <n v="98.266289999999998"/>
    <n v="141.660466489974"/>
  </r>
  <r>
    <s v="50"/>
    <s v="50"/>
    <s v="Kardiochirurgická klinika"/>
    <x v="45"/>
    <s v="5062"/>
    <s v="operační sál - lokální"/>
    <s v="5062 - operační sál - lokální"/>
    <s v="50115     Zdravotnické prostředky"/>
    <x v="0"/>
    <x v="0"/>
    <n v="27937.108290000011"/>
    <n v="30375.2649697454"/>
  </r>
  <r>
    <s v="50"/>
    <s v="50"/>
    <s v="Kardiochirurgická klinika"/>
    <x v="45"/>
    <s v="5062"/>
    <s v="operační sál - lokální"/>
    <s v="5062 - operační sál - lokální"/>
    <s v="50115     Zdravotnické prostředky"/>
    <x v="0"/>
    <x v="1"/>
    <n v="30160.591600000011"/>
    <n v="30420.3501147231"/>
  </r>
  <r>
    <s v="50"/>
    <s v="50"/>
    <s v="Kardiochirurgická klinika"/>
    <x v="45"/>
    <s v="5062"/>
    <s v="operační sál - lokální"/>
    <s v="5062 - operační sál - lokální"/>
    <s v="50115     Zdravotnické prostředky"/>
    <x v="0"/>
    <x v="2"/>
    <n v="24897.43047000001"/>
    <n v="30448.3909283252"/>
  </r>
  <r>
    <s v="50"/>
    <s v="50"/>
    <s v="Kardiochirurgická klinika"/>
    <x v="45"/>
    <s v="5062"/>
    <s v="operační sál - lokální"/>
    <s v="5062 - operační sál - lokální"/>
    <s v="50115001     implant.umělé těl.náhr.-kardiostim. (sk.Z_517)"/>
    <x v="23"/>
    <x v="1"/>
    <n v="0"/>
    <n v="0"/>
  </r>
  <r>
    <s v="50"/>
    <s v="50"/>
    <s v="Kardiochirurgická klinika"/>
    <x v="45"/>
    <s v="5062"/>
    <s v="operační sál - lokální"/>
    <s v="5062 - operační sál - lokální"/>
    <s v="50115004     implant.umělé těl.náhr.-kovové (s.Z_506)"/>
    <x v="25"/>
    <x v="0"/>
    <n v="4121.7202200000011"/>
    <n v="5000.4129999999996"/>
  </r>
  <r>
    <s v="50"/>
    <s v="50"/>
    <s v="Kardiochirurgická klinika"/>
    <x v="45"/>
    <s v="5062"/>
    <s v="operační sál - lokální"/>
    <s v="5062 - operační sál - lokální"/>
    <s v="50115004     implant.umělé těl.náhr.-kovové (s.Z_506)"/>
    <x v="25"/>
    <x v="1"/>
    <n v="3625.3044800000021"/>
    <n v="4574.06905635357"/>
  </r>
  <r>
    <s v="50"/>
    <s v="50"/>
    <s v="Kardiochirurgická klinika"/>
    <x v="45"/>
    <s v="5062"/>
    <s v="operační sál - lokální"/>
    <s v="5062 - operační sál - lokální"/>
    <s v="50115004     implant.umělé těl.náhr.-kovové (s.Z_506)"/>
    <x v="25"/>
    <x v="2"/>
    <n v="2405.3318200000003"/>
    <n v="3628.9998856952998"/>
  </r>
  <r>
    <s v="50"/>
    <s v="50"/>
    <s v="Kardiochirurgická klinika"/>
    <x v="45"/>
    <s v="5062"/>
    <s v="operační sál - lokální"/>
    <s v="5062 - operační sál - lokální"/>
    <s v="50115011     implant.umělé těl.náhr.-ostat.nákl.PZT(s.Z_515)"/>
    <x v="26"/>
    <x v="1"/>
    <n v="539.73163999999997"/>
    <n v="246.99991492653001"/>
  </r>
  <r>
    <s v="50"/>
    <s v="50"/>
    <s v="Kardiochirurgická klinika"/>
    <x v="45"/>
    <s v="5062"/>
    <s v="operační sál - lokální"/>
    <s v="5062 - operační sál - lokální"/>
    <s v="50115011     implant.umělé těl.náhr.-ostat.nákl.PZT(s.Z_515)"/>
    <x v="26"/>
    <x v="2"/>
    <n v="922.66450999999995"/>
    <n v="654.99997936908699"/>
  </r>
  <r>
    <s v="50"/>
    <s v="50"/>
    <s v="Kardiochirurgická klinika"/>
    <x v="45"/>
    <s v="5062"/>
    <s v="operační sál - lokální"/>
    <s v="5062 - operační sál - lokální"/>
    <s v="50115020     diagnostika laboratorní-LEK (sk.Z_501)"/>
    <x v="10"/>
    <x v="0"/>
    <n v="85.832009999999997"/>
    <n v="275.134606333183"/>
  </r>
  <r>
    <s v="50"/>
    <s v="50"/>
    <s v="Kardiochirurgická klinika"/>
    <x v="45"/>
    <s v="5062"/>
    <s v="operační sál - lokální"/>
    <s v="5062 - operační sál - lokální"/>
    <s v="50115020     diagnostika laboratorní-LEK (sk.Z_501)"/>
    <x v="10"/>
    <x v="1"/>
    <n v="133.46808999999999"/>
    <n v="28.831945633078"/>
  </r>
  <r>
    <s v="50"/>
    <s v="50"/>
    <s v="Kardiochirurgická klinika"/>
    <x v="45"/>
    <s v="5062"/>
    <s v="operační sál - lokální"/>
    <s v="5062 - operační sál - lokální"/>
    <s v="50115020     diagnostika laboratorní-LEK (sk.Z_501)"/>
    <x v="10"/>
    <x v="2"/>
    <n v="94.10754"/>
    <n v="101.185399827548"/>
  </r>
  <r>
    <s v="50"/>
    <s v="50"/>
    <s v="Kardiochirurgická klinika"/>
    <x v="45"/>
    <s v="5062"/>
    <s v="operační sál - lokální"/>
    <s v="5062 - operační sál - lokální"/>
    <s v="50115040     laboratorní materiál (sk.Z_505)"/>
    <x v="11"/>
    <x v="0"/>
    <n v="0.37947999999999998"/>
    <n v="10.00068998852"/>
  </r>
  <r>
    <s v="50"/>
    <s v="50"/>
    <s v="Kardiochirurgická klinika"/>
    <x v="45"/>
    <s v="5062"/>
    <s v="operační sál - lokální"/>
    <s v="5062 - operační sál - lokální"/>
    <s v="50115040     laboratorní materiál (sk.Z_505)"/>
    <x v="11"/>
    <x v="1"/>
    <n v="0.18584999999999999"/>
    <n v="1.3795039900499999"/>
  </r>
  <r>
    <s v="50"/>
    <s v="50"/>
    <s v="Kardiochirurgická klinika"/>
    <x v="45"/>
    <s v="5062"/>
    <s v="operační sál - lokální"/>
    <s v="5062 - operační sál - lokální"/>
    <s v="50115040     laboratorní materiál (sk.Z_505)"/>
    <x v="11"/>
    <x v="2"/>
    <n v="0.18586"/>
    <n v="0.53893464100300004"/>
  </r>
  <r>
    <s v="50"/>
    <s v="50"/>
    <s v="Kardiochirurgická klinika"/>
    <x v="45"/>
    <s v="5062"/>
    <s v="operační sál - lokální"/>
    <s v="5062 - operační sál - lokální"/>
    <s v="50115050     obvazový materiál (sk.Z_502)"/>
    <x v="12"/>
    <x v="0"/>
    <n v="384.39420000000001"/>
    <n v="432.92975541634303"/>
  </r>
  <r>
    <s v="50"/>
    <s v="50"/>
    <s v="Kardiochirurgická klinika"/>
    <x v="45"/>
    <s v="5062"/>
    <s v="operační sál - lokální"/>
    <s v="5062 - operační sál - lokální"/>
    <s v="50115050     obvazový materiál (sk.Z_502)"/>
    <x v="12"/>
    <x v="1"/>
    <n v="385.59869999999995"/>
    <n v="385.26833219302102"/>
  </r>
  <r>
    <s v="50"/>
    <s v="50"/>
    <s v="Kardiochirurgická klinika"/>
    <x v="45"/>
    <s v="5062"/>
    <s v="operační sál - lokální"/>
    <s v="5062 - operační sál - lokální"/>
    <s v="50115050     obvazový materiál (sk.Z_502)"/>
    <x v="12"/>
    <x v="2"/>
    <n v="303.62718000000001"/>
    <n v="383.99922928563899"/>
  </r>
  <r>
    <s v="50"/>
    <s v="50"/>
    <s v="Kardiochirurgická klinika"/>
    <x v="45"/>
    <s v="5062"/>
    <s v="operační sál - lokální"/>
    <s v="5062 - operační sál - lokální"/>
    <s v="50115060     ostatní ZPr - mimo níže uvedené (sk.Z_503)"/>
    <x v="1"/>
    <x v="0"/>
    <n v="17440.812600000012"/>
    <n v="17856.6273853192"/>
  </r>
  <r>
    <s v="50"/>
    <s v="50"/>
    <s v="Kardiochirurgická klinika"/>
    <x v="45"/>
    <s v="5062"/>
    <s v="operační sál - lokální"/>
    <s v="5062 - operační sál - lokální"/>
    <s v="50115060     ostatní ZPr - mimo níže uvedené (sk.Z_503)"/>
    <x v="1"/>
    <x v="1"/>
    <n v="19342.916470000011"/>
    <n v="18807.510585894299"/>
  </r>
  <r>
    <s v="50"/>
    <s v="50"/>
    <s v="Kardiochirurgická klinika"/>
    <x v="45"/>
    <s v="5062"/>
    <s v="operační sál - lokální"/>
    <s v="5062 - operační sál - lokální"/>
    <s v="50115060     ostatní ZPr - mimo níže uvedené (sk.Z_503)"/>
    <x v="1"/>
    <x v="2"/>
    <n v="16100.089500000002"/>
    <n v="19576.778737691799"/>
  </r>
  <r>
    <s v="50"/>
    <s v="50"/>
    <s v="Kardiochirurgická klinika"/>
    <x v="45"/>
    <s v="5062"/>
    <s v="operační sál - lokální"/>
    <s v="5062 - operační sál - lokální"/>
    <s v="50115063     ostatní ZPr - vaky, sety (sk.Z_528)"/>
    <x v="13"/>
    <x v="0"/>
    <n v="938.66325000000006"/>
    <n v="1042.81587833615"/>
  </r>
  <r>
    <s v="50"/>
    <s v="50"/>
    <s v="Kardiochirurgická klinika"/>
    <x v="45"/>
    <s v="5062"/>
    <s v="operační sál - lokální"/>
    <s v="5062 - operační sál - lokální"/>
    <s v="50115063     ostatní ZPr - vaky, sety (sk.Z_528)"/>
    <x v="13"/>
    <x v="1"/>
    <n v="841.05961000000013"/>
    <n v="879.537484635841"/>
  </r>
  <r>
    <s v="50"/>
    <s v="50"/>
    <s v="Kardiochirurgická klinika"/>
    <x v="45"/>
    <s v="5062"/>
    <s v="operační sál - lokální"/>
    <s v="5062 - operační sál - lokální"/>
    <s v="50115063     ostatní ZPr - vaky, sety (sk.Z_528)"/>
    <x v="13"/>
    <x v="2"/>
    <n v="703.93620999999996"/>
    <n v="979.75736726619402"/>
  </r>
  <r>
    <s v="50"/>
    <s v="50"/>
    <s v="Kardiochirurgická klinika"/>
    <x v="45"/>
    <s v="5062"/>
    <s v="operační sál - lokální"/>
    <s v="5062 - operační sál - lokální"/>
    <s v="50115064     ostatní ZPr - šicí materiál (sk.Z_529)"/>
    <x v="21"/>
    <x v="0"/>
    <n v="2129.9143700000013"/>
    <n v="2156.3808071694202"/>
  </r>
  <r>
    <s v="50"/>
    <s v="50"/>
    <s v="Kardiochirurgická klinika"/>
    <x v="45"/>
    <s v="5062"/>
    <s v="operační sál - lokální"/>
    <s v="5062 - operační sál - lokální"/>
    <s v="50115064     ostatní ZPr - šicí materiál (sk.Z_529)"/>
    <x v="21"/>
    <x v="1"/>
    <n v="1951.9770200000009"/>
    <n v="2078.0607085173101"/>
  </r>
  <r>
    <s v="50"/>
    <s v="50"/>
    <s v="Kardiochirurgická klinika"/>
    <x v="45"/>
    <s v="5062"/>
    <s v="operační sál - lokální"/>
    <s v="5062 - operační sál - lokální"/>
    <s v="50115064     ostatní ZPr - šicí materiál (sk.Z_529)"/>
    <x v="21"/>
    <x v="2"/>
    <n v="1365.6617000000001"/>
    <n v="1929.99993920968"/>
  </r>
  <r>
    <s v="50"/>
    <s v="50"/>
    <s v="Kardiochirurgická klinika"/>
    <x v="45"/>
    <s v="5062"/>
    <s v="operační sál - lokální"/>
    <s v="5062 - operační sál - lokální"/>
    <s v="50115065     ostatní ZPr - vpichovací materiál (sk.Z_530)"/>
    <x v="14"/>
    <x v="0"/>
    <n v="107.3027"/>
    <n v="200.76657733164001"/>
  </r>
  <r>
    <s v="50"/>
    <s v="50"/>
    <s v="Kardiochirurgická klinika"/>
    <x v="45"/>
    <s v="5062"/>
    <s v="operační sál - lokální"/>
    <s v="5062 - operační sál - lokální"/>
    <s v="50115065     ostatní ZPr - vpichovací materiál (sk.Z_530)"/>
    <x v="14"/>
    <x v="1"/>
    <n v="171.12157999999999"/>
    <n v="150.07281155973899"/>
  </r>
  <r>
    <s v="50"/>
    <s v="50"/>
    <s v="Kardiochirurgická klinika"/>
    <x v="45"/>
    <s v="5062"/>
    <s v="operační sál - lokální"/>
    <s v="5062 - operační sál - lokální"/>
    <s v="50115065     ostatní ZPr - vpichovací materiál (sk.Z_530)"/>
    <x v="14"/>
    <x v="2"/>
    <n v="16.205829999999999"/>
    <n v="214.92006274270699"/>
  </r>
  <r>
    <s v="50"/>
    <s v="50"/>
    <s v="Kardiochirurgická klinika"/>
    <x v="45"/>
    <s v="5062"/>
    <s v="operační sál - lokální"/>
    <s v="5062 - operační sál - lokální"/>
    <s v="50115067     ostatní ZPr - rukavice (sk.Z_532)"/>
    <x v="15"/>
    <x v="0"/>
    <n v="81.120769999998998"/>
    <n v="59.242515512719002"/>
  </r>
  <r>
    <s v="50"/>
    <s v="50"/>
    <s v="Kardiochirurgická klinika"/>
    <x v="45"/>
    <s v="5062"/>
    <s v="operační sál - lokální"/>
    <s v="5062 - operační sál - lokální"/>
    <s v="50115067     ostatní ZPr - rukavice (sk.Z_532)"/>
    <x v="15"/>
    <x v="1"/>
    <n v="79.581760000000003"/>
    <n v="82.268667946234004"/>
  </r>
  <r>
    <s v="50"/>
    <s v="50"/>
    <s v="Kardiochirurgická klinika"/>
    <x v="45"/>
    <s v="5062"/>
    <s v="operační sál - lokální"/>
    <s v="5062 - operační sál - lokální"/>
    <s v="50115067     ostatní ZPr - rukavice (sk.Z_532)"/>
    <x v="15"/>
    <x v="2"/>
    <n v="56.770820000000001"/>
    <n v="75.729552338052002"/>
  </r>
  <r>
    <s v="50"/>
    <s v="50"/>
    <s v="Kardiochirurgická klinika"/>
    <x v="45"/>
    <s v="5062"/>
    <s v="operační sál - lokální"/>
    <s v="5062 - operační sál - lokální"/>
    <s v="50115070     ostatní ZPr - katetry (sk.Z_513)"/>
    <x v="16"/>
    <x v="0"/>
    <n v="2454.8398400000005"/>
    <n v="2707.7341630000001"/>
  </r>
  <r>
    <s v="50"/>
    <s v="50"/>
    <s v="Kardiochirurgická klinika"/>
    <x v="45"/>
    <s v="5062"/>
    <s v="operační sál - lokální"/>
    <s v="5062 - operační sál - lokální"/>
    <s v="50115070     ostatní ZPr - katetry (sk.Z_513)"/>
    <x v="16"/>
    <x v="1"/>
    <n v="3037.9721100000011"/>
    <n v="2962.3512338272499"/>
  </r>
  <r>
    <s v="50"/>
    <s v="50"/>
    <s v="Kardiochirurgická klinika"/>
    <x v="45"/>
    <s v="5062"/>
    <s v="operační sál - lokální"/>
    <s v="5062 - operační sál - lokální"/>
    <s v="50115070     ostatní ZPr - katetry (sk.Z_513)"/>
    <x v="16"/>
    <x v="2"/>
    <n v="2312.3287900000009"/>
    <n v="2839.4833830622001"/>
  </r>
  <r>
    <s v="50"/>
    <s v="50"/>
    <s v="Kardiochirurgická klinika"/>
    <x v="45"/>
    <s v="5062"/>
    <s v="operační sál - lokální"/>
    <s v="5062 - operační sál - lokální"/>
    <s v="50115079     ostatní ZPr - intenzivní péče (sk.Z_542)"/>
    <x v="18"/>
    <x v="2"/>
    <n v="428.93504999999999"/>
    <n v="0"/>
  </r>
  <r>
    <s v="50"/>
    <s v="50"/>
    <s v="Kardiochirurgická klinika"/>
    <x v="45"/>
    <s v="5062"/>
    <s v="operační sál - lokální"/>
    <s v="5062 - operační sál - lokální"/>
    <s v="50115080     ostatní ZPr - staplery, extraktory (sk.Z_523)"/>
    <x v="30"/>
    <x v="0"/>
    <n v="192.12885"/>
    <n v="633.21959133815506"/>
  </r>
  <r>
    <s v="50"/>
    <s v="50"/>
    <s v="Kardiochirurgická klinika"/>
    <x v="45"/>
    <s v="5062"/>
    <s v="operační sál - lokální"/>
    <s v="5062 - operační sál - lokální"/>
    <s v="50115080     ostatní ZPr - staplery, extraktory (sk.Z_523)"/>
    <x v="30"/>
    <x v="1"/>
    <n v="51.674290000000013"/>
    <n v="223.99986924614399"/>
  </r>
  <r>
    <s v="50"/>
    <s v="50"/>
    <s v="Kardiochirurgická klinika"/>
    <x v="45"/>
    <s v="5062"/>
    <s v="operační sál - lokální"/>
    <s v="5062 - operační sál - lokální"/>
    <s v="50115080     ostatní ZPr - staplery, extraktory (sk.Z_523)"/>
    <x v="30"/>
    <x v="2"/>
    <n v="187.58566000000002"/>
    <n v="61.998457196002001"/>
  </r>
  <r>
    <s v="53"/>
    <s v="53"/>
    <s v="Oddělení lékařské fyziky a radiační ochrany"/>
    <x v="46"/>
    <s v="5398"/>
    <s v="odd. lékařské fyziky a rad. ochrany"/>
    <s v="5398 - odd. lékařské fyziky a rad. ochrany"/>
    <s v="50113     Léky a léčiva"/>
    <x v="2"/>
    <x v="2"/>
    <n v="0"/>
    <n v="0"/>
  </r>
  <r>
    <s v="53"/>
    <s v="53"/>
    <s v="Oddělení lékařské fyziky a radiační ochrany"/>
    <x v="46"/>
    <s v="5398"/>
    <s v="odd. lékařské fyziky a rad. ochrany"/>
    <s v="5398 - odd. lékařské fyziky a rad. ochrany"/>
    <s v="50113001     léky - paušál+TISS (LEK)"/>
    <x v="3"/>
    <x v="2"/>
    <n v="0"/>
    <n v="0"/>
  </r>
  <r>
    <s v="53"/>
    <s v="53"/>
    <s v="Oddělení lékařské fyziky a radiační ochrany"/>
    <x v="46"/>
    <s v="5398"/>
    <s v="odd. lékařské fyziky a rad. ochrany"/>
    <s v="5398 - odd. lékařské fyziky a rad. ochrany"/>
    <s v="50115     Zdravotnické prostředky"/>
    <x v="0"/>
    <x v="2"/>
    <n v="0.18976999999999999"/>
    <n v="0"/>
  </r>
  <r>
    <s v="53"/>
    <s v="53"/>
    <s v="Oddělení lékařské fyziky a radiační ochrany"/>
    <x v="46"/>
    <s v="5398"/>
    <s v="odd. lékařské fyziky a rad. ochrany"/>
    <s v="5398 - odd. lékařské fyziky a rad. ochrany"/>
    <s v="50115050     obvazový materiál (sk.Z_502)"/>
    <x v="12"/>
    <x v="2"/>
    <n v="9.5390000000000003E-2"/>
    <n v="0"/>
  </r>
  <r>
    <s v="53"/>
    <s v="53"/>
    <s v="Oddělení lékařské fyziky a radiační ochrany"/>
    <x v="46"/>
    <s v="5398"/>
    <s v="odd. lékařské fyziky a rad. ochrany"/>
    <s v="5398 - odd. lékařské fyziky a rad. ochrany"/>
    <s v="50115060     ostatní ZPr - mimo níže uvedené (sk.Z_503)"/>
    <x v="1"/>
    <x v="2"/>
    <n v="9.4380000000000006E-2"/>
    <n v="0"/>
  </r>
  <r>
    <s v="54"/>
    <s v="54"/>
    <s v="Oddělení nemocniční hygieny"/>
    <x v="47"/>
    <s v="5498"/>
    <s v="Oddělení nemocniční hygieny"/>
    <s v="5498 - Oddělení nemocniční hygieny"/>
    <s v="50113     Léky a léčiva"/>
    <x v="2"/>
    <x v="0"/>
    <n v="0.77005000000000001"/>
    <n v="0"/>
  </r>
  <r>
    <s v="54"/>
    <s v="54"/>
    <s v="Oddělení nemocniční hygieny"/>
    <x v="47"/>
    <s v="5498"/>
    <s v="Oddělení nemocniční hygieny"/>
    <s v="5498 - Oddělení nemocniční hygieny"/>
    <s v="50113     Léky a léčiva"/>
    <x v="2"/>
    <x v="1"/>
    <n v="0"/>
    <n v="0.77063330568099997"/>
  </r>
  <r>
    <s v="54"/>
    <s v="54"/>
    <s v="Oddělení nemocniční hygieny"/>
    <x v="47"/>
    <s v="5498"/>
    <s v="Oddělení nemocniční hygieny"/>
    <s v="5498 - Oddělení nemocniční hygieny"/>
    <s v="50113     Léky a léčiva"/>
    <x v="2"/>
    <x v="2"/>
    <n v="0.40909000000000001"/>
    <n v="0"/>
  </r>
  <r>
    <s v="54"/>
    <s v="54"/>
    <s v="Oddělení nemocniční hygieny"/>
    <x v="47"/>
    <s v="5498"/>
    <s v="Oddělení nemocniční hygieny"/>
    <s v="5498 - Oddělení nemocniční hygieny"/>
    <s v="50113001     léky - paušál+TISS (LEK)"/>
    <x v="3"/>
    <x v="0"/>
    <n v="0.77005000000000001"/>
    <n v="0"/>
  </r>
  <r>
    <s v="54"/>
    <s v="54"/>
    <s v="Oddělení nemocniční hygieny"/>
    <x v="47"/>
    <s v="5498"/>
    <s v="Oddělení nemocniční hygieny"/>
    <s v="5498 - Oddělení nemocniční hygieny"/>
    <s v="50113001     léky - paušál+TISS (LEK)"/>
    <x v="3"/>
    <x v="1"/>
    <n v="0"/>
    <n v="0.77063330568099997"/>
  </r>
  <r>
    <s v="54"/>
    <s v="54"/>
    <s v="Oddělení nemocniční hygieny"/>
    <x v="47"/>
    <s v="5498"/>
    <s v="Oddělení nemocniční hygieny"/>
    <s v="5498 - Oddělení nemocniční hygieny"/>
    <s v="50113001     léky - paušál+TISS (LEK)"/>
    <x v="3"/>
    <x v="2"/>
    <n v="0.40909000000000001"/>
    <n v="0"/>
  </r>
  <r>
    <s v="54"/>
    <s v="54"/>
    <s v="Oddělení nemocniční hygieny"/>
    <x v="47"/>
    <s v="5498"/>
    <s v="Oddělení nemocniční hygieny"/>
    <s v="5498 - Oddělení nemocniční hygieny"/>
    <s v="50115     Zdravotnické prostředky"/>
    <x v="0"/>
    <x v="0"/>
    <n v="43.093330000000002"/>
    <n v="0"/>
  </r>
  <r>
    <s v="54"/>
    <s v="54"/>
    <s v="Oddělení nemocniční hygieny"/>
    <x v="47"/>
    <s v="5498"/>
    <s v="Oddělení nemocniční hygieny"/>
    <s v="5498 - Oddělení nemocniční hygieny"/>
    <s v="50115     Zdravotnické prostředky"/>
    <x v="0"/>
    <x v="1"/>
    <n v="65.088279999999997"/>
    <n v="65.733283269283007"/>
  </r>
  <r>
    <s v="54"/>
    <s v="54"/>
    <s v="Oddělení nemocniční hygieny"/>
    <x v="47"/>
    <s v="5498"/>
    <s v="Oddělení nemocniční hygieny"/>
    <s v="5498 - Oddělení nemocniční hygieny"/>
    <s v="50115     Zdravotnické prostředky"/>
    <x v="0"/>
    <x v="2"/>
    <n v="45.462820000000001"/>
    <n v="66.807997927206998"/>
  </r>
  <r>
    <s v="54"/>
    <s v="54"/>
    <s v="Oddělení nemocniční hygieny"/>
    <x v="47"/>
    <s v="5498"/>
    <s v="Oddělení nemocniční hygieny"/>
    <s v="5498 - Oddělení nemocniční hygieny"/>
    <s v="50115020     diagnostika laboratorní-LEK (sk.Z_501)"/>
    <x v="10"/>
    <x v="0"/>
    <n v="40.366330000000005"/>
    <n v="0"/>
  </r>
  <r>
    <s v="54"/>
    <s v="54"/>
    <s v="Oddělení nemocniční hygieny"/>
    <x v="47"/>
    <s v="5498"/>
    <s v="Oddělení nemocniční hygieny"/>
    <s v="5498 - Oddělení nemocniční hygieny"/>
    <s v="50115020     diagnostika laboratorní-LEK (sk.Z_501)"/>
    <x v="10"/>
    <x v="1"/>
    <n v="62.280280000000005"/>
    <n v="58.999903784494002"/>
  </r>
  <r>
    <s v="54"/>
    <s v="54"/>
    <s v="Oddělení nemocniční hygieny"/>
    <x v="47"/>
    <s v="5498"/>
    <s v="Oddělení nemocniční hygieny"/>
    <s v="5498 - Oddělení nemocniční hygieny"/>
    <s v="50115020     diagnostika laboratorní-LEK (sk.Z_501)"/>
    <x v="10"/>
    <x v="2"/>
    <n v="42.66872"/>
    <n v="62.999998015651997"/>
  </r>
  <r>
    <s v="54"/>
    <s v="54"/>
    <s v="Oddělení nemocniční hygieny"/>
    <x v="47"/>
    <s v="5498"/>
    <s v="Oddělení nemocniční hygieny"/>
    <s v="5498 - Oddělení nemocniční hygieny"/>
    <s v="50115050     obvazový materiál (sk.Z_502)"/>
    <x v="12"/>
    <x v="0"/>
    <n v="2.7119999999999997"/>
    <n v="0"/>
  </r>
  <r>
    <s v="54"/>
    <s v="54"/>
    <s v="Oddělení nemocniční hygieny"/>
    <x v="47"/>
    <s v="5498"/>
    <s v="Oddělení nemocniční hygieny"/>
    <s v="5498 - Oddělení nemocniční hygieny"/>
    <s v="50115050     obvazový materiál (sk.Z_502)"/>
    <x v="12"/>
    <x v="1"/>
    <n v="2.6619999999999999"/>
    <n v="6.7181672275680002"/>
  </r>
  <r>
    <s v="54"/>
    <s v="54"/>
    <s v="Oddělení nemocniční hygieny"/>
    <x v="47"/>
    <s v="5498"/>
    <s v="Oddělení nemocniční hygieny"/>
    <s v="5498 - Oddělení nemocniční hygieny"/>
    <s v="50115050     obvazový materiál (sk.Z_502)"/>
    <x v="12"/>
    <x v="2"/>
    <n v="2.6520999999999999"/>
    <n v="3.6619999161529999"/>
  </r>
  <r>
    <s v="54"/>
    <s v="54"/>
    <s v="Oddělení nemocniční hygieny"/>
    <x v="47"/>
    <s v="5498"/>
    <s v="Oddělení nemocniční hygieny"/>
    <s v="5498 - Oddělení nemocniční hygieny"/>
    <s v="50115067     ostatní ZPr - rukavice (sk.Z_532)"/>
    <x v="15"/>
    <x v="0"/>
    <n v="1.4999999999999999E-2"/>
    <n v="0"/>
  </r>
  <r>
    <s v="54"/>
    <s v="54"/>
    <s v="Oddělení nemocniční hygieny"/>
    <x v="47"/>
    <s v="5498"/>
    <s v="Oddělení nemocniční hygieny"/>
    <s v="5498 - Oddělení nemocniční hygieny"/>
    <s v="50115067     ostatní ZPr - rukavice (sk.Z_532)"/>
    <x v="15"/>
    <x v="1"/>
    <n v="0.14599999999999999"/>
    <n v="1.5212257220000001E-2"/>
  </r>
  <r>
    <s v="54"/>
    <s v="54"/>
    <s v="Oddělení nemocniční hygieny"/>
    <x v="47"/>
    <s v="5498"/>
    <s v="Oddělení nemocniční hygieny"/>
    <s v="5498 - Oddělení nemocniční hygieny"/>
    <s v="50115067     ostatní ZPr - rukavice (sk.Z_532)"/>
    <x v="15"/>
    <x v="2"/>
    <n v="0.14199999999999999"/>
    <n v="0.145999995401"/>
  </r>
  <r>
    <s v="56"/>
    <s v="56"/>
    <s v="Oddělení centrální sterilizace"/>
    <x v="48"/>
    <s v="5693"/>
    <s v="oddělení centrální sterilizace"/>
    <s v="5693 - oddělení centrální sterilizace"/>
    <s v="50113     Léky a léčiva"/>
    <x v="2"/>
    <x v="0"/>
    <n v="52.211979999999002"/>
    <n v="60.882317818670998"/>
  </r>
  <r>
    <s v="56"/>
    <s v="56"/>
    <s v="Oddělení centrální sterilizace"/>
    <x v="48"/>
    <s v="5693"/>
    <s v="oddělení centrální sterilizace"/>
    <s v="5693 - oddělení centrální sterilizace"/>
    <s v="50113     Léky a léčiva"/>
    <x v="2"/>
    <x v="1"/>
    <n v="50.575589999999991"/>
    <n v="52.251530087073"/>
  </r>
  <r>
    <s v="56"/>
    <s v="56"/>
    <s v="Oddělení centrální sterilizace"/>
    <x v="48"/>
    <s v="5693"/>
    <s v="oddělení centrální sterilizace"/>
    <s v="5693 - oddělení centrální sterilizace"/>
    <s v="50113     Léky a léčiva"/>
    <x v="2"/>
    <x v="2"/>
    <n v="36.729509999999998"/>
    <n v="49.150458662368003"/>
  </r>
  <r>
    <s v="56"/>
    <s v="56"/>
    <s v="Oddělení centrální sterilizace"/>
    <x v="48"/>
    <s v="5693"/>
    <s v="oddělení centrální sterilizace"/>
    <s v="5693 - oddělení centrální sterilizace"/>
    <s v="50113001     léky - paušál+TISS (LEK)"/>
    <x v="3"/>
    <x v="0"/>
    <n v="52.211979999999002"/>
    <n v="60.882317818670998"/>
  </r>
  <r>
    <s v="56"/>
    <s v="56"/>
    <s v="Oddělení centrální sterilizace"/>
    <x v="48"/>
    <s v="5693"/>
    <s v="oddělení centrální sterilizace"/>
    <s v="5693 - oddělení centrální sterilizace"/>
    <s v="50113001     léky - paušál+TISS (LEK)"/>
    <x v="3"/>
    <x v="1"/>
    <n v="50.575589999999991"/>
    <n v="52.251530087073"/>
  </r>
  <r>
    <s v="56"/>
    <s v="56"/>
    <s v="Oddělení centrální sterilizace"/>
    <x v="48"/>
    <s v="5693"/>
    <s v="oddělení centrální sterilizace"/>
    <s v="5693 - oddělení centrální sterilizace"/>
    <s v="50113001     léky - paušál+TISS (LEK)"/>
    <x v="3"/>
    <x v="2"/>
    <n v="36.729509999999998"/>
    <n v="49.150458662368003"/>
  </r>
  <r>
    <s v="56"/>
    <s v="56"/>
    <s v="Oddělení centrální sterilizace"/>
    <x v="48"/>
    <s v="5693"/>
    <s v="oddělení centrální sterilizace"/>
    <s v="5693 - oddělení centrální sterilizace"/>
    <s v="50115     Zdravotnické prostředky"/>
    <x v="0"/>
    <x v="0"/>
    <n v="9.4799999999989986"/>
    <n v="10.451205002133999"/>
  </r>
  <r>
    <s v="56"/>
    <s v="56"/>
    <s v="Oddělení centrální sterilizace"/>
    <x v="48"/>
    <s v="5693"/>
    <s v="oddělení centrální sterilizace"/>
    <s v="5693 - oddělení centrální sterilizace"/>
    <s v="50115     Zdravotnické prostředky"/>
    <x v="0"/>
    <x v="1"/>
    <n v="9.9379999999999988"/>
    <n v="9.6141465635780001"/>
  </r>
  <r>
    <s v="56"/>
    <s v="56"/>
    <s v="Oddělení centrální sterilizace"/>
    <x v="48"/>
    <s v="5693"/>
    <s v="oddělení centrální sterilizace"/>
    <s v="5693 - oddělení centrální sterilizace"/>
    <s v="50115     Zdravotnické prostředky"/>
    <x v="0"/>
    <x v="2"/>
    <n v="5.68"/>
    <n v="10.56850795441"/>
  </r>
  <r>
    <s v="56"/>
    <s v="56"/>
    <s v="Oddělení centrální sterilizace"/>
    <x v="48"/>
    <s v="5693"/>
    <s v="oddělení centrální sterilizace"/>
    <s v="5693 - oddělení centrální sterilizace"/>
    <s v="50115060     ostatní ZPr - mimo níže uvedené (sk.Z_503)"/>
    <x v="1"/>
    <x v="0"/>
    <n v="0"/>
    <n v="0.94996121838699998"/>
  </r>
  <r>
    <s v="56"/>
    <s v="56"/>
    <s v="Oddělení centrální sterilizace"/>
    <x v="48"/>
    <s v="5693"/>
    <s v="oddělení centrální sterilizace"/>
    <s v="5693 - oddělení centrální sterilizace"/>
    <s v="50115067     ostatní ZPr - rukavice (sk.Z_532)"/>
    <x v="15"/>
    <x v="0"/>
    <n v="9.4799999999989986"/>
    <n v="9.5012437837460002"/>
  </r>
  <r>
    <s v="56"/>
    <s v="56"/>
    <s v="Oddělení centrální sterilizace"/>
    <x v="48"/>
    <s v="5693"/>
    <s v="oddělení centrální sterilizace"/>
    <s v="5693 - oddělení centrální sterilizace"/>
    <s v="50115067     ostatní ZPr - rukavice (sk.Z_532)"/>
    <x v="15"/>
    <x v="1"/>
    <n v="9.9379999999999988"/>
    <n v="9.6141465635780001"/>
  </r>
  <r>
    <s v="56"/>
    <s v="56"/>
    <s v="Oddělení centrální sterilizace"/>
    <x v="48"/>
    <s v="5693"/>
    <s v="oddělení centrální sterilizace"/>
    <s v="5693 - oddělení centrální sterilizace"/>
    <s v="50115067     ostatní ZPr - rukavice (sk.Z_532)"/>
    <x v="15"/>
    <x v="2"/>
    <n v="5.68"/>
    <n v="10.56850795441"/>
  </r>
  <r>
    <s v="56"/>
    <s v="56"/>
    <s v="Oddělení centrální sterilizace"/>
    <x v="48"/>
    <s v="5695"/>
    <s v="OCS - detašované pracoviště Ortopedie"/>
    <s v="5695 - OCS - detašované pracoviště Ortopedie"/>
    <s v="50113     Léky a léčiva"/>
    <x v="2"/>
    <x v="0"/>
    <n v="5.0372500000000002"/>
    <n v="5.7029892386889998"/>
  </r>
  <r>
    <s v="56"/>
    <s v="56"/>
    <s v="Oddělení centrální sterilizace"/>
    <x v="48"/>
    <s v="5695"/>
    <s v="OCS - detašované pracoviště Ortopedie"/>
    <s v="5695 - OCS - detašované pracoviště Ortopedie"/>
    <s v="50113     Léky a léčiva"/>
    <x v="2"/>
    <x v="1"/>
    <n v="4.9300600000000001"/>
    <n v="5.0410656698149996"/>
  </r>
  <r>
    <s v="56"/>
    <s v="56"/>
    <s v="Oddělení centrální sterilizace"/>
    <x v="48"/>
    <s v="5695"/>
    <s v="OCS - detašované pracoviště Ortopedie"/>
    <s v="5695 - OCS - detašované pracoviště Ortopedie"/>
    <s v="50113     Léky a léčiva"/>
    <x v="2"/>
    <x v="2"/>
    <n v="8.0282"/>
    <n v="5.3714025144750002"/>
  </r>
  <r>
    <s v="56"/>
    <s v="56"/>
    <s v="Oddělení centrální sterilizace"/>
    <x v="48"/>
    <s v="5695"/>
    <s v="OCS - detašované pracoviště Ortopedie"/>
    <s v="5695 - OCS - detašované pracoviště Ortopedie"/>
    <s v="50113001     léky - paušál+TISS (LEK)"/>
    <x v="3"/>
    <x v="0"/>
    <n v="5.0372500000000002"/>
    <n v="5.7029892386889998"/>
  </r>
  <r>
    <s v="56"/>
    <s v="56"/>
    <s v="Oddělení centrální sterilizace"/>
    <x v="48"/>
    <s v="5695"/>
    <s v="OCS - detašované pracoviště Ortopedie"/>
    <s v="5695 - OCS - detašované pracoviště Ortopedie"/>
    <s v="50113001     léky - paušál+TISS (LEK)"/>
    <x v="3"/>
    <x v="1"/>
    <n v="4.9300600000000001"/>
    <n v="5.0410656698149996"/>
  </r>
  <r>
    <s v="56"/>
    <s v="56"/>
    <s v="Oddělení centrální sterilizace"/>
    <x v="48"/>
    <s v="5695"/>
    <s v="OCS - detašované pracoviště Ortopedie"/>
    <s v="5695 - OCS - detašované pracoviště Ortopedie"/>
    <s v="50113001     léky - paušál+TISS (LEK)"/>
    <x v="3"/>
    <x v="2"/>
    <n v="8.0282"/>
    <n v="5.3714025144750002"/>
  </r>
  <r>
    <s v="56"/>
    <s v="56"/>
    <s v="Oddělení centrální sterilizace"/>
    <x v="48"/>
    <s v="5696"/>
    <s v="OCS - detašované pracoviště  DK"/>
    <s v="5696 - OCS - detašované pracoviště  DK"/>
    <s v="50113     Léky a léčiva"/>
    <x v="2"/>
    <x v="0"/>
    <n v="0"/>
    <n v="5.3662154175519996"/>
  </r>
  <r>
    <s v="56"/>
    <s v="56"/>
    <s v="Oddělení centrální sterilizace"/>
    <x v="48"/>
    <s v="5696"/>
    <s v="OCS - detašované pracoviště  DK"/>
    <s v="5696 - OCS - detašované pracoviště  DK"/>
    <s v="50113001     léky - paušál+TISS (LEK)"/>
    <x v="3"/>
    <x v="0"/>
    <n v="0"/>
    <n v="5.3662154175519996"/>
  </r>
  <r>
    <s v="56"/>
    <s v="56"/>
    <s v="Oddělení centrální sterilizace"/>
    <x v="48"/>
    <s v="5696"/>
    <s v="OCS - detašované pracoviště  DK"/>
    <s v="5696 - OCS - detašované pracoviště  DK"/>
    <s v="50115     Zdravotnické prostředky"/>
    <x v="0"/>
    <x v="0"/>
    <n v="1.46"/>
    <n v="0"/>
  </r>
  <r>
    <s v="56"/>
    <s v="56"/>
    <s v="Oddělení centrální sterilizace"/>
    <x v="48"/>
    <s v="5696"/>
    <s v="OCS - detašované pracoviště  DK"/>
    <s v="5696 - OCS - detašované pracoviště  DK"/>
    <s v="50115     Zdravotnické prostředky"/>
    <x v="0"/>
    <x v="1"/>
    <n v="0.28399999999999997"/>
    <n v="1.4806597028290001"/>
  </r>
  <r>
    <s v="56"/>
    <s v="56"/>
    <s v="Oddělení centrální sterilizace"/>
    <x v="48"/>
    <s v="5696"/>
    <s v="OCS - detašované pracoviště  DK"/>
    <s v="5696 - OCS - detašované pracoviště  DK"/>
    <s v="50115     Zdravotnické prostředky"/>
    <x v="0"/>
    <x v="2"/>
    <n v="0"/>
    <n v="0.43149169911599999"/>
  </r>
  <r>
    <s v="56"/>
    <s v="56"/>
    <s v="Oddělení centrální sterilizace"/>
    <x v="48"/>
    <s v="5696"/>
    <s v="OCS - detašované pracoviště  DK"/>
    <s v="5696 - OCS - detašované pracoviště  DK"/>
    <s v="50115067     ostatní ZPr - rukavice (sk.Z_532)"/>
    <x v="15"/>
    <x v="0"/>
    <n v="1.46"/>
    <n v="0"/>
  </r>
  <r>
    <s v="56"/>
    <s v="56"/>
    <s v="Oddělení centrální sterilizace"/>
    <x v="48"/>
    <s v="5696"/>
    <s v="OCS - detašované pracoviště  DK"/>
    <s v="5696 - OCS - detašované pracoviště  DK"/>
    <s v="50115067     ostatní ZPr - rukavice (sk.Z_532)"/>
    <x v="15"/>
    <x v="1"/>
    <n v="0.28399999999999997"/>
    <n v="1.4806597028290001"/>
  </r>
  <r>
    <s v="56"/>
    <s v="56"/>
    <s v="Oddělení centrální sterilizace"/>
    <x v="48"/>
    <s v="5696"/>
    <s v="OCS - detašované pracoviště  DK"/>
    <s v="5696 - OCS - detašované pracoviště  DK"/>
    <s v="50115067     ostatní ZPr - rukavice (sk.Z_532)"/>
    <x v="15"/>
    <x v="2"/>
    <n v="0"/>
    <n v="0.43149169911599999"/>
  </r>
  <r>
    <s v="57"/>
    <s v="57"/>
    <s v="Nutriční ambulance"/>
    <x v="49"/>
    <s v="5721"/>
    <s v="nutriční ambulance"/>
    <s v="5721 - nutriční ambulance"/>
    <s v="50115     Zdravotnické prostředky"/>
    <x v="0"/>
    <x v="0"/>
    <n v="295.09154999999998"/>
    <n v="455.31920318361199"/>
  </r>
  <r>
    <s v="57"/>
    <s v="57"/>
    <s v="Nutriční ambulance"/>
    <x v="49"/>
    <s v="5721"/>
    <s v="nutriční ambulance"/>
    <s v="5721 - nutriční ambulance"/>
    <s v="50115     Zdravotnické prostředky"/>
    <x v="0"/>
    <x v="1"/>
    <n v="451.73370999999997"/>
    <n v="444.81310161143398"/>
  </r>
  <r>
    <s v="57"/>
    <s v="57"/>
    <s v="Nutriční ambulance"/>
    <x v="49"/>
    <s v="5721"/>
    <s v="nutriční ambulance"/>
    <s v="5721 - nutriční ambulance"/>
    <s v="50115     Zdravotnické prostředky"/>
    <x v="0"/>
    <x v="2"/>
    <n v="393.40831000000003"/>
    <n v="520.99998708599298"/>
  </r>
  <r>
    <s v="57"/>
    <s v="57"/>
    <s v="Nutriční ambulance"/>
    <x v="49"/>
    <s v="5721"/>
    <s v="nutriční ambulance"/>
    <s v="5721 - nutriční ambulance"/>
    <s v="50115050     obvazový materiál (sk.Z_502)"/>
    <x v="12"/>
    <x v="0"/>
    <n v="13.41173"/>
    <n v="5"/>
  </r>
  <r>
    <s v="57"/>
    <s v="57"/>
    <s v="Nutriční ambulance"/>
    <x v="49"/>
    <s v="5721"/>
    <s v="nutriční ambulance"/>
    <s v="5721 - nutriční ambulance"/>
    <s v="50115050     obvazový materiál (sk.Z_502)"/>
    <x v="12"/>
    <x v="1"/>
    <n v="21.391209999999997"/>
    <n v="23.442229502671999"/>
  </r>
  <r>
    <s v="57"/>
    <s v="57"/>
    <s v="Nutriční ambulance"/>
    <x v="49"/>
    <s v="5721"/>
    <s v="nutriční ambulance"/>
    <s v="5721 - nutriční ambulance"/>
    <s v="50115050     obvazový materiál (sk.Z_502)"/>
    <x v="12"/>
    <x v="2"/>
    <n v="25.270199999999001"/>
    <n v="27.999999338550001"/>
  </r>
  <r>
    <s v="57"/>
    <s v="57"/>
    <s v="Nutriční ambulance"/>
    <x v="49"/>
    <s v="5721"/>
    <s v="nutriční ambulance"/>
    <s v="5721 - nutriční ambulance"/>
    <s v="50115060     ostatní ZPr - mimo níže uvedené (sk.Z_503)"/>
    <x v="1"/>
    <x v="0"/>
    <n v="211.76718"/>
    <n v="378.47177331139801"/>
  </r>
  <r>
    <s v="57"/>
    <s v="57"/>
    <s v="Nutriční ambulance"/>
    <x v="49"/>
    <s v="5721"/>
    <s v="nutriční ambulance"/>
    <s v="5721 - nutriční ambulance"/>
    <s v="50115060     ostatní ZPr - mimo níže uvedené (sk.Z_503)"/>
    <x v="1"/>
    <x v="1"/>
    <n v="330.96188000000001"/>
    <n v="316.76570576605297"/>
  </r>
  <r>
    <s v="57"/>
    <s v="57"/>
    <s v="Nutriční ambulance"/>
    <x v="49"/>
    <s v="5721"/>
    <s v="nutriční ambulance"/>
    <s v="5721 - nutriční ambulance"/>
    <s v="50115060     ostatní ZPr - mimo níže uvedené (sk.Z_503)"/>
    <x v="1"/>
    <x v="2"/>
    <n v="280.16849000000002"/>
    <n v="366.99999083420499"/>
  </r>
  <r>
    <s v="57"/>
    <s v="57"/>
    <s v="Nutriční ambulance"/>
    <x v="49"/>
    <s v="5721"/>
    <s v="nutriční ambulance"/>
    <s v="5721 - nutriční ambulance"/>
    <s v="50115063     ostatní ZPr - vaky, sety (sk.Z_528)"/>
    <x v="13"/>
    <x v="0"/>
    <n v="34.310699999999997"/>
    <n v="46.661181068825002"/>
  </r>
  <r>
    <s v="57"/>
    <s v="57"/>
    <s v="Nutriční ambulance"/>
    <x v="49"/>
    <s v="5721"/>
    <s v="nutriční ambulance"/>
    <s v="5721 - nutriční ambulance"/>
    <s v="50115063     ostatní ZPr - vaky, sety (sk.Z_528)"/>
    <x v="13"/>
    <x v="1"/>
    <n v="51.295470000000009"/>
    <n v="53.611599617282003"/>
  </r>
  <r>
    <s v="57"/>
    <s v="57"/>
    <s v="Nutriční ambulance"/>
    <x v="49"/>
    <s v="5721"/>
    <s v="nutriční ambulance"/>
    <s v="5721 - nutriční ambulance"/>
    <s v="50115063     ostatní ZPr - vaky, sety (sk.Z_528)"/>
    <x v="13"/>
    <x v="2"/>
    <n v="57.070979999999999"/>
    <n v="68.999998456618002"/>
  </r>
  <r>
    <s v="57"/>
    <s v="57"/>
    <s v="Nutriční ambulance"/>
    <x v="49"/>
    <s v="5721"/>
    <s v="nutriční ambulance"/>
    <s v="5721 - nutriční ambulance"/>
    <s v="50115065     ostatní ZPr - vpichovací materiál (sk.Z_530)"/>
    <x v="14"/>
    <x v="0"/>
    <n v="6.9478000000000009"/>
    <n v="4"/>
  </r>
  <r>
    <s v="57"/>
    <s v="57"/>
    <s v="Nutriční ambulance"/>
    <x v="49"/>
    <s v="5721"/>
    <s v="nutriční ambulance"/>
    <s v="5721 - nutriční ambulance"/>
    <s v="50115065     ostatní ZPr - vpichovací materiál (sk.Z_530)"/>
    <x v="14"/>
    <x v="1"/>
    <n v="15.418510000000001"/>
    <n v="17.127162774807001"/>
  </r>
  <r>
    <s v="57"/>
    <s v="57"/>
    <s v="Nutriční ambulance"/>
    <x v="49"/>
    <s v="5721"/>
    <s v="nutriční ambulance"/>
    <s v="5721 - nutriční ambulance"/>
    <s v="50115065     ostatní ZPr - vpichovací materiál (sk.Z_530)"/>
    <x v="14"/>
    <x v="2"/>
    <n v="8.3848700000000012"/>
    <n v="18.999999496038001"/>
  </r>
  <r>
    <s v="57"/>
    <s v="57"/>
    <s v="Nutriční ambulance"/>
    <x v="49"/>
    <s v="5721"/>
    <s v="nutriční ambulance"/>
    <s v="5721 - nutriční ambulance"/>
    <s v="50115067     ostatní ZPr - rukavice (sk.Z_532)"/>
    <x v="15"/>
    <x v="0"/>
    <n v="15.00497"/>
    <n v="21.186248803388001"/>
  </r>
  <r>
    <s v="57"/>
    <s v="57"/>
    <s v="Nutriční ambulance"/>
    <x v="49"/>
    <s v="5721"/>
    <s v="nutriční ambulance"/>
    <s v="5721 - nutriční ambulance"/>
    <s v="50115067     ostatní ZPr - rukavice (sk.Z_532)"/>
    <x v="15"/>
    <x v="1"/>
    <n v="14.1496"/>
    <n v="15.217297548743"/>
  </r>
  <r>
    <s v="57"/>
    <s v="57"/>
    <s v="Nutriční ambulance"/>
    <x v="49"/>
    <s v="5721"/>
    <s v="nutriční ambulance"/>
    <s v="5721 - nutriční ambulance"/>
    <s v="50115067     ostatní ZPr - rukavice (sk.Z_532)"/>
    <x v="15"/>
    <x v="2"/>
    <n v="8.6260000000000012"/>
    <n v="18.999999559033"/>
  </r>
  <r>
    <s v="57"/>
    <s v="57"/>
    <s v="Nutriční ambulance"/>
    <x v="49"/>
    <s v="5721"/>
    <s v="nutriční ambulance"/>
    <s v="5721 - nutriční ambulance"/>
    <s v="50115070     ostatní ZPr - katetry (sk.Z_513)"/>
    <x v="16"/>
    <x v="0"/>
    <n v="13.64917"/>
    <n v="0"/>
  </r>
  <r>
    <s v="57"/>
    <s v="57"/>
    <s v="Nutriční ambulance"/>
    <x v="49"/>
    <s v="5721"/>
    <s v="nutriční ambulance"/>
    <s v="5721 - nutriční ambulance"/>
    <s v="50115070     ostatní ZPr - katetry (sk.Z_513)"/>
    <x v="16"/>
    <x v="1"/>
    <n v="18.517040000000001"/>
    <n v="18.649106401874"/>
  </r>
  <r>
    <s v="57"/>
    <s v="57"/>
    <s v="Nutriční ambulance"/>
    <x v="49"/>
    <s v="5721"/>
    <s v="nutriční ambulance"/>
    <s v="5721 - nutriční ambulance"/>
    <s v="50115070     ostatní ZPr - katetry (sk.Z_513)"/>
    <x v="16"/>
    <x v="2"/>
    <n v="13.88777"/>
    <n v="18.999999401545999"/>
  </r>
  <r>
    <s v="59"/>
    <s v="59"/>
    <s v="Oddělení intenzivní péče chirurgických oborů"/>
    <x v="50"/>
    <s v="5931"/>
    <s v="JIP 51"/>
    <s v="5931 - JIP 51"/>
    <s v="50113     Léky a léčiva"/>
    <x v="2"/>
    <x v="0"/>
    <n v="7492.7530600000027"/>
    <n v="7593.9190081377801"/>
  </r>
  <r>
    <s v="59"/>
    <s v="59"/>
    <s v="Oddělení intenzivní péče chirurgických oborů"/>
    <x v="50"/>
    <s v="5931"/>
    <s v="JIP 51"/>
    <s v="5931 - JIP 51"/>
    <s v="50113     Léky a léčiva"/>
    <x v="2"/>
    <x v="1"/>
    <n v="7775.2173500000008"/>
    <n v="7614.1855086365103"/>
  </r>
  <r>
    <s v="59"/>
    <s v="59"/>
    <s v="Oddělení intenzivní péče chirurgických oborů"/>
    <x v="50"/>
    <s v="5931"/>
    <s v="JIP 51"/>
    <s v="5931 - JIP 51"/>
    <s v="50113     Léky a léčiva"/>
    <x v="2"/>
    <x v="2"/>
    <n v="6650.2516600000017"/>
    <n v="8278.6965014616198"/>
  </r>
  <r>
    <s v="59"/>
    <s v="59"/>
    <s v="Oddělení intenzivní péče chirurgických oborů"/>
    <x v="50"/>
    <s v="5931"/>
    <s v="JIP 51"/>
    <s v="5931 - JIP 51"/>
    <s v="50113001     léky - paušál+TISS (LEK)"/>
    <x v="3"/>
    <x v="0"/>
    <n v="3482.0260000000003"/>
    <n v="3995.9980111987302"/>
  </r>
  <r>
    <s v="59"/>
    <s v="59"/>
    <s v="Oddělení intenzivní péče chirurgických oborů"/>
    <x v="50"/>
    <s v="5931"/>
    <s v="JIP 51"/>
    <s v="5931 - JIP 51"/>
    <s v="50113001     léky - paušál+TISS (LEK)"/>
    <x v="3"/>
    <x v="1"/>
    <n v="3317.3073700000009"/>
    <n v="3514.8277298511198"/>
  </r>
  <r>
    <s v="59"/>
    <s v="59"/>
    <s v="Oddělení intenzivní péče chirurgických oborů"/>
    <x v="50"/>
    <s v="5931"/>
    <s v="JIP 51"/>
    <s v="5931 - JIP 51"/>
    <s v="50113001     léky - paušál+TISS (LEK)"/>
    <x v="3"/>
    <x v="2"/>
    <n v="2614.787690000001"/>
    <n v="3569.3113916345701"/>
  </r>
  <r>
    <s v="59"/>
    <s v="59"/>
    <s v="Oddělení intenzivní péče chirurgických oborů"/>
    <x v="50"/>
    <s v="5931"/>
    <s v="JIP 51"/>
    <s v="5931 - JIP 51"/>
    <s v="50113002     léky - parenterální výživa (LEK)"/>
    <x v="17"/>
    <x v="2"/>
    <n v="1172.3761"/>
    <n v="1564"/>
  </r>
  <r>
    <s v="59"/>
    <s v="59"/>
    <s v="Oddělení intenzivní péče chirurgických oborů"/>
    <x v="50"/>
    <s v="5931"/>
    <s v="JIP 51"/>
    <s v="5931 - JIP 51"/>
    <s v="50113006     léky - enterální výživa (LEK)"/>
    <x v="4"/>
    <x v="0"/>
    <n v="1543.9013900000009"/>
    <n v="1439.5347154585399"/>
  </r>
  <r>
    <s v="59"/>
    <s v="59"/>
    <s v="Oddělení intenzivní péče chirurgických oborů"/>
    <x v="50"/>
    <s v="5931"/>
    <s v="JIP 51"/>
    <s v="5931 - JIP 51"/>
    <s v="50113006     léky - enterální výživa (LEK)"/>
    <x v="4"/>
    <x v="1"/>
    <n v="1628.4934900000003"/>
    <n v="1571.5947783716099"/>
  </r>
  <r>
    <s v="59"/>
    <s v="59"/>
    <s v="Oddělení intenzivní péče chirurgických oborů"/>
    <x v="50"/>
    <s v="5931"/>
    <s v="JIP 51"/>
    <s v="5931 - JIP 51"/>
    <s v="50113006     léky - enterální výživa (LEK)"/>
    <x v="4"/>
    <x v="2"/>
    <n v="242.26265000000001"/>
    <n v="291"/>
  </r>
  <r>
    <s v="59"/>
    <s v="59"/>
    <s v="Oddělení intenzivní péče chirurgických oborů"/>
    <x v="50"/>
    <s v="5931"/>
    <s v="JIP 51"/>
    <s v="5931 - JIP 51"/>
    <s v="50113007     léky - krev.deriváty ZUL (LEK)"/>
    <x v="45"/>
    <x v="0"/>
    <n v="27.062760000000001"/>
    <n v="63.626758242942003"/>
  </r>
  <r>
    <s v="59"/>
    <s v="59"/>
    <s v="Oddělení intenzivní péče chirurgických oborů"/>
    <x v="50"/>
    <s v="5931"/>
    <s v="JIP 51"/>
    <s v="5931 - JIP 51"/>
    <s v="50113007     léky - krev.deriváty ZUL (LEK)"/>
    <x v="45"/>
    <x v="1"/>
    <n v="0"/>
    <n v="26.364851961125002"/>
  </r>
  <r>
    <s v="59"/>
    <s v="59"/>
    <s v="Oddělení intenzivní péče chirurgických oborů"/>
    <x v="50"/>
    <s v="5931"/>
    <s v="JIP 51"/>
    <s v="5931 - JIP 51"/>
    <s v="50113008     léky - krev.deriváty ZUL (TO)"/>
    <x v="5"/>
    <x v="0"/>
    <n v="360.54920999999996"/>
    <n v="149.79259747347399"/>
  </r>
  <r>
    <s v="59"/>
    <s v="59"/>
    <s v="Oddělení intenzivní péče chirurgických oborů"/>
    <x v="50"/>
    <s v="5931"/>
    <s v="JIP 51"/>
    <s v="5931 - JIP 51"/>
    <s v="50113008     léky - krev.deriváty ZUL (TO)"/>
    <x v="5"/>
    <x v="1"/>
    <n v="463.75307999999995"/>
    <n v="360.00316104062398"/>
  </r>
  <r>
    <s v="59"/>
    <s v="59"/>
    <s v="Oddělení intenzivní péče chirurgických oborů"/>
    <x v="50"/>
    <s v="5931"/>
    <s v="JIP 51"/>
    <s v="5931 - JIP 51"/>
    <s v="50113008     léky - krev.deriváty ZUL (TO)"/>
    <x v="5"/>
    <x v="2"/>
    <n v="809.75509999999997"/>
    <n v="460.084812392353"/>
  </r>
  <r>
    <s v="59"/>
    <s v="59"/>
    <s v="Oddělení intenzivní péče chirurgických oborů"/>
    <x v="50"/>
    <s v="5931"/>
    <s v="JIP 51"/>
    <s v="5931 - JIP 51"/>
    <s v="50113011     léky - hemofilici ZUL (TO)"/>
    <x v="6"/>
    <x v="0"/>
    <n v="17.746980000000001"/>
    <n v="67.663492218779993"/>
  </r>
  <r>
    <s v="59"/>
    <s v="59"/>
    <s v="Oddělení intenzivní péče chirurgických oborů"/>
    <x v="50"/>
    <s v="5931"/>
    <s v="JIP 51"/>
    <s v="5931 - JIP 51"/>
    <s v="50113011     léky - hemofilici ZUL (TO)"/>
    <x v="6"/>
    <x v="1"/>
    <n v="66.504949999999994"/>
    <n v="17.999999999999002"/>
  </r>
  <r>
    <s v="59"/>
    <s v="59"/>
    <s v="Oddělení intenzivní péče chirurgických oborů"/>
    <x v="50"/>
    <s v="5931"/>
    <s v="JIP 51"/>
    <s v="5931 - JIP 51"/>
    <s v="50113011     léky - hemofilici ZUL (TO)"/>
    <x v="6"/>
    <x v="2"/>
    <n v="383.87332000000004"/>
    <n v="64.999997952656997"/>
  </r>
  <r>
    <s v="59"/>
    <s v="59"/>
    <s v="Oddělení intenzivní péče chirurgických oborů"/>
    <x v="50"/>
    <s v="5931"/>
    <s v="JIP 51"/>
    <s v="5931 - JIP 51"/>
    <s v="50113013     léky (paušál) - antibiotika (LEK)"/>
    <x v="7"/>
    <x v="0"/>
    <n v="1496.9118700000008"/>
    <n v="1497.3038787042201"/>
  </r>
  <r>
    <s v="59"/>
    <s v="59"/>
    <s v="Oddělení intenzivní péče chirurgických oborů"/>
    <x v="50"/>
    <s v="5931"/>
    <s v="JIP 51"/>
    <s v="5931 - JIP 51"/>
    <s v="50113013     léky (paušál) - antibiotika (LEK)"/>
    <x v="7"/>
    <x v="1"/>
    <n v="1247.4133600000002"/>
    <n v="974.99072414135105"/>
  </r>
  <r>
    <s v="59"/>
    <s v="59"/>
    <s v="Oddělení intenzivní péče chirurgických oborů"/>
    <x v="50"/>
    <s v="5931"/>
    <s v="JIP 51"/>
    <s v="5931 - JIP 51"/>
    <s v="50113013     léky (paušál) - antibiotika (LEK)"/>
    <x v="7"/>
    <x v="2"/>
    <n v="875.43944999999894"/>
    <n v="1242.1399438272001"/>
  </r>
  <r>
    <s v="59"/>
    <s v="59"/>
    <s v="Oddělení intenzivní péče chirurgických oborů"/>
    <x v="50"/>
    <s v="5931"/>
    <s v="JIP 51"/>
    <s v="5931 - JIP 51"/>
    <s v="50113014     léky (paušál) - antimykotika (LEK)"/>
    <x v="8"/>
    <x v="0"/>
    <n v="421.2133"/>
    <n v="252.331954000873"/>
  </r>
  <r>
    <s v="59"/>
    <s v="59"/>
    <s v="Oddělení intenzivní péče chirurgických oborů"/>
    <x v="50"/>
    <s v="5931"/>
    <s v="JIP 51"/>
    <s v="5931 - JIP 51"/>
    <s v="50113014     léky (paušál) - antimykotika (LEK)"/>
    <x v="8"/>
    <x v="1"/>
    <n v="903.78742000000011"/>
    <n v="1011.2663656533"/>
  </r>
  <r>
    <s v="59"/>
    <s v="59"/>
    <s v="Oddělení intenzivní péče chirurgických oborů"/>
    <x v="50"/>
    <s v="5931"/>
    <s v="JIP 51"/>
    <s v="5931 - JIP 51"/>
    <s v="50113014     léky (paušál) - antimykotika (LEK)"/>
    <x v="8"/>
    <x v="2"/>
    <n v="439.82870000000099"/>
    <n v="936.61017227702405"/>
  </r>
  <r>
    <s v="59"/>
    <s v="59"/>
    <s v="Oddělení intenzivní péče chirurgických oborů"/>
    <x v="50"/>
    <s v="5931"/>
    <s v="JIP 51"/>
    <s v="5931 - JIP 51"/>
    <s v="50113190     medicinální plyny"/>
    <x v="9"/>
    <x v="0"/>
    <n v="143.34154999999899"/>
    <n v="127.667600840219"/>
  </r>
  <r>
    <s v="59"/>
    <s v="59"/>
    <s v="Oddělení intenzivní péče chirurgických oborů"/>
    <x v="50"/>
    <s v="5931"/>
    <s v="JIP 51"/>
    <s v="5931 - JIP 51"/>
    <s v="50113190     medicinální plyny"/>
    <x v="9"/>
    <x v="1"/>
    <n v="147.95768000000001"/>
    <n v="137.13789761737999"/>
  </r>
  <r>
    <s v="59"/>
    <s v="59"/>
    <s v="Oddělení intenzivní péče chirurgických oborů"/>
    <x v="50"/>
    <s v="5931"/>
    <s v="JIP 51"/>
    <s v="5931 - JIP 51"/>
    <s v="50113190     medicinální plyny"/>
    <x v="9"/>
    <x v="2"/>
    <n v="111.92865"/>
    <n v="150.550183377812"/>
  </r>
  <r>
    <s v="59"/>
    <s v="59"/>
    <s v="Oddělení intenzivní péče chirurgických oborů"/>
    <x v="50"/>
    <s v="5931"/>
    <s v="JIP 51"/>
    <s v="5931 - JIP 51"/>
    <s v="50115     Zdravotnické prostředky"/>
    <x v="0"/>
    <x v="0"/>
    <n v="3318.5625300000015"/>
    <n v="3359.6997193913598"/>
  </r>
  <r>
    <s v="59"/>
    <s v="59"/>
    <s v="Oddělení intenzivní péče chirurgických oborů"/>
    <x v="50"/>
    <s v="5931"/>
    <s v="JIP 51"/>
    <s v="5931 - JIP 51"/>
    <s v="50115     Zdravotnické prostředky"/>
    <x v="0"/>
    <x v="1"/>
    <n v="3164.5926400000008"/>
    <n v="3543.2701150048802"/>
  </r>
  <r>
    <s v="59"/>
    <s v="59"/>
    <s v="Oddělení intenzivní péče chirurgických oborů"/>
    <x v="50"/>
    <s v="5931"/>
    <s v="JIP 51"/>
    <s v="5931 - JIP 51"/>
    <s v="50115     Zdravotnické prostředky"/>
    <x v="0"/>
    <x v="2"/>
    <n v="2799.7141000000015"/>
    <n v="3909.3694227553401"/>
  </r>
  <r>
    <s v="59"/>
    <s v="59"/>
    <s v="Oddělení intenzivní péče chirurgických oborů"/>
    <x v="50"/>
    <s v="5931"/>
    <s v="JIP 51"/>
    <s v="5931 - JIP 51"/>
    <s v="50115020     diagnostika laboratorní-LEK (sk.Z_501)"/>
    <x v="10"/>
    <x v="0"/>
    <n v="284.96645000000001"/>
    <n v="372.49998328630301"/>
  </r>
  <r>
    <s v="59"/>
    <s v="59"/>
    <s v="Oddělení intenzivní péče chirurgických oborů"/>
    <x v="50"/>
    <s v="5931"/>
    <s v="JIP 51"/>
    <s v="5931 - JIP 51"/>
    <s v="50115020     diagnostika laboratorní-LEK (sk.Z_501)"/>
    <x v="10"/>
    <x v="1"/>
    <n v="343.69386999999995"/>
    <n v="509.96614817726402"/>
  </r>
  <r>
    <s v="59"/>
    <s v="59"/>
    <s v="Oddělení intenzivní péče chirurgických oborů"/>
    <x v="50"/>
    <s v="5931"/>
    <s v="JIP 51"/>
    <s v="5931 - JIP 51"/>
    <s v="50115020     diagnostika laboratorní-LEK (sk.Z_501)"/>
    <x v="10"/>
    <x v="2"/>
    <n v="405.98155999999994"/>
    <n v="629.99998658203197"/>
  </r>
  <r>
    <s v="59"/>
    <s v="59"/>
    <s v="Oddělení intenzivní péče chirurgických oborů"/>
    <x v="50"/>
    <s v="5931"/>
    <s v="JIP 51"/>
    <s v="5931 - JIP 51"/>
    <s v="50115040     laboratorní materiál (sk.Z_505)"/>
    <x v="11"/>
    <x v="0"/>
    <n v="0.73479000000000005"/>
    <n v="0.94990943338099998"/>
  </r>
  <r>
    <s v="59"/>
    <s v="59"/>
    <s v="Oddělení intenzivní péče chirurgických oborů"/>
    <x v="50"/>
    <s v="5931"/>
    <s v="JIP 51"/>
    <s v="5931 - JIP 51"/>
    <s v="50115040     laboratorní materiál (sk.Z_505)"/>
    <x v="11"/>
    <x v="1"/>
    <n v="0.36951999999999996"/>
    <n v="0.73483645211699999"/>
  </r>
  <r>
    <s v="59"/>
    <s v="59"/>
    <s v="Oddělení intenzivní péče chirurgických oborů"/>
    <x v="50"/>
    <s v="5931"/>
    <s v="JIP 51"/>
    <s v="5931 - JIP 51"/>
    <s v="50115040     laboratorní materiál (sk.Z_505)"/>
    <x v="11"/>
    <x v="2"/>
    <n v="1.1046899999999999"/>
    <n v="0.36951998836099997"/>
  </r>
  <r>
    <s v="59"/>
    <s v="59"/>
    <s v="Oddělení intenzivní péče chirurgických oborů"/>
    <x v="50"/>
    <s v="5931"/>
    <s v="JIP 51"/>
    <s v="5931 - JIP 51"/>
    <s v="50115050     obvazový materiál (sk.Z_502)"/>
    <x v="12"/>
    <x v="0"/>
    <n v="359.50360999999896"/>
    <n v="361.672213054054"/>
  </r>
  <r>
    <s v="59"/>
    <s v="59"/>
    <s v="Oddělení intenzivní péče chirurgických oborů"/>
    <x v="50"/>
    <s v="5931"/>
    <s v="JIP 51"/>
    <s v="5931 - JIP 51"/>
    <s v="50115050     obvazový materiál (sk.Z_502)"/>
    <x v="12"/>
    <x v="1"/>
    <n v="374.51211999999992"/>
    <n v="360.32113971040701"/>
  </r>
  <r>
    <s v="59"/>
    <s v="59"/>
    <s v="Oddělení intenzivní péče chirurgických oborů"/>
    <x v="50"/>
    <s v="5931"/>
    <s v="JIP 51"/>
    <s v="5931 - JIP 51"/>
    <s v="50115050     obvazový materiál (sk.Z_502)"/>
    <x v="12"/>
    <x v="2"/>
    <n v="273.81477999999993"/>
    <n v="382.999987936428"/>
  </r>
  <r>
    <s v="59"/>
    <s v="59"/>
    <s v="Oddělení intenzivní péče chirurgických oborů"/>
    <x v="50"/>
    <s v="5931"/>
    <s v="JIP 51"/>
    <s v="5931 - JIP 51"/>
    <s v="50115060     ostatní ZPr - mimo níže uvedené (sk.Z_503)"/>
    <x v="1"/>
    <x v="0"/>
    <n v="2123.8936200000012"/>
    <n v="2191.6644063837198"/>
  </r>
  <r>
    <s v="59"/>
    <s v="59"/>
    <s v="Oddělení intenzivní péče chirurgických oborů"/>
    <x v="50"/>
    <s v="5931"/>
    <s v="JIP 51"/>
    <s v="5931 - JIP 51"/>
    <s v="50115060     ostatní ZPr - mimo níže uvedené (sk.Z_503)"/>
    <x v="1"/>
    <x v="1"/>
    <n v="2001.1269800000009"/>
    <n v="2123.8776199868098"/>
  </r>
  <r>
    <s v="59"/>
    <s v="59"/>
    <s v="Oddělení intenzivní péče chirurgických oborů"/>
    <x v="50"/>
    <s v="5931"/>
    <s v="JIP 51"/>
    <s v="5931 - JIP 51"/>
    <s v="50115060     ostatní ZPr - mimo níže uvedené (sk.Z_503)"/>
    <x v="1"/>
    <x v="2"/>
    <n v="1570.8971700000011"/>
    <n v="2381.9999434933502"/>
  </r>
  <r>
    <s v="59"/>
    <s v="59"/>
    <s v="Oddělení intenzivní péče chirurgických oborů"/>
    <x v="50"/>
    <s v="5931"/>
    <s v="JIP 51"/>
    <s v="5931 - JIP 51"/>
    <s v="50115063     ostatní ZPr - vaky, sety (sk.Z_528)"/>
    <x v="13"/>
    <x v="0"/>
    <n v="173.50251999999898"/>
    <n v="106.91627602089901"/>
  </r>
  <r>
    <s v="59"/>
    <s v="59"/>
    <s v="Oddělení intenzivní péče chirurgických oborů"/>
    <x v="50"/>
    <s v="5931"/>
    <s v="JIP 51"/>
    <s v="5931 - JIP 51"/>
    <s v="50115063     ostatní ZPr - vaky, sety (sk.Z_528)"/>
    <x v="13"/>
    <x v="1"/>
    <n v="94.015999999999991"/>
    <n v="169.96729750682999"/>
  </r>
  <r>
    <s v="59"/>
    <s v="59"/>
    <s v="Oddělení intenzivní péče chirurgických oborů"/>
    <x v="50"/>
    <s v="5931"/>
    <s v="JIP 51"/>
    <s v="5931 - JIP 51"/>
    <s v="50115063     ostatní ZPr - vaky, sety (sk.Z_528)"/>
    <x v="13"/>
    <x v="2"/>
    <n v="76.07795999999999"/>
    <n v="87.999997228213005"/>
  </r>
  <r>
    <s v="59"/>
    <s v="59"/>
    <s v="Oddělení intenzivní péče chirurgických oborů"/>
    <x v="50"/>
    <s v="5931"/>
    <s v="JIP 51"/>
    <s v="5931 - JIP 51"/>
    <s v="50115064     ostatní ZPr - šicí materiál (sk.Z_529)"/>
    <x v="21"/>
    <x v="0"/>
    <n v="20.39629"/>
    <n v="17.605757069342999"/>
  </r>
  <r>
    <s v="59"/>
    <s v="59"/>
    <s v="Oddělení intenzivní péče chirurgických oborů"/>
    <x v="50"/>
    <s v="5931"/>
    <s v="JIP 51"/>
    <s v="5931 - JIP 51"/>
    <s v="50115064     ostatní ZPr - šicí materiál (sk.Z_529)"/>
    <x v="21"/>
    <x v="1"/>
    <n v="9.5498399999999997"/>
    <n v="19.996926055149"/>
  </r>
  <r>
    <s v="59"/>
    <s v="59"/>
    <s v="Oddělení intenzivní péče chirurgických oborů"/>
    <x v="50"/>
    <s v="5931"/>
    <s v="JIP 51"/>
    <s v="5931 - JIP 51"/>
    <s v="50115064     ostatní ZPr - šicí materiál (sk.Z_529)"/>
    <x v="21"/>
    <x v="2"/>
    <n v="19.484870000000004"/>
    <n v="19.999999370047998"/>
  </r>
  <r>
    <s v="59"/>
    <s v="59"/>
    <s v="Oddělení intenzivní péče chirurgických oborů"/>
    <x v="50"/>
    <s v="5931"/>
    <s v="JIP 51"/>
    <s v="5931 - JIP 51"/>
    <s v="50115065     ostatní ZPr - vpichovací materiál (sk.Z_530)"/>
    <x v="14"/>
    <x v="0"/>
    <n v="17.398979999999"/>
    <n v="22.878079302730001"/>
  </r>
  <r>
    <s v="59"/>
    <s v="59"/>
    <s v="Oddělení intenzivní péče chirurgických oborů"/>
    <x v="50"/>
    <s v="5931"/>
    <s v="JIP 51"/>
    <s v="5931 - JIP 51"/>
    <s v="50115065     ostatní ZPr - vpichovací materiál (sk.Z_530)"/>
    <x v="14"/>
    <x v="1"/>
    <n v="18.566770000000002"/>
    <n v="17.848147985781001"/>
  </r>
  <r>
    <s v="59"/>
    <s v="59"/>
    <s v="Oddělení intenzivní péče chirurgických oborů"/>
    <x v="50"/>
    <s v="5931"/>
    <s v="JIP 51"/>
    <s v="5931 - JIP 51"/>
    <s v="50115065     ostatní ZPr - vpichovací materiál (sk.Z_530)"/>
    <x v="14"/>
    <x v="2"/>
    <n v="21.85716"/>
    <n v="23.999999244057999"/>
  </r>
  <r>
    <s v="59"/>
    <s v="59"/>
    <s v="Oddělení intenzivní péče chirurgických oborů"/>
    <x v="50"/>
    <s v="5931"/>
    <s v="JIP 51"/>
    <s v="5931 - JIP 51"/>
    <s v="50115067     ostatní ZPr - rukavice (sk.Z_532)"/>
    <x v="15"/>
    <x v="0"/>
    <n v="164.51249999999999"/>
    <n v="150.60079872706399"/>
  </r>
  <r>
    <s v="59"/>
    <s v="59"/>
    <s v="Oddělení intenzivní péče chirurgických oborů"/>
    <x v="50"/>
    <s v="5931"/>
    <s v="JIP 51"/>
    <s v="5931 - JIP 51"/>
    <s v="50115067     ostatní ZPr - rukavice (sk.Z_532)"/>
    <x v="15"/>
    <x v="1"/>
    <n v="168.75314"/>
    <n v="166.84043106968701"/>
  </r>
  <r>
    <s v="59"/>
    <s v="59"/>
    <s v="Oddělení intenzivní péče chirurgických oborů"/>
    <x v="50"/>
    <s v="5931"/>
    <s v="JIP 51"/>
    <s v="5931 - JIP 51"/>
    <s v="50115067     ostatní ZPr - rukavice (sk.Z_532)"/>
    <x v="15"/>
    <x v="2"/>
    <n v="152.56539999999998"/>
    <n v="179.99999433043601"/>
  </r>
  <r>
    <s v="59"/>
    <s v="59"/>
    <s v="Oddělení intenzivní péče chirurgických oborů"/>
    <x v="50"/>
    <s v="5931"/>
    <s v="JIP 51"/>
    <s v="5931 - JIP 51"/>
    <s v="50115070     ostatní ZPr - katetry (sk.Z_513)"/>
    <x v="16"/>
    <x v="0"/>
    <n v="170.59527"/>
    <n v="133.91229611386601"/>
  </r>
  <r>
    <s v="59"/>
    <s v="59"/>
    <s v="Oddělení intenzivní péče chirurgických oborů"/>
    <x v="50"/>
    <s v="5931"/>
    <s v="JIP 51"/>
    <s v="5931 - JIP 51"/>
    <s v="50115070     ostatní ZPr - katetry (sk.Z_513)"/>
    <x v="16"/>
    <x v="1"/>
    <n v="150.43680999999998"/>
    <n v="170.594468383888"/>
  </r>
  <r>
    <s v="59"/>
    <s v="59"/>
    <s v="Oddělení intenzivní péče chirurgických oborů"/>
    <x v="50"/>
    <s v="5931"/>
    <s v="JIP 51"/>
    <s v="5931 - JIP 51"/>
    <s v="50115070     ostatní ZPr - katetry (sk.Z_513)"/>
    <x v="16"/>
    <x v="2"/>
    <n v="158.07955999999999"/>
    <n v="198.99999467690901"/>
  </r>
  <r>
    <s v="59"/>
    <s v="59"/>
    <s v="Oddělení intenzivní péče chirurgických oborů"/>
    <x v="50"/>
    <s v="5931"/>
    <s v="JIP 51"/>
    <s v="5931 - JIP 51"/>
    <s v="50115079     ostatní ZPr - intenzivní péče (sk.Z_542)"/>
    <x v="18"/>
    <x v="2"/>
    <n v="117.85919000000001"/>
    <n v="0"/>
  </r>
  <r>
    <s v="59"/>
    <s v="59"/>
    <s v="Oddělení intenzivní péče chirurgických oborů"/>
    <x v="50"/>
    <s v="5931"/>
    <s v="JIP 51"/>
    <s v="5931 - JIP 51"/>
    <s v="50115090     ostatní ZPr - zubolékařský materiál (sk.Z_509)"/>
    <x v="51"/>
    <x v="0"/>
    <n v="3.0585"/>
    <n v="1"/>
  </r>
  <r>
    <s v="59"/>
    <s v="59"/>
    <s v="Oddělení intenzivní péče chirurgických oborů"/>
    <x v="50"/>
    <s v="5931"/>
    <s v="JIP 51"/>
    <s v="5931 - JIP 51"/>
    <s v="50115090     ostatní ZPr - zubolékařský materiál (sk.Z_509)"/>
    <x v="51"/>
    <x v="1"/>
    <n v="3.5675900000000009"/>
    <n v="3.1230996769389998"/>
  </r>
  <r>
    <s v="59"/>
    <s v="59"/>
    <s v="Oddělení intenzivní péče chirurgických oborů"/>
    <x v="50"/>
    <s v="5931"/>
    <s v="JIP 51"/>
    <s v="5931 - JIP 51"/>
    <s v="50115090     ostatní ZPr - zubolékařský materiál (sk.Z_509)"/>
    <x v="51"/>
    <x v="2"/>
    <n v="1.9917600000000002"/>
    <n v="2.9999999055069999"/>
  </r>
  <r>
    <s v="60"/>
    <s v="60"/>
    <s v="Oddělení urgentního příjmu"/>
    <x v="51"/>
    <s v="6022"/>
    <s v="ambulance"/>
    <s v="6022 - ambulance"/>
    <s v="50113     Léky a léčiva"/>
    <x v="2"/>
    <x v="0"/>
    <n v="779.59334999999908"/>
    <n v="774.09677343986198"/>
  </r>
  <r>
    <s v="60"/>
    <s v="60"/>
    <s v="Oddělení urgentního příjmu"/>
    <x v="51"/>
    <s v="6022"/>
    <s v="ambulance"/>
    <s v="6022 - ambulance"/>
    <s v="50113     Léky a léčiva"/>
    <x v="2"/>
    <x v="1"/>
    <n v="776.11869999999988"/>
    <n v="776.87604609942196"/>
  </r>
  <r>
    <s v="60"/>
    <s v="60"/>
    <s v="Oddělení urgentního příjmu"/>
    <x v="51"/>
    <s v="6022"/>
    <s v="ambulance"/>
    <s v="6022 - ambulance"/>
    <s v="50113     Léky a léčiva"/>
    <x v="2"/>
    <x v="2"/>
    <n v="605.5332699999999"/>
    <n v="797.20844964072899"/>
  </r>
  <r>
    <s v="60"/>
    <s v="60"/>
    <s v="Oddělení urgentního příjmu"/>
    <x v="51"/>
    <s v="6022"/>
    <s v="ambulance"/>
    <s v="6022 - ambulance"/>
    <s v="50113001     léky - paušál+TISS (LEK)"/>
    <x v="3"/>
    <x v="0"/>
    <n v="738.40404999999896"/>
    <n v="738.59887057740298"/>
  </r>
  <r>
    <s v="60"/>
    <s v="60"/>
    <s v="Oddělení urgentního příjmu"/>
    <x v="51"/>
    <s v="6022"/>
    <s v="ambulance"/>
    <s v="6022 - ambulance"/>
    <s v="50113001     léky - paušál+TISS (LEK)"/>
    <x v="3"/>
    <x v="1"/>
    <n v="752.54932000000019"/>
    <n v="738.96338416953802"/>
  </r>
  <r>
    <s v="60"/>
    <s v="60"/>
    <s v="Oddělení urgentního příjmu"/>
    <x v="51"/>
    <s v="6022"/>
    <s v="ambulance"/>
    <s v="6022 - ambulance"/>
    <s v="50113001     léky - paušál+TISS (LEK)"/>
    <x v="3"/>
    <x v="2"/>
    <n v="592.23722999999995"/>
    <n v="773.16621635128695"/>
  </r>
  <r>
    <s v="60"/>
    <s v="60"/>
    <s v="Oddělení urgentního příjmu"/>
    <x v="51"/>
    <s v="6022"/>
    <s v="ambulance"/>
    <s v="6022 - ambulance"/>
    <s v="50113006     léky - enterální výživa (LEK)"/>
    <x v="4"/>
    <x v="1"/>
    <n v="0.40572000000000003"/>
    <n v="0"/>
  </r>
  <r>
    <s v="60"/>
    <s v="60"/>
    <s v="Oddělení urgentního příjmu"/>
    <x v="51"/>
    <s v="6022"/>
    <s v="ambulance"/>
    <s v="6022 - ambulance"/>
    <s v="50113006     léky - enterální výživa (LEK)"/>
    <x v="4"/>
    <x v="2"/>
    <n v="0"/>
    <n v="0.38807131682599999"/>
  </r>
  <r>
    <s v="60"/>
    <s v="60"/>
    <s v="Oddělení urgentního příjmu"/>
    <x v="51"/>
    <s v="6022"/>
    <s v="ambulance"/>
    <s v="6022 - ambulance"/>
    <s v="50113008     léky - krev.deriváty ZUL (TO)"/>
    <x v="5"/>
    <x v="0"/>
    <n v="7.6840799999999998"/>
    <n v="0"/>
  </r>
  <r>
    <s v="60"/>
    <s v="60"/>
    <s v="Oddělení urgentního příjmu"/>
    <x v="51"/>
    <s v="6022"/>
    <s v="ambulance"/>
    <s v="6022 - ambulance"/>
    <s v="50113008     léky - krev.deriváty ZUL (TO)"/>
    <x v="5"/>
    <x v="1"/>
    <n v="0"/>
    <n v="8.0000702453470005"/>
  </r>
  <r>
    <s v="60"/>
    <s v="60"/>
    <s v="Oddělení urgentního příjmu"/>
    <x v="51"/>
    <s v="6022"/>
    <s v="ambulance"/>
    <s v="6022 - ambulance"/>
    <s v="50113013     léky (paušál) - antibiotika (LEK)"/>
    <x v="7"/>
    <x v="0"/>
    <n v="33.505220000000001"/>
    <n v="35.393416052040003"/>
  </r>
  <r>
    <s v="60"/>
    <s v="60"/>
    <s v="Oddělení urgentního příjmu"/>
    <x v="51"/>
    <s v="6022"/>
    <s v="ambulance"/>
    <s v="6022 - ambulance"/>
    <s v="50113013     léky (paušál) - antibiotika (LEK)"/>
    <x v="7"/>
    <x v="1"/>
    <n v="23.16366"/>
    <n v="29.912591684536999"/>
  </r>
  <r>
    <s v="60"/>
    <s v="60"/>
    <s v="Oddělení urgentního příjmu"/>
    <x v="51"/>
    <s v="6022"/>
    <s v="ambulance"/>
    <s v="6022 - ambulance"/>
    <s v="50113013     léky (paušál) - antibiotika (LEK)"/>
    <x v="7"/>
    <x v="2"/>
    <n v="13.29604"/>
    <n v="23.654161972615"/>
  </r>
  <r>
    <s v="60"/>
    <s v="60"/>
    <s v="Oddělení urgentního příjmu"/>
    <x v="51"/>
    <s v="6022"/>
    <s v="ambulance"/>
    <s v="6022 - ambulance"/>
    <s v="50113014     léky (paušál) - antimykotika (LEK)"/>
    <x v="8"/>
    <x v="0"/>
    <n v="0"/>
    <n v="0.104486810417"/>
  </r>
  <r>
    <s v="60"/>
    <s v="60"/>
    <s v="Oddělení urgentního příjmu"/>
    <x v="51"/>
    <s v="6022"/>
    <s v="ambulance"/>
    <s v="6022 - ambulance"/>
    <s v="50115     Zdravotnické prostředky"/>
    <x v="0"/>
    <x v="0"/>
    <n v="621.25837999999908"/>
    <n v="683.67795312027897"/>
  </r>
  <r>
    <s v="60"/>
    <s v="60"/>
    <s v="Oddělení urgentního příjmu"/>
    <x v="51"/>
    <s v="6022"/>
    <s v="ambulance"/>
    <s v="6022 - ambulance"/>
    <s v="50115     Zdravotnické prostředky"/>
    <x v="0"/>
    <x v="1"/>
    <n v="700.10281000000009"/>
    <n v="632.347660466099"/>
  </r>
  <r>
    <s v="60"/>
    <s v="60"/>
    <s v="Oddělení urgentního příjmu"/>
    <x v="51"/>
    <s v="6022"/>
    <s v="ambulance"/>
    <s v="6022 - ambulance"/>
    <s v="50115     Zdravotnické prostředky"/>
    <x v="0"/>
    <x v="2"/>
    <n v="515.78160000000003"/>
    <n v="677.61835748365399"/>
  </r>
  <r>
    <s v="60"/>
    <s v="60"/>
    <s v="Oddělení urgentního příjmu"/>
    <x v="51"/>
    <s v="6022"/>
    <s v="ambulance"/>
    <s v="6022 - ambulance"/>
    <s v="50115020     diagnostika laboratorní-LEK (sk.Z_501)"/>
    <x v="10"/>
    <x v="0"/>
    <n v="1.6959799999990002"/>
    <n v="1.836995819442"/>
  </r>
  <r>
    <s v="60"/>
    <s v="60"/>
    <s v="Oddělení urgentního příjmu"/>
    <x v="51"/>
    <s v="6022"/>
    <s v="ambulance"/>
    <s v="6022 - ambulance"/>
    <s v="50115020     diagnostika laboratorní-LEK (sk.Z_501)"/>
    <x v="10"/>
    <x v="1"/>
    <n v="4.0999999999999996"/>
    <n v="1.6959782036990001"/>
  </r>
  <r>
    <s v="60"/>
    <s v="60"/>
    <s v="Oddělení urgentního příjmu"/>
    <x v="51"/>
    <s v="6022"/>
    <s v="ambulance"/>
    <s v="6022 - ambulance"/>
    <s v="50115020     diagnostika laboratorní-LEK (sk.Z_501)"/>
    <x v="10"/>
    <x v="2"/>
    <n v="3.0782400000000001"/>
    <n v="5.2353653677300001"/>
  </r>
  <r>
    <s v="60"/>
    <s v="60"/>
    <s v="Oddělení urgentního příjmu"/>
    <x v="51"/>
    <s v="6022"/>
    <s v="ambulance"/>
    <s v="6022 - ambulance"/>
    <s v="50115050     obvazový materiál (sk.Z_502)"/>
    <x v="12"/>
    <x v="0"/>
    <n v="60.331549999999993"/>
    <n v="162.33761786234899"/>
  </r>
  <r>
    <s v="60"/>
    <s v="60"/>
    <s v="Oddělení urgentního příjmu"/>
    <x v="51"/>
    <s v="6022"/>
    <s v="ambulance"/>
    <s v="6022 - ambulance"/>
    <s v="50115050     obvazový materiál (sk.Z_502)"/>
    <x v="12"/>
    <x v="1"/>
    <n v="52.025590000000001"/>
    <n v="56.468749741762998"/>
  </r>
  <r>
    <s v="60"/>
    <s v="60"/>
    <s v="Oddělení urgentního příjmu"/>
    <x v="51"/>
    <s v="6022"/>
    <s v="ambulance"/>
    <s v="6022 - ambulance"/>
    <s v="50115050     obvazový materiál (sk.Z_502)"/>
    <x v="12"/>
    <x v="2"/>
    <n v="38.42801"/>
    <n v="50.459720956650003"/>
  </r>
  <r>
    <s v="60"/>
    <s v="60"/>
    <s v="Oddělení urgentního příjmu"/>
    <x v="51"/>
    <s v="6022"/>
    <s v="ambulance"/>
    <s v="6022 - ambulance"/>
    <s v="50115060     ostatní ZPr - mimo níže uvedené (sk.Z_503)"/>
    <x v="1"/>
    <x v="0"/>
    <n v="438.22728999999998"/>
    <n v="403.080536100583"/>
  </r>
  <r>
    <s v="60"/>
    <s v="60"/>
    <s v="Oddělení urgentního příjmu"/>
    <x v="51"/>
    <s v="6022"/>
    <s v="ambulance"/>
    <s v="6022 - ambulance"/>
    <s v="50115060     ostatní ZPr - mimo níže uvedené (sk.Z_503)"/>
    <x v="1"/>
    <x v="1"/>
    <n v="492.6268"/>
    <n v="448.22421809997502"/>
  </r>
  <r>
    <s v="60"/>
    <s v="60"/>
    <s v="Oddělení urgentního příjmu"/>
    <x v="51"/>
    <s v="6022"/>
    <s v="ambulance"/>
    <s v="6022 - ambulance"/>
    <s v="50115060     ostatní ZPr - mimo níže uvedené (sk.Z_503)"/>
    <x v="1"/>
    <x v="2"/>
    <n v="355.92741000000001"/>
    <n v="480.66158807100101"/>
  </r>
  <r>
    <s v="60"/>
    <s v="60"/>
    <s v="Oddělení urgentního příjmu"/>
    <x v="51"/>
    <s v="6022"/>
    <s v="ambulance"/>
    <s v="6022 - ambulance"/>
    <s v="50115063     ostatní ZPr - vaky, sety (sk.Z_528)"/>
    <x v="13"/>
    <x v="0"/>
    <n v="25.242600000000003"/>
    <n v="25.650273465375001"/>
  </r>
  <r>
    <s v="60"/>
    <s v="60"/>
    <s v="Oddělení urgentního příjmu"/>
    <x v="51"/>
    <s v="6022"/>
    <s v="ambulance"/>
    <s v="6022 - ambulance"/>
    <s v="50115063     ostatní ZPr - vaky, sety (sk.Z_528)"/>
    <x v="13"/>
    <x v="1"/>
    <n v="27.366500000000002"/>
    <n v="24.728266217954001"/>
  </r>
  <r>
    <s v="60"/>
    <s v="60"/>
    <s v="Oddělení urgentního příjmu"/>
    <x v="51"/>
    <s v="6022"/>
    <s v="ambulance"/>
    <s v="6022 - ambulance"/>
    <s v="50115063     ostatní ZPr - vaky, sety (sk.Z_528)"/>
    <x v="13"/>
    <x v="2"/>
    <n v="22.059000000000001"/>
    <n v="30.585911423559999"/>
  </r>
  <r>
    <s v="60"/>
    <s v="60"/>
    <s v="Oddělení urgentního příjmu"/>
    <x v="51"/>
    <s v="6022"/>
    <s v="ambulance"/>
    <s v="6022 - ambulance"/>
    <s v="50115064     ostatní ZPr - šicí materiál (sk.Z_529)"/>
    <x v="21"/>
    <x v="0"/>
    <n v="29.762709999999998"/>
    <n v="29.450660735599001"/>
  </r>
  <r>
    <s v="60"/>
    <s v="60"/>
    <s v="Oddělení urgentního příjmu"/>
    <x v="51"/>
    <s v="6022"/>
    <s v="ambulance"/>
    <s v="6022 - ambulance"/>
    <s v="50115064     ostatní ZPr - šicí materiál (sk.Z_529)"/>
    <x v="21"/>
    <x v="1"/>
    <n v="33.929020000000001"/>
    <n v="29.179949445258998"/>
  </r>
  <r>
    <s v="60"/>
    <s v="60"/>
    <s v="Oddělení urgentního příjmu"/>
    <x v="51"/>
    <s v="6022"/>
    <s v="ambulance"/>
    <s v="6022 - ambulance"/>
    <s v="50115064     ostatní ZPr - šicí materiál (sk.Z_529)"/>
    <x v="21"/>
    <x v="2"/>
    <n v="22.064160000000001"/>
    <n v="34.314336950352001"/>
  </r>
  <r>
    <s v="60"/>
    <s v="60"/>
    <s v="Oddělení urgentního příjmu"/>
    <x v="51"/>
    <s v="6022"/>
    <s v="ambulance"/>
    <s v="6022 - ambulance"/>
    <s v="50115065     ostatní ZPr - vpichovací materiál (sk.Z_530)"/>
    <x v="14"/>
    <x v="0"/>
    <n v="10.144549999998999"/>
    <n v="9.7858727286320004"/>
  </r>
  <r>
    <s v="60"/>
    <s v="60"/>
    <s v="Oddělení urgentního příjmu"/>
    <x v="51"/>
    <s v="6022"/>
    <s v="ambulance"/>
    <s v="6022 - ambulance"/>
    <s v="50115065     ostatní ZPr - vpichovací materiál (sk.Z_530)"/>
    <x v="14"/>
    <x v="1"/>
    <n v="7.8361000000000001"/>
    <n v="10.406439322831"/>
  </r>
  <r>
    <s v="60"/>
    <s v="60"/>
    <s v="Oddělení urgentního příjmu"/>
    <x v="51"/>
    <s v="6022"/>
    <s v="ambulance"/>
    <s v="6022 - ambulance"/>
    <s v="50115065     ostatní ZPr - vpichovací materiál (sk.Z_530)"/>
    <x v="14"/>
    <x v="2"/>
    <n v="4.6840000000000002"/>
    <n v="8.1843654689369991"/>
  </r>
  <r>
    <s v="60"/>
    <s v="60"/>
    <s v="Oddělení urgentního příjmu"/>
    <x v="51"/>
    <s v="6022"/>
    <s v="ambulance"/>
    <s v="6022 - ambulance"/>
    <s v="50115067     ostatní ZPr - rukavice (sk.Z_532)"/>
    <x v="15"/>
    <x v="0"/>
    <n v="55.853699999999002"/>
    <n v="51.535996408296"/>
  </r>
  <r>
    <s v="60"/>
    <s v="60"/>
    <s v="Oddělení urgentního příjmu"/>
    <x v="51"/>
    <s v="6022"/>
    <s v="ambulance"/>
    <s v="6022 - ambulance"/>
    <s v="50115067     ostatní ZPr - rukavice (sk.Z_532)"/>
    <x v="15"/>
    <x v="1"/>
    <n v="82.218800000000002"/>
    <n v="61.644059434615997"/>
  </r>
  <r>
    <s v="60"/>
    <s v="60"/>
    <s v="Oddělení urgentního příjmu"/>
    <x v="51"/>
    <s v="6022"/>
    <s v="ambulance"/>
    <s v="6022 - ambulance"/>
    <s v="50115067     ostatní ZPr - rukavice (sk.Z_532)"/>
    <x v="15"/>
    <x v="2"/>
    <n v="69.540779999999984"/>
    <n v="68.177069245420995"/>
  </r>
  <r>
    <s v="60"/>
    <s v="60"/>
    <s v="Oddělení urgentního příjmu"/>
    <x v="51"/>
    <s v="6025"/>
    <s v="LSPP dospělá"/>
    <s v="6025 - LSPP dospělá"/>
    <s v="50113     Léky a léčiva"/>
    <x v="2"/>
    <x v="0"/>
    <n v="92.745389999999986"/>
    <n v="92.864019446615998"/>
  </r>
  <r>
    <s v="60"/>
    <s v="60"/>
    <s v="Oddělení urgentního příjmu"/>
    <x v="51"/>
    <s v="6025"/>
    <s v="LSPP dospělá"/>
    <s v="6025 - LSPP dospělá"/>
    <s v="50113     Léky a léčiva"/>
    <x v="2"/>
    <x v="1"/>
    <n v="118.58733000000001"/>
    <n v="92.826589147563993"/>
  </r>
  <r>
    <s v="60"/>
    <s v="60"/>
    <s v="Oddělení urgentního příjmu"/>
    <x v="51"/>
    <s v="6025"/>
    <s v="LSPP dospělá"/>
    <s v="6025 - LSPP dospělá"/>
    <s v="50113     Léky a léčiva"/>
    <x v="2"/>
    <x v="2"/>
    <n v="77.99127"/>
    <n v="107.350519309617"/>
  </r>
  <r>
    <s v="60"/>
    <s v="60"/>
    <s v="Oddělení urgentního příjmu"/>
    <x v="51"/>
    <s v="6025"/>
    <s v="LSPP dospělá"/>
    <s v="6025 - LSPP dospělá"/>
    <s v="50113001     léky - paušál+TISS (LEK)"/>
    <x v="3"/>
    <x v="0"/>
    <n v="91.785349999999994"/>
    <n v="92.001792012937003"/>
  </r>
  <r>
    <s v="60"/>
    <s v="60"/>
    <s v="Oddělení urgentního příjmu"/>
    <x v="51"/>
    <s v="6025"/>
    <s v="LSPP dospělá"/>
    <s v="6025 - LSPP dospělá"/>
    <s v="50113001     léky - paušál+TISS (LEK)"/>
    <x v="3"/>
    <x v="1"/>
    <n v="117.99823000000001"/>
    <n v="91.854876545145004"/>
  </r>
  <r>
    <s v="60"/>
    <s v="60"/>
    <s v="Oddělení urgentního příjmu"/>
    <x v="51"/>
    <s v="6025"/>
    <s v="LSPP dospělá"/>
    <s v="6025 - LSPP dospělá"/>
    <s v="50113001     léky - paušál+TISS (LEK)"/>
    <x v="3"/>
    <x v="2"/>
    <n v="77.99127"/>
    <n v="107.350519309617"/>
  </r>
  <r>
    <s v="60"/>
    <s v="60"/>
    <s v="Oddělení urgentního příjmu"/>
    <x v="51"/>
    <s v="6025"/>
    <s v="LSPP dospělá"/>
    <s v="6025 - LSPP dospělá"/>
    <s v="50113013     léky (paušál) - antibiotika (LEK)"/>
    <x v="7"/>
    <x v="0"/>
    <n v="0.96004"/>
    <n v="0.86222743367800003"/>
  </r>
  <r>
    <s v="60"/>
    <s v="60"/>
    <s v="Oddělení urgentního příjmu"/>
    <x v="51"/>
    <s v="6025"/>
    <s v="LSPP dospělá"/>
    <s v="6025 - LSPP dospělá"/>
    <s v="50113013     léky (paušál) - antibiotika (LEK)"/>
    <x v="7"/>
    <x v="1"/>
    <n v="0.58909999999999996"/>
    <n v="0.97171260241900004"/>
  </r>
  <r>
    <s v="60"/>
    <s v="60"/>
    <s v="Oddělení urgentního příjmu"/>
    <x v="51"/>
    <s v="6025"/>
    <s v="LSPP dospělá"/>
    <s v="6025 - LSPP dospělá"/>
    <s v="50115     Zdravotnické prostředky"/>
    <x v="0"/>
    <x v="0"/>
    <n v="99.516359999999992"/>
    <n v="102.030654687413"/>
  </r>
  <r>
    <s v="60"/>
    <s v="60"/>
    <s v="Oddělení urgentního příjmu"/>
    <x v="51"/>
    <s v="6025"/>
    <s v="LSPP dospělá"/>
    <s v="6025 - LSPP dospělá"/>
    <s v="50115     Zdravotnické prostředky"/>
    <x v="0"/>
    <x v="1"/>
    <n v="105.85202"/>
    <n v="103.719617012885"/>
  </r>
  <r>
    <s v="60"/>
    <s v="60"/>
    <s v="Oddělení urgentního příjmu"/>
    <x v="51"/>
    <s v="6025"/>
    <s v="LSPP dospělá"/>
    <s v="6025 - LSPP dospělá"/>
    <s v="50115     Zdravotnické prostředky"/>
    <x v="0"/>
    <x v="2"/>
    <n v="100.55740999999999"/>
    <n v="139.367254820765"/>
  </r>
  <r>
    <s v="60"/>
    <s v="60"/>
    <s v="Oddělení urgentního příjmu"/>
    <x v="51"/>
    <s v="6025"/>
    <s v="LSPP dospělá"/>
    <s v="6025 - LSPP dospělá"/>
    <s v="50115020     diagnostika laboratorní-LEK (sk.Z_501)"/>
    <x v="10"/>
    <x v="0"/>
    <n v="0.37752000000000002"/>
    <n v="0.91849790972099998"/>
  </r>
  <r>
    <s v="60"/>
    <s v="60"/>
    <s v="Oddělení urgentního příjmu"/>
    <x v="51"/>
    <s v="6025"/>
    <s v="LSPP dospělá"/>
    <s v="6025 - LSPP dospělá"/>
    <s v="50115020     diagnostika laboratorní-LEK (sk.Z_501)"/>
    <x v="10"/>
    <x v="1"/>
    <n v="0"/>
    <n v="0.37751960014899999"/>
  </r>
  <r>
    <s v="60"/>
    <s v="60"/>
    <s v="Oddělení urgentního příjmu"/>
    <x v="51"/>
    <s v="6025"/>
    <s v="LSPP dospělá"/>
    <s v="6025 - LSPP dospělá"/>
    <s v="50115050     obvazový materiál (sk.Z_502)"/>
    <x v="12"/>
    <x v="0"/>
    <n v="9.2849900000000005"/>
    <n v="11.506212545079"/>
  </r>
  <r>
    <s v="60"/>
    <s v="60"/>
    <s v="Oddělení urgentního příjmu"/>
    <x v="51"/>
    <s v="6025"/>
    <s v="LSPP dospělá"/>
    <s v="6025 - LSPP dospělá"/>
    <s v="50115050     obvazový materiál (sk.Z_502)"/>
    <x v="12"/>
    <x v="1"/>
    <n v="8.0885800000000003"/>
    <n v="9.3061045450959998"/>
  </r>
  <r>
    <s v="60"/>
    <s v="60"/>
    <s v="Oddělení urgentního příjmu"/>
    <x v="51"/>
    <s v="6025"/>
    <s v="LSPP dospělá"/>
    <s v="6025 - LSPP dospělá"/>
    <s v="50115050     obvazový materiál (sk.Z_502)"/>
    <x v="12"/>
    <x v="2"/>
    <n v="8.9302399999999995"/>
    <n v="5.0185582524769998"/>
  </r>
  <r>
    <s v="60"/>
    <s v="60"/>
    <s v="Oddělení urgentního příjmu"/>
    <x v="51"/>
    <s v="6025"/>
    <s v="LSPP dospělá"/>
    <s v="6025 - LSPP dospělá"/>
    <s v="50115060     ostatní ZPr - mimo níže uvedené (sk.Z_503)"/>
    <x v="1"/>
    <x v="0"/>
    <n v="73.734989999999996"/>
    <n v="74.999912466194004"/>
  </r>
  <r>
    <s v="60"/>
    <s v="60"/>
    <s v="Oddělení urgentního příjmu"/>
    <x v="51"/>
    <s v="6025"/>
    <s v="LSPP dospělá"/>
    <s v="6025 - LSPP dospělá"/>
    <s v="50115060     ostatní ZPr - mimo níže uvedené (sk.Z_503)"/>
    <x v="1"/>
    <x v="1"/>
    <n v="68.045839999999998"/>
    <n v="73.734434529235003"/>
  </r>
  <r>
    <s v="60"/>
    <s v="60"/>
    <s v="Oddělení urgentního příjmu"/>
    <x v="51"/>
    <s v="6025"/>
    <s v="LSPP dospělá"/>
    <s v="6025 - LSPP dospělá"/>
    <s v="50115060     ostatní ZPr - mimo níže uvedené (sk.Z_503)"/>
    <x v="1"/>
    <x v="2"/>
    <n v="68.414619999999999"/>
    <n v="101.545341394556"/>
  </r>
  <r>
    <s v="60"/>
    <s v="60"/>
    <s v="Oddělení urgentního příjmu"/>
    <x v="51"/>
    <s v="6025"/>
    <s v="LSPP dospělá"/>
    <s v="6025 - LSPP dospělá"/>
    <s v="50115063     ostatní ZPr - vaky, sety (sk.Z_528)"/>
    <x v="13"/>
    <x v="0"/>
    <n v="0.81699999999999995"/>
    <n v="0.74172006900700005"/>
  </r>
  <r>
    <s v="60"/>
    <s v="60"/>
    <s v="Oddělení urgentního příjmu"/>
    <x v="51"/>
    <s v="6025"/>
    <s v="LSPP dospělá"/>
    <s v="6025 - LSPP dospělá"/>
    <s v="50115063     ostatní ZPr - vaky, sety (sk.Z_528)"/>
    <x v="13"/>
    <x v="1"/>
    <n v="1.6339999999999999"/>
    <n v="0.80035311339000004"/>
  </r>
  <r>
    <s v="60"/>
    <s v="60"/>
    <s v="Oddělení urgentního příjmu"/>
    <x v="51"/>
    <s v="6025"/>
    <s v="LSPP dospělá"/>
    <s v="6025 - LSPP dospělá"/>
    <s v="50115063     ostatní ZPr - vaky, sety (sk.Z_528)"/>
    <x v="13"/>
    <x v="2"/>
    <n v="0"/>
    <n v="0.88664252605399996"/>
  </r>
  <r>
    <s v="60"/>
    <s v="60"/>
    <s v="Oddělení urgentního příjmu"/>
    <x v="51"/>
    <s v="6025"/>
    <s v="LSPP dospělá"/>
    <s v="6025 - LSPP dospělá"/>
    <s v="50115064     ostatní ZPr - šicí materiál (sk.Z_529)"/>
    <x v="21"/>
    <x v="0"/>
    <n v="1.2142599999999999"/>
    <n v="0.56258452457599994"/>
  </r>
  <r>
    <s v="60"/>
    <s v="60"/>
    <s v="Oddělení urgentního příjmu"/>
    <x v="51"/>
    <s v="6025"/>
    <s v="LSPP dospělá"/>
    <s v="6025 - LSPP dospělá"/>
    <s v="50115064     ostatní ZPr - šicí materiál (sk.Z_529)"/>
    <x v="21"/>
    <x v="1"/>
    <n v="0"/>
    <n v="1.190484516141"/>
  </r>
  <r>
    <s v="60"/>
    <s v="60"/>
    <s v="Oddělení urgentního příjmu"/>
    <x v="51"/>
    <s v="6025"/>
    <s v="LSPP dospělá"/>
    <s v="6025 - LSPP dospělá"/>
    <s v="50115065     ostatní ZPr - vpichovací materiál (sk.Z_530)"/>
    <x v="14"/>
    <x v="0"/>
    <n v="2.0380000000000003"/>
    <n v="0.95009885242400005"/>
  </r>
  <r>
    <s v="60"/>
    <s v="60"/>
    <s v="Oddělení urgentního příjmu"/>
    <x v="51"/>
    <s v="6025"/>
    <s v="LSPP dospělá"/>
    <s v="6025 - LSPP dospělá"/>
    <s v="50115065     ostatní ZPr - vpichovací materiál (sk.Z_530)"/>
    <x v="14"/>
    <x v="1"/>
    <n v="1.5819999999999999"/>
    <n v="2.0906125298729998"/>
  </r>
  <r>
    <s v="60"/>
    <s v="60"/>
    <s v="Oddělení urgentního příjmu"/>
    <x v="51"/>
    <s v="6025"/>
    <s v="LSPP dospělá"/>
    <s v="6025 - LSPP dospělá"/>
    <s v="50115065     ostatní ZPr - vpichovací materiál (sk.Z_530)"/>
    <x v="14"/>
    <x v="2"/>
    <n v="0.96"/>
    <n v="2.7573538150279999"/>
  </r>
  <r>
    <s v="60"/>
    <s v="60"/>
    <s v="Oddělení urgentního příjmu"/>
    <x v="51"/>
    <s v="6025"/>
    <s v="LSPP dospělá"/>
    <s v="6025 - LSPP dospělá"/>
    <s v="50115067     ostatní ZPr - rukavice (sk.Z_532)"/>
    <x v="15"/>
    <x v="0"/>
    <n v="12.049600000000002"/>
    <n v="12.351628320408"/>
  </r>
  <r>
    <s v="60"/>
    <s v="60"/>
    <s v="Oddělení urgentního příjmu"/>
    <x v="51"/>
    <s v="6025"/>
    <s v="LSPP dospělá"/>
    <s v="6025 - LSPP dospělá"/>
    <s v="50115067     ostatní ZPr - rukavice (sk.Z_532)"/>
    <x v="15"/>
    <x v="1"/>
    <n v="26.501600000000003"/>
    <n v="16.220108178996998"/>
  </r>
  <r>
    <s v="60"/>
    <s v="60"/>
    <s v="Oddělení urgentního příjmu"/>
    <x v="51"/>
    <s v="6025"/>
    <s v="LSPP dospělá"/>
    <s v="6025 - LSPP dospělá"/>
    <s v="50115067     ostatní ZPr - rukavice (sk.Z_532)"/>
    <x v="15"/>
    <x v="2"/>
    <n v="22.252549999999999"/>
    <n v="29.159358832647001"/>
  </r>
  <r>
    <s v="60"/>
    <s v="60"/>
    <s v="Oddělení urgentního příjmu"/>
    <x v="51"/>
    <s v="6026"/>
    <s v="akutní traumatologická ambulance"/>
    <s v="6026 - akutní traumatologická ambulance"/>
    <s v="50113     Léky a léčiva"/>
    <x v="2"/>
    <x v="0"/>
    <n v="112.61051999999901"/>
    <n v="126.59872842027499"/>
  </r>
  <r>
    <s v="60"/>
    <s v="60"/>
    <s v="Oddělení urgentního příjmu"/>
    <x v="51"/>
    <s v="6026"/>
    <s v="akutní traumatologická ambulance"/>
    <s v="6026 - akutní traumatologická ambulance"/>
    <s v="50113     Léky a léčiva"/>
    <x v="2"/>
    <x v="1"/>
    <n v="119.64694999999999"/>
    <n v="116.703167756344"/>
  </r>
  <r>
    <s v="60"/>
    <s v="60"/>
    <s v="Oddělení urgentního příjmu"/>
    <x v="51"/>
    <s v="6026"/>
    <s v="akutní traumatologická ambulance"/>
    <s v="6026 - akutní traumatologická ambulance"/>
    <s v="50113     Léky a léčiva"/>
    <x v="2"/>
    <x v="2"/>
    <n v="89.599670000000003"/>
    <n v="107.016493973869"/>
  </r>
  <r>
    <s v="60"/>
    <s v="60"/>
    <s v="Oddělení urgentního příjmu"/>
    <x v="51"/>
    <s v="6026"/>
    <s v="akutní traumatologická ambulance"/>
    <s v="6026 - akutní traumatologická ambulance"/>
    <s v="50113001     léky - paušál+TISS (LEK)"/>
    <x v="3"/>
    <x v="0"/>
    <n v="111.96547999999899"/>
    <n v="125.774817557597"/>
  </r>
  <r>
    <s v="60"/>
    <s v="60"/>
    <s v="Oddělení urgentního příjmu"/>
    <x v="51"/>
    <s v="6026"/>
    <s v="akutní traumatologická ambulance"/>
    <s v="6026 - akutní traumatologická ambulance"/>
    <s v="50113001     léky - paušál+TISS (LEK)"/>
    <x v="3"/>
    <x v="1"/>
    <n v="119.52307999999999"/>
    <n v="116.050285067014"/>
  </r>
  <r>
    <s v="60"/>
    <s v="60"/>
    <s v="Oddělení urgentního příjmu"/>
    <x v="51"/>
    <s v="6026"/>
    <s v="akutní traumatologická ambulance"/>
    <s v="6026 - akutní traumatologická ambulance"/>
    <s v="50113001     léky - paušál+TISS (LEK)"/>
    <x v="3"/>
    <x v="2"/>
    <n v="89.599670000000003"/>
    <n v="106.944511400134"/>
  </r>
  <r>
    <s v="60"/>
    <s v="60"/>
    <s v="Oddělení urgentního příjmu"/>
    <x v="51"/>
    <s v="6026"/>
    <s v="akutní traumatologická ambulance"/>
    <s v="6026 - akutní traumatologická ambulance"/>
    <s v="50113013     léky (paušál) - antibiotika (LEK)"/>
    <x v="7"/>
    <x v="0"/>
    <n v="0.64504000000000006"/>
    <n v="0.82391086267799996"/>
  </r>
  <r>
    <s v="60"/>
    <s v="60"/>
    <s v="Oddělení urgentního příjmu"/>
    <x v="51"/>
    <s v="6026"/>
    <s v="akutní traumatologická ambulance"/>
    <s v="6026 - akutní traumatologická ambulance"/>
    <s v="50113013     léky (paušál) - antibiotika (LEK)"/>
    <x v="7"/>
    <x v="1"/>
    <n v="0.12387000000000001"/>
    <n v="0.65288268933000004"/>
  </r>
  <r>
    <s v="60"/>
    <s v="60"/>
    <s v="Oddělení urgentního příjmu"/>
    <x v="51"/>
    <s v="6026"/>
    <s v="akutní traumatologická ambulance"/>
    <s v="6026 - akutní traumatologická ambulance"/>
    <s v="50113013     léky (paušál) - antibiotika (LEK)"/>
    <x v="7"/>
    <x v="2"/>
    <n v="0"/>
    <n v="7.1982573734999999E-2"/>
  </r>
  <r>
    <s v="60"/>
    <s v="60"/>
    <s v="Oddělení urgentního příjmu"/>
    <x v="51"/>
    <s v="6026"/>
    <s v="akutní traumatologická ambulance"/>
    <s v="6026 - akutní traumatologická ambulance"/>
    <s v="50115     Zdravotnické prostředky"/>
    <x v="0"/>
    <x v="0"/>
    <n v="620.11899000000005"/>
    <n v="509.81065613434902"/>
  </r>
  <r>
    <s v="60"/>
    <s v="60"/>
    <s v="Oddělení urgentního příjmu"/>
    <x v="51"/>
    <s v="6026"/>
    <s v="akutní traumatologická ambulance"/>
    <s v="6026 - akutní traumatologická ambulance"/>
    <s v="50115     Zdravotnické prostředky"/>
    <x v="0"/>
    <x v="1"/>
    <n v="645.66250000000014"/>
    <n v="632.71963767757404"/>
  </r>
  <r>
    <s v="60"/>
    <s v="60"/>
    <s v="Oddělení urgentního příjmu"/>
    <x v="51"/>
    <s v="6026"/>
    <s v="akutní traumatologická ambulance"/>
    <s v="6026 - akutní traumatologická ambulance"/>
    <s v="50115     Zdravotnické prostředky"/>
    <x v="0"/>
    <x v="2"/>
    <n v="512.04881999999998"/>
    <n v="674.32030358193902"/>
  </r>
  <r>
    <s v="60"/>
    <s v="60"/>
    <s v="Oddělení urgentního příjmu"/>
    <x v="51"/>
    <s v="6026"/>
    <s v="akutní traumatologická ambulance"/>
    <s v="6026 - akutní traumatologická ambulance"/>
    <s v="50115020     diagnostika laboratorní-LEK (sk.Z_501)"/>
    <x v="10"/>
    <x v="0"/>
    <n v="0.18876000000000001"/>
    <n v="0"/>
  </r>
  <r>
    <s v="60"/>
    <s v="60"/>
    <s v="Oddělení urgentního příjmu"/>
    <x v="51"/>
    <s v="6026"/>
    <s v="akutní traumatologická ambulance"/>
    <s v="6026 - akutní traumatologická ambulance"/>
    <s v="50115020     diagnostika laboratorní-LEK (sk.Z_501)"/>
    <x v="10"/>
    <x v="1"/>
    <n v="0"/>
    <n v="0.18875980007400001"/>
  </r>
  <r>
    <s v="60"/>
    <s v="60"/>
    <s v="Oddělení urgentního příjmu"/>
    <x v="51"/>
    <s v="6026"/>
    <s v="akutní traumatologická ambulance"/>
    <s v="6026 - akutní traumatologická ambulance"/>
    <s v="50115050     obvazový materiál (sk.Z_502)"/>
    <x v="12"/>
    <x v="0"/>
    <n v="367.07399000000004"/>
    <n v="275.69412959830402"/>
  </r>
  <r>
    <s v="60"/>
    <s v="60"/>
    <s v="Oddělení urgentního příjmu"/>
    <x v="51"/>
    <s v="6026"/>
    <s v="akutní traumatologická ambulance"/>
    <s v="6026 - akutní traumatologická ambulance"/>
    <s v="50115050     obvazový materiál (sk.Z_502)"/>
    <x v="12"/>
    <x v="1"/>
    <n v="364.27773999999999"/>
    <n v="372.908751835754"/>
  </r>
  <r>
    <s v="60"/>
    <s v="60"/>
    <s v="Oddělení urgentního příjmu"/>
    <x v="51"/>
    <s v="6026"/>
    <s v="akutní traumatologická ambulance"/>
    <s v="6026 - akutní traumatologická ambulance"/>
    <s v="50115050     obvazový materiál (sk.Z_502)"/>
    <x v="12"/>
    <x v="2"/>
    <n v="298.33004000000005"/>
    <n v="385.25063567466498"/>
  </r>
  <r>
    <s v="60"/>
    <s v="60"/>
    <s v="Oddělení urgentního příjmu"/>
    <x v="51"/>
    <s v="6026"/>
    <s v="akutní traumatologická ambulance"/>
    <s v="6026 - akutní traumatologická ambulance"/>
    <s v="50115060     ostatní ZPr - mimo níže uvedené (sk.Z_503)"/>
    <x v="1"/>
    <x v="0"/>
    <n v="115.938739999999"/>
    <n v="103.549876800893"/>
  </r>
  <r>
    <s v="60"/>
    <s v="60"/>
    <s v="Oddělení urgentního příjmu"/>
    <x v="51"/>
    <s v="6026"/>
    <s v="akutní traumatologická ambulance"/>
    <s v="6026 - akutní traumatologická ambulance"/>
    <s v="50115060     ostatní ZPr - mimo níže uvedené (sk.Z_503)"/>
    <x v="1"/>
    <x v="1"/>
    <n v="120.63236000000002"/>
    <n v="118.937930320484"/>
  </r>
  <r>
    <s v="60"/>
    <s v="60"/>
    <s v="Oddělení urgentního příjmu"/>
    <x v="51"/>
    <s v="6026"/>
    <s v="akutní traumatologická ambulance"/>
    <s v="6026 - akutní traumatologická ambulance"/>
    <s v="50115060     ostatní ZPr - mimo níže uvedené (sk.Z_503)"/>
    <x v="1"/>
    <x v="2"/>
    <n v="81.788200000000003"/>
    <n v="122.574365272425"/>
  </r>
  <r>
    <s v="60"/>
    <s v="60"/>
    <s v="Oddělení urgentního příjmu"/>
    <x v="51"/>
    <s v="6026"/>
    <s v="akutní traumatologická ambulance"/>
    <s v="6026 - akutní traumatologická ambulance"/>
    <s v="50115063     ostatní ZPr - vaky, sety (sk.Z_528)"/>
    <x v="13"/>
    <x v="0"/>
    <n v="12.1995"/>
    <n v="10.112657636731001"/>
  </r>
  <r>
    <s v="60"/>
    <s v="60"/>
    <s v="Oddělení urgentního příjmu"/>
    <x v="51"/>
    <s v="6026"/>
    <s v="akutní traumatologická ambulance"/>
    <s v="6026 - akutní traumatologická ambulance"/>
    <s v="50115063     ostatní ZPr - vaky, sety (sk.Z_528)"/>
    <x v="13"/>
    <x v="1"/>
    <n v="13.479000000000001"/>
    <n v="11.95092754811"/>
  </r>
  <r>
    <s v="60"/>
    <s v="60"/>
    <s v="Oddělení urgentního příjmu"/>
    <x v="51"/>
    <s v="6026"/>
    <s v="akutní traumatologická ambulance"/>
    <s v="6026 - akutní traumatologická ambulance"/>
    <s v="50115063     ostatní ZPr - vaky, sety (sk.Z_528)"/>
    <x v="13"/>
    <x v="2"/>
    <n v="11.436000000000002"/>
    <n v="16.401258869347998"/>
  </r>
  <r>
    <s v="60"/>
    <s v="60"/>
    <s v="Oddělení urgentního příjmu"/>
    <x v="51"/>
    <s v="6026"/>
    <s v="akutní traumatologická ambulance"/>
    <s v="6026 - akutní traumatologická ambulance"/>
    <s v="50115064     ostatní ZPr - šicí materiál (sk.Z_529)"/>
    <x v="21"/>
    <x v="0"/>
    <n v="83.658319999999009"/>
    <n v="80.001841191872003"/>
  </r>
  <r>
    <s v="60"/>
    <s v="60"/>
    <s v="Oddělení urgentního příjmu"/>
    <x v="51"/>
    <s v="6026"/>
    <s v="akutní traumatologická ambulance"/>
    <s v="6026 - akutní traumatologická ambulance"/>
    <s v="50115064     ostatní ZPr - šicí materiál (sk.Z_529)"/>
    <x v="21"/>
    <x v="1"/>
    <n v="96.664579999999987"/>
    <n v="87.020154685799994"/>
  </r>
  <r>
    <s v="60"/>
    <s v="60"/>
    <s v="Oddělení urgentního příjmu"/>
    <x v="51"/>
    <s v="6026"/>
    <s v="akutní traumatologická ambulance"/>
    <s v="6026 - akutní traumatologická ambulance"/>
    <s v="50115064     ostatní ZPr - šicí materiál (sk.Z_529)"/>
    <x v="21"/>
    <x v="2"/>
    <n v="70.135980000000004"/>
    <n v="96.512057434634997"/>
  </r>
  <r>
    <s v="60"/>
    <s v="60"/>
    <s v="Oddělení urgentního příjmu"/>
    <x v="51"/>
    <s v="6026"/>
    <s v="akutní traumatologická ambulance"/>
    <s v="6026 - akutní traumatologická ambulance"/>
    <s v="50115065     ostatní ZPr - vpichovací materiál (sk.Z_530)"/>
    <x v="14"/>
    <x v="0"/>
    <n v="6.2081"/>
    <n v="4.750722294969"/>
  </r>
  <r>
    <s v="60"/>
    <s v="60"/>
    <s v="Oddělení urgentního příjmu"/>
    <x v="51"/>
    <s v="6026"/>
    <s v="akutní traumatologická ambulance"/>
    <s v="6026 - akutní traumatologická ambulance"/>
    <s v="50115065     ostatní ZPr - vpichovací materiál (sk.Z_530)"/>
    <x v="14"/>
    <x v="1"/>
    <n v="5.9831200000000004"/>
    <n v="6.3683668531439999"/>
  </r>
  <r>
    <s v="60"/>
    <s v="60"/>
    <s v="Oddělení urgentního příjmu"/>
    <x v="51"/>
    <s v="6026"/>
    <s v="akutní traumatologická ambulance"/>
    <s v="6026 - akutní traumatologická ambulance"/>
    <s v="50115065     ostatní ZPr - vpichovací materiál (sk.Z_530)"/>
    <x v="14"/>
    <x v="2"/>
    <n v="3.976"/>
    <n v="5.689388816398"/>
  </r>
  <r>
    <s v="60"/>
    <s v="60"/>
    <s v="Oddělení urgentního příjmu"/>
    <x v="51"/>
    <s v="6026"/>
    <s v="akutní traumatologická ambulance"/>
    <s v="6026 - akutní traumatologická ambulance"/>
    <s v="50115067     ostatní ZPr - rukavice (sk.Z_532)"/>
    <x v="15"/>
    <x v="0"/>
    <n v="34.851580000000006"/>
    <n v="35.701428611577001"/>
  </r>
  <r>
    <s v="60"/>
    <s v="60"/>
    <s v="Oddělení urgentního příjmu"/>
    <x v="51"/>
    <s v="6026"/>
    <s v="akutní traumatologická ambulance"/>
    <s v="6026 - akutní traumatologická ambulance"/>
    <s v="50115067     ostatní ZPr - rukavice (sk.Z_532)"/>
    <x v="15"/>
    <x v="1"/>
    <n v="44.625700000000002"/>
    <n v="35.344746634205002"/>
  </r>
  <r>
    <s v="60"/>
    <s v="60"/>
    <s v="Oddělení urgentního příjmu"/>
    <x v="51"/>
    <s v="6026"/>
    <s v="akutní traumatologická ambulance"/>
    <s v="6026 - akutní traumatologická ambulance"/>
    <s v="50115067     ostatní ZPr - rukavice (sk.Z_532)"/>
    <x v="15"/>
    <x v="2"/>
    <n v="46.382600000000004"/>
    <n v="47.892597514465997"/>
  </r>
  <r>
    <s v="60"/>
    <s v="60"/>
    <s v="Oddělení urgentního příjmu"/>
    <x v="51"/>
    <s v="6028"/>
    <s v="traumatologický plán FNO"/>
    <s v="6028 - traumatologický plán FNO"/>
    <s v="50115     Zdravotnické prostředky"/>
    <x v="0"/>
    <x v="0"/>
    <n v="1.839"/>
    <n v="4.812625780246"/>
  </r>
  <r>
    <s v="60"/>
    <s v="60"/>
    <s v="Oddělení urgentního příjmu"/>
    <x v="51"/>
    <s v="6028"/>
    <s v="traumatologický plán FNO"/>
    <s v="6028 - traumatologický plán FNO"/>
    <s v="50115     Zdravotnické prostředky"/>
    <x v="0"/>
    <x v="1"/>
    <n v="0"/>
    <n v="1.8190941638939999"/>
  </r>
  <r>
    <s v="60"/>
    <s v="60"/>
    <s v="Oddělení urgentního příjmu"/>
    <x v="51"/>
    <s v="6028"/>
    <s v="traumatologický plán FNO"/>
    <s v="6028 - traumatologický plán FNO"/>
    <s v="50115050     obvazový materiál (sk.Z_502)"/>
    <x v="12"/>
    <x v="0"/>
    <n v="0"/>
    <n v="0.16495187824400001"/>
  </r>
  <r>
    <s v="60"/>
    <s v="60"/>
    <s v="Oddělení urgentního příjmu"/>
    <x v="51"/>
    <s v="6028"/>
    <s v="traumatologický plán FNO"/>
    <s v="6028 - traumatologický plán FNO"/>
    <s v="50115060     ostatní ZPr - mimo níže uvedené (sk.Z_503)"/>
    <x v="1"/>
    <x v="0"/>
    <n v="0.28499999999999998"/>
    <n v="-0.12919967677800001"/>
  </r>
  <r>
    <s v="60"/>
    <s v="60"/>
    <s v="Oddělení urgentního příjmu"/>
    <x v="51"/>
    <s v="6028"/>
    <s v="traumatologický plán FNO"/>
    <s v="6028 - traumatologický plán FNO"/>
    <s v="50115060     ostatní ZPr - mimo níže uvedené (sk.Z_503)"/>
    <x v="1"/>
    <x v="1"/>
    <n v="0"/>
    <n v="0.28499785299800001"/>
  </r>
  <r>
    <s v="60"/>
    <s v="60"/>
    <s v="Oddělení urgentního příjmu"/>
    <x v="51"/>
    <s v="6028"/>
    <s v="traumatologický plán FNO"/>
    <s v="6028 - traumatologický plán FNO"/>
    <s v="50115064     ostatní ZPr - šicí materiál (sk.Z_529)"/>
    <x v="21"/>
    <x v="0"/>
    <n v="1.242"/>
    <n v="4.3335152666649996"/>
  </r>
  <r>
    <s v="60"/>
    <s v="60"/>
    <s v="Oddělení urgentního příjmu"/>
    <x v="51"/>
    <s v="6028"/>
    <s v="traumatologický plán FNO"/>
    <s v="6028 - traumatologický plán FNO"/>
    <s v="50115064     ostatní ZPr - šicí materiál (sk.Z_529)"/>
    <x v="21"/>
    <x v="1"/>
    <n v="0"/>
    <n v="1.2176813607029999"/>
  </r>
  <r>
    <s v="60"/>
    <s v="60"/>
    <s v="Oddělení urgentního příjmu"/>
    <x v="51"/>
    <s v="6028"/>
    <s v="traumatologický plán FNO"/>
    <s v="6028 - traumatologický plán FNO"/>
    <s v="50115067     ostatní ZPr - rukavice (sk.Z_532)"/>
    <x v="15"/>
    <x v="0"/>
    <n v="0.312"/>
    <n v="0.44335831211400001"/>
  </r>
  <r>
    <s v="60"/>
    <s v="60"/>
    <s v="Oddělení urgentního příjmu"/>
    <x v="51"/>
    <s v="6028"/>
    <s v="traumatologický plán FNO"/>
    <s v="6028 - traumatologický plán FNO"/>
    <s v="50115067     ostatní ZPr - rukavice (sk.Z_532)"/>
    <x v="15"/>
    <x v="1"/>
    <n v="0"/>
    <n v="0.31641495019299998"/>
  </r>
  <r>
    <s v="60"/>
    <s v="60"/>
    <s v="Oddělení urgentního příjmu"/>
    <x v="51"/>
    <s v="6029"/>
    <s v="emergency"/>
    <s v="6029 - emergency"/>
    <s v="50113     Léky a léčiva"/>
    <x v="2"/>
    <x v="0"/>
    <n v="813.22984999999892"/>
    <n v="885.60500247789798"/>
  </r>
  <r>
    <s v="60"/>
    <s v="60"/>
    <s v="Oddělení urgentního příjmu"/>
    <x v="51"/>
    <s v="6029"/>
    <s v="emergency"/>
    <s v="6029 - emergency"/>
    <s v="50113     Léky a léčiva"/>
    <x v="2"/>
    <x v="1"/>
    <n v="958.15204999999992"/>
    <n v="794.14078381064405"/>
  </r>
  <r>
    <s v="60"/>
    <s v="60"/>
    <s v="Oddělení urgentního příjmu"/>
    <x v="51"/>
    <s v="6029"/>
    <s v="emergency"/>
    <s v="6029 - emergency"/>
    <s v="50113     Léky a léčiva"/>
    <x v="2"/>
    <x v="2"/>
    <n v="656.43152999999995"/>
    <n v="902.06151409698202"/>
  </r>
  <r>
    <s v="60"/>
    <s v="60"/>
    <s v="Oddělení urgentního příjmu"/>
    <x v="51"/>
    <s v="6029"/>
    <s v="emergency"/>
    <s v="6029 - emergency"/>
    <s v="50113001     léky - paušál+TISS (LEK)"/>
    <x v="3"/>
    <x v="0"/>
    <n v="512.82529999999895"/>
    <n v="521.37186841208995"/>
  </r>
  <r>
    <s v="60"/>
    <s v="60"/>
    <s v="Oddělení urgentního příjmu"/>
    <x v="51"/>
    <s v="6029"/>
    <s v="emergency"/>
    <s v="6029 - emergency"/>
    <s v="50113001     léky - paušál+TISS (LEK)"/>
    <x v="3"/>
    <x v="1"/>
    <n v="526.89569000000006"/>
    <n v="513.21376037382004"/>
  </r>
  <r>
    <s v="60"/>
    <s v="60"/>
    <s v="Oddělení urgentního příjmu"/>
    <x v="51"/>
    <s v="6029"/>
    <s v="emergency"/>
    <s v="6029 - emergency"/>
    <s v="50113001     léky - paušál+TISS (LEK)"/>
    <x v="3"/>
    <x v="2"/>
    <n v="369.33409999999998"/>
    <n v="472.97671835903998"/>
  </r>
  <r>
    <s v="60"/>
    <s v="60"/>
    <s v="Oddělení urgentního příjmu"/>
    <x v="51"/>
    <s v="6029"/>
    <s v="emergency"/>
    <s v="6029 - emergency"/>
    <s v="50113006     léky - enterální výživa (LEK)"/>
    <x v="4"/>
    <x v="0"/>
    <n v="2.9670000000000001"/>
    <n v="5.7001567972369998"/>
  </r>
  <r>
    <s v="60"/>
    <s v="60"/>
    <s v="Oddělení urgentního příjmu"/>
    <x v="51"/>
    <s v="6029"/>
    <s v="emergency"/>
    <s v="6029 - emergency"/>
    <s v="50113006     léky - enterální výživa (LEK)"/>
    <x v="4"/>
    <x v="1"/>
    <n v="0"/>
    <n v="2.9625672578920001"/>
  </r>
  <r>
    <s v="60"/>
    <s v="60"/>
    <s v="Oddělení urgentního příjmu"/>
    <x v="51"/>
    <s v="6029"/>
    <s v="emergency"/>
    <s v="6029 - emergency"/>
    <s v="50113007     léky - krev.deriváty ZUL (LEK)"/>
    <x v="45"/>
    <x v="0"/>
    <n v="0"/>
    <n v="16.944947890239"/>
  </r>
  <r>
    <s v="60"/>
    <s v="60"/>
    <s v="Oddělení urgentního příjmu"/>
    <x v="51"/>
    <s v="6029"/>
    <s v="emergency"/>
    <s v="6029 - emergency"/>
    <s v="50113008     léky - krev.deriváty ZUL (TO)"/>
    <x v="5"/>
    <x v="0"/>
    <n v="15.36824"/>
    <n v="33.408374820581002"/>
  </r>
  <r>
    <s v="60"/>
    <s v="60"/>
    <s v="Oddělení urgentního příjmu"/>
    <x v="51"/>
    <s v="6029"/>
    <s v="emergency"/>
    <s v="6029 - emergency"/>
    <s v="50113008     léky - krev.deriváty ZUL (TO)"/>
    <x v="5"/>
    <x v="1"/>
    <n v="182.62425999999897"/>
    <n v="15.000131710026"/>
  </r>
  <r>
    <s v="60"/>
    <s v="60"/>
    <s v="Oddělení urgentního příjmu"/>
    <x v="51"/>
    <s v="6029"/>
    <s v="emergency"/>
    <s v="6029 - emergency"/>
    <s v="50113008     léky - krev.deriváty ZUL (TO)"/>
    <x v="5"/>
    <x v="2"/>
    <n v="65.876800000000003"/>
    <n v="181.73828348138699"/>
  </r>
  <r>
    <s v="60"/>
    <s v="60"/>
    <s v="Oddělení urgentního příjmu"/>
    <x v="51"/>
    <s v="6029"/>
    <s v="emergency"/>
    <s v="6029 - emergency"/>
    <s v="50113013     léky (paušál) - antibiotika (LEK)"/>
    <x v="7"/>
    <x v="0"/>
    <n v="13.48019"/>
    <n v="13.39510223587"/>
  </r>
  <r>
    <s v="60"/>
    <s v="60"/>
    <s v="Oddělení urgentního příjmu"/>
    <x v="51"/>
    <s v="6029"/>
    <s v="emergency"/>
    <s v="6029 - emergency"/>
    <s v="50113013     léky (paušál) - antibiotika (LEK)"/>
    <x v="7"/>
    <x v="1"/>
    <n v="9.86416"/>
    <n v="5.9994232263680001"/>
  </r>
  <r>
    <s v="60"/>
    <s v="60"/>
    <s v="Oddělení urgentního příjmu"/>
    <x v="51"/>
    <s v="6029"/>
    <s v="emergency"/>
    <s v="6029 - emergency"/>
    <s v="50113013     léky (paušál) - antibiotika (LEK)"/>
    <x v="7"/>
    <x v="2"/>
    <n v="6.7908300000000006"/>
    <n v="8.7946439196949999"/>
  </r>
  <r>
    <s v="60"/>
    <s v="60"/>
    <s v="Oddělení urgentního příjmu"/>
    <x v="51"/>
    <s v="6029"/>
    <s v="emergency"/>
    <s v="6029 - emergency"/>
    <s v="50113014     léky (paušál) - antimykotika (LEK)"/>
    <x v="8"/>
    <x v="1"/>
    <n v="0.18895999999999999"/>
    <n v="0"/>
  </r>
  <r>
    <s v="60"/>
    <s v="60"/>
    <s v="Oddělení urgentního příjmu"/>
    <x v="51"/>
    <s v="6029"/>
    <s v="emergency"/>
    <s v="6029 - emergency"/>
    <s v="50113014     léky (paušál) - antimykotika (LEK)"/>
    <x v="8"/>
    <x v="2"/>
    <n v="0"/>
    <n v="0.180744655325"/>
  </r>
  <r>
    <s v="60"/>
    <s v="60"/>
    <s v="Oddělení urgentního příjmu"/>
    <x v="51"/>
    <s v="6029"/>
    <s v="emergency"/>
    <s v="6029 - emergency"/>
    <s v="50113190     medicinální plyny"/>
    <x v="9"/>
    <x v="0"/>
    <n v="268.58911999999998"/>
    <n v="294.784552321879"/>
  </r>
  <r>
    <s v="60"/>
    <s v="60"/>
    <s v="Oddělení urgentního příjmu"/>
    <x v="51"/>
    <s v="6029"/>
    <s v="emergency"/>
    <s v="6029 - emergency"/>
    <s v="50113190     medicinální plyny"/>
    <x v="9"/>
    <x v="1"/>
    <n v="238.57898000000003"/>
    <n v="256.96490124253597"/>
  </r>
  <r>
    <s v="60"/>
    <s v="60"/>
    <s v="Oddělení urgentního příjmu"/>
    <x v="51"/>
    <s v="6029"/>
    <s v="emergency"/>
    <s v="6029 - emergency"/>
    <s v="50113190     medicinální plyny"/>
    <x v="9"/>
    <x v="2"/>
    <n v="214.4298"/>
    <n v="238.37112368153501"/>
  </r>
  <r>
    <s v="60"/>
    <s v="60"/>
    <s v="Oddělení urgentního příjmu"/>
    <x v="51"/>
    <s v="6029"/>
    <s v="emergency"/>
    <s v="6029 - emergency"/>
    <s v="50115     Zdravotnické prostředky"/>
    <x v="0"/>
    <x v="0"/>
    <n v="1164.74341"/>
    <n v="1149.25298176262"/>
  </r>
  <r>
    <s v="60"/>
    <s v="60"/>
    <s v="Oddělení urgentního příjmu"/>
    <x v="51"/>
    <s v="6029"/>
    <s v="emergency"/>
    <s v="6029 - emergency"/>
    <s v="50115     Zdravotnické prostředky"/>
    <x v="0"/>
    <x v="1"/>
    <n v="1315.32097"/>
    <n v="1317.2552579241001"/>
  </r>
  <r>
    <s v="60"/>
    <s v="60"/>
    <s v="Oddělení urgentního příjmu"/>
    <x v="51"/>
    <s v="6029"/>
    <s v="emergency"/>
    <s v="6029 - emergency"/>
    <s v="50115     Zdravotnické prostředky"/>
    <x v="0"/>
    <x v="2"/>
    <n v="1075.3335000000002"/>
    <n v="1472.6940014010099"/>
  </r>
  <r>
    <s v="60"/>
    <s v="60"/>
    <s v="Oddělení urgentního příjmu"/>
    <x v="51"/>
    <s v="6029"/>
    <s v="emergency"/>
    <s v="6029 - emergency"/>
    <s v="50115020     diagnostika laboratorní-LEK (sk.Z_501)"/>
    <x v="10"/>
    <x v="0"/>
    <n v="155.68101999999999"/>
    <n v="172.845097464069"/>
  </r>
  <r>
    <s v="60"/>
    <s v="60"/>
    <s v="Oddělení urgentního příjmu"/>
    <x v="51"/>
    <s v="6029"/>
    <s v="emergency"/>
    <s v="6029 - emergency"/>
    <s v="50115020     diagnostika laboratorní-LEK (sk.Z_501)"/>
    <x v="10"/>
    <x v="1"/>
    <n v="285.77053999999998"/>
    <n v="298.83205651310902"/>
  </r>
  <r>
    <s v="60"/>
    <s v="60"/>
    <s v="Oddělení urgentního příjmu"/>
    <x v="51"/>
    <s v="6029"/>
    <s v="emergency"/>
    <s v="6029 - emergency"/>
    <s v="50115020     diagnostika laboratorní-LEK (sk.Z_501)"/>
    <x v="10"/>
    <x v="2"/>
    <n v="260.75155999999998"/>
    <n v="456.76462562396199"/>
  </r>
  <r>
    <s v="60"/>
    <s v="60"/>
    <s v="Oddělení urgentního příjmu"/>
    <x v="51"/>
    <s v="6029"/>
    <s v="emergency"/>
    <s v="6029 - emergency"/>
    <s v="50115050     obvazový materiál (sk.Z_502)"/>
    <x v="12"/>
    <x v="0"/>
    <n v="82.888510000000011"/>
    <n v="83.344716094179006"/>
  </r>
  <r>
    <s v="60"/>
    <s v="60"/>
    <s v="Oddělení urgentního příjmu"/>
    <x v="51"/>
    <s v="6029"/>
    <s v="emergency"/>
    <s v="6029 - emergency"/>
    <s v="50115050     obvazový materiál (sk.Z_502)"/>
    <x v="12"/>
    <x v="1"/>
    <n v="71.82462000000001"/>
    <n v="76.077006506539007"/>
  </r>
  <r>
    <s v="60"/>
    <s v="60"/>
    <s v="Oddělení urgentního příjmu"/>
    <x v="51"/>
    <s v="6029"/>
    <s v="emergency"/>
    <s v="6029 - emergency"/>
    <s v="50115050     obvazový materiál (sk.Z_502)"/>
    <x v="12"/>
    <x v="2"/>
    <n v="56.192"/>
    <n v="74.271070532829"/>
  </r>
  <r>
    <s v="60"/>
    <s v="60"/>
    <s v="Oddělení urgentního příjmu"/>
    <x v="51"/>
    <s v="6029"/>
    <s v="emergency"/>
    <s v="6029 - emergency"/>
    <s v="50115060     ostatní ZPr - mimo níže uvedené (sk.Z_503)"/>
    <x v="1"/>
    <x v="0"/>
    <n v="584.01783999999998"/>
    <n v="574.38837885437397"/>
  </r>
  <r>
    <s v="60"/>
    <s v="60"/>
    <s v="Oddělení urgentního příjmu"/>
    <x v="51"/>
    <s v="6029"/>
    <s v="emergency"/>
    <s v="6029 - emergency"/>
    <s v="50115060     ostatní ZPr - mimo níže uvedené (sk.Z_503)"/>
    <x v="1"/>
    <x v="1"/>
    <n v="624.69690000000014"/>
    <n v="595.01411589534405"/>
  </r>
  <r>
    <s v="60"/>
    <s v="60"/>
    <s v="Oddělení urgentního příjmu"/>
    <x v="51"/>
    <s v="6029"/>
    <s v="emergency"/>
    <s v="6029 - emergency"/>
    <s v="50115060     ostatní ZPr - mimo níže uvedené (sk.Z_503)"/>
    <x v="1"/>
    <x v="2"/>
    <n v="504.95328999999998"/>
    <n v="620.21866699246095"/>
  </r>
  <r>
    <s v="60"/>
    <s v="60"/>
    <s v="Oddělení urgentního příjmu"/>
    <x v="51"/>
    <s v="6029"/>
    <s v="emergency"/>
    <s v="6029 - emergency"/>
    <s v="50115063     ostatní ZPr - vaky, sety (sk.Z_528)"/>
    <x v="13"/>
    <x v="0"/>
    <n v="132.14418999999901"/>
    <n v="118.438296036731"/>
  </r>
  <r>
    <s v="60"/>
    <s v="60"/>
    <s v="Oddělení urgentního příjmu"/>
    <x v="51"/>
    <s v="6029"/>
    <s v="emergency"/>
    <s v="6029 - emergency"/>
    <s v="50115063     ostatní ZPr - vaky, sety (sk.Z_528)"/>
    <x v="13"/>
    <x v="1"/>
    <n v="104.31283000000001"/>
    <n v="124.451675840655"/>
  </r>
  <r>
    <s v="60"/>
    <s v="60"/>
    <s v="Oddělení urgentního příjmu"/>
    <x v="51"/>
    <s v="6029"/>
    <s v="emergency"/>
    <s v="6029 - emergency"/>
    <s v="50115063     ostatní ZPr - vaky, sety (sk.Z_528)"/>
    <x v="13"/>
    <x v="2"/>
    <n v="72.768869999999993"/>
    <n v="98.126182582390996"/>
  </r>
  <r>
    <s v="60"/>
    <s v="60"/>
    <s v="Oddělení urgentního příjmu"/>
    <x v="51"/>
    <s v="6029"/>
    <s v="emergency"/>
    <s v="6029 - emergency"/>
    <s v="50115064     ostatní ZPr - šicí materiál (sk.Z_529)"/>
    <x v="21"/>
    <x v="0"/>
    <n v="4.9390400000000003"/>
    <n v="6"/>
  </r>
  <r>
    <s v="60"/>
    <s v="60"/>
    <s v="Oddělení urgentního příjmu"/>
    <x v="51"/>
    <s v="6029"/>
    <s v="emergency"/>
    <s v="6029 - emergency"/>
    <s v="50115064     ostatní ZPr - šicí materiál (sk.Z_529)"/>
    <x v="21"/>
    <x v="1"/>
    <n v="15.073790000000001"/>
    <n v="11.842311522066"/>
  </r>
  <r>
    <s v="60"/>
    <s v="60"/>
    <s v="Oddělení urgentního příjmu"/>
    <x v="51"/>
    <s v="6029"/>
    <s v="emergency"/>
    <s v="6029 - emergency"/>
    <s v="50115064     ostatní ZPr - šicí materiál (sk.Z_529)"/>
    <x v="21"/>
    <x v="2"/>
    <n v="14.624250000000002"/>
    <n v="19.173600890374999"/>
  </r>
  <r>
    <s v="60"/>
    <s v="60"/>
    <s v="Oddělení urgentního příjmu"/>
    <x v="51"/>
    <s v="6029"/>
    <s v="emergency"/>
    <s v="6029 - emergency"/>
    <s v="50115065     ostatní ZPr - vpichovací materiál (sk.Z_530)"/>
    <x v="14"/>
    <x v="0"/>
    <n v="11.588049999999997"/>
    <n v="11.524177876213001"/>
  </r>
  <r>
    <s v="60"/>
    <s v="60"/>
    <s v="Oddělení urgentního příjmu"/>
    <x v="51"/>
    <s v="6029"/>
    <s v="emergency"/>
    <s v="6029 - emergency"/>
    <s v="50115065     ostatní ZPr - vpichovací materiál (sk.Z_530)"/>
    <x v="14"/>
    <x v="1"/>
    <n v="12.718210000000001"/>
    <n v="20.887204918618"/>
  </r>
  <r>
    <s v="60"/>
    <s v="60"/>
    <s v="Oddělení urgentního příjmu"/>
    <x v="51"/>
    <s v="6029"/>
    <s v="emergency"/>
    <s v="6029 - emergency"/>
    <s v="50115065     ostatní ZPr - vpichovací materiál (sk.Z_530)"/>
    <x v="14"/>
    <x v="2"/>
    <n v="2.2129999999999996"/>
    <n v="13.368890954707"/>
  </r>
  <r>
    <s v="60"/>
    <s v="60"/>
    <s v="Oddělení urgentního příjmu"/>
    <x v="51"/>
    <s v="6029"/>
    <s v="emergency"/>
    <s v="6029 - emergency"/>
    <s v="50115067     ostatní ZPr - rukavice (sk.Z_532)"/>
    <x v="15"/>
    <x v="0"/>
    <n v="47.122600000000006"/>
    <n v="46.579874438299001"/>
  </r>
  <r>
    <s v="60"/>
    <s v="60"/>
    <s v="Oddělení urgentního příjmu"/>
    <x v="51"/>
    <s v="6029"/>
    <s v="emergency"/>
    <s v="6029 - emergency"/>
    <s v="50115067     ostatní ZPr - rukavice (sk.Z_532)"/>
    <x v="15"/>
    <x v="1"/>
    <n v="57.740999999999993"/>
    <n v="47.789407474351997"/>
  </r>
  <r>
    <s v="60"/>
    <s v="60"/>
    <s v="Oddělení urgentního příjmu"/>
    <x v="51"/>
    <s v="6029"/>
    <s v="emergency"/>
    <s v="6029 - emergency"/>
    <s v="50115067     ostatní ZPr - rukavice (sk.Z_532)"/>
    <x v="15"/>
    <x v="2"/>
    <n v="39.199209999999994"/>
    <n v="54.770968107948001"/>
  </r>
  <r>
    <s v="60"/>
    <s v="60"/>
    <s v="Oddělení urgentního příjmu"/>
    <x v="51"/>
    <s v="6029"/>
    <s v="emergency"/>
    <s v="6029 - emergency"/>
    <s v="50115070     ostatní ZPr - katetry (sk.Z_513)"/>
    <x v="16"/>
    <x v="0"/>
    <n v="146.36216000000002"/>
    <n v="136.13244099875399"/>
  </r>
  <r>
    <s v="60"/>
    <s v="60"/>
    <s v="Oddělení urgentního příjmu"/>
    <x v="51"/>
    <s v="6029"/>
    <s v="emergency"/>
    <s v="6029 - emergency"/>
    <s v="50115070     ostatní ZPr - katetry (sk.Z_513)"/>
    <x v="16"/>
    <x v="1"/>
    <n v="143.18307999999999"/>
    <n v="142.361479253417"/>
  </r>
  <r>
    <s v="60"/>
    <s v="60"/>
    <s v="Oddělení urgentního příjmu"/>
    <x v="51"/>
    <s v="6029"/>
    <s v="emergency"/>
    <s v="6029 - emergency"/>
    <s v="50115070     ostatní ZPr - katetry (sk.Z_513)"/>
    <x v="16"/>
    <x v="2"/>
    <n v="87.623130000000003"/>
    <n v="135.99999571633001"/>
  </r>
  <r>
    <s v="60"/>
    <s v="60"/>
    <s v="Oddělení urgentního příjmu"/>
    <x v="51"/>
    <s v="6029"/>
    <s v="emergency"/>
    <s v="6029 - emergency"/>
    <s v="50115079     ostatní ZPr - intenzivní péče (sk.Z_542)"/>
    <x v="18"/>
    <x v="2"/>
    <n v="37.008189999999999"/>
    <n v="0"/>
  </r>
  <r>
    <s v="81"/>
    <s v="81"/>
    <s v="Klinická hodnocení"/>
    <x v="52"/>
    <s v="8112"/>
    <s v="Klinická hodnocení - Urologická klinika"/>
    <s v="8112 - Klinická hodnocení - Urologická klinika"/>
    <s v="50115     Zdravotnické prostředky"/>
    <x v="0"/>
    <x v="1"/>
    <n v="35.579000000000001"/>
    <n v="0"/>
  </r>
  <r>
    <s v="81"/>
    <s v="81"/>
    <s v="Klinická hodnocení"/>
    <x v="52"/>
    <s v="8112"/>
    <s v="Klinická hodnocení - Urologická klinika"/>
    <s v="8112 - Klinická hodnocení - Urologická klinika"/>
    <s v="50115065     ostatní ZPr - vpichovací materiál (sk.Z_530)"/>
    <x v="14"/>
    <x v="1"/>
    <n v="35.579000000000001"/>
    <n v="0"/>
  </r>
  <r>
    <s v="81"/>
    <s v="81"/>
    <s v="Klinická hodnocení"/>
    <x v="52"/>
    <s v="8121"/>
    <s v="Klinická hodnocení - Onkologická klinika"/>
    <s v="8121 - Klinická hodnocení - Onkologická klinika"/>
    <s v="50113     Léky a léčiva"/>
    <x v="2"/>
    <x v="2"/>
    <n v="0.54610999999999998"/>
    <n v="0"/>
  </r>
  <r>
    <s v="81"/>
    <s v="81"/>
    <s v="Klinická hodnocení"/>
    <x v="52"/>
    <s v="8121"/>
    <s v="Klinická hodnocení - Onkologická klinika"/>
    <s v="8121 - Klinická hodnocení - Onkologická klinika"/>
    <s v="50113001     léky - paušál+TISS (LEK)"/>
    <x v="3"/>
    <x v="2"/>
    <n v="0.54610999999999998"/>
    <n v="0"/>
  </r>
  <r>
    <s v="81"/>
    <s v="81"/>
    <s v="Klinická hodnocení"/>
    <x v="52"/>
    <s v="8121"/>
    <s v="Klinická hodnocení - Onkologická klinika"/>
    <s v="8121 - Klinická hodnocení - Onkologická klinika"/>
    <s v="50115     Zdravotnické prostředky"/>
    <x v="0"/>
    <x v="0"/>
    <n v="515.98511999999994"/>
    <n v="0"/>
  </r>
  <r>
    <s v="81"/>
    <s v="81"/>
    <s v="Klinická hodnocení"/>
    <x v="52"/>
    <s v="8121"/>
    <s v="Klinická hodnocení - Onkologická klinika"/>
    <s v="8121 - Klinická hodnocení - Onkologická klinika"/>
    <s v="50115     Zdravotnické prostředky"/>
    <x v="0"/>
    <x v="1"/>
    <n v="373.14881000000003"/>
    <n v="0"/>
  </r>
  <r>
    <s v="81"/>
    <s v="81"/>
    <s v="Klinická hodnocení"/>
    <x v="52"/>
    <s v="8121"/>
    <s v="Klinická hodnocení - Onkologická klinika"/>
    <s v="8121 - Klinická hodnocení - Onkologická klinika"/>
    <s v="50115     Zdravotnické prostředky"/>
    <x v="0"/>
    <x v="2"/>
    <n v="526.31411000000003"/>
    <n v="0"/>
  </r>
  <r>
    <s v="81"/>
    <s v="81"/>
    <s v="Klinická hodnocení"/>
    <x v="52"/>
    <s v="8121"/>
    <s v="Klinická hodnocení - Onkologická klinika"/>
    <s v="8121 - Klinická hodnocení - Onkologická klinika"/>
    <s v="50115020     diagnostika laboratorní-LEK (sk.Z_501)"/>
    <x v="10"/>
    <x v="0"/>
    <n v="100"/>
    <n v="0"/>
  </r>
  <r>
    <s v="81"/>
    <s v="81"/>
    <s v="Klinická hodnocení"/>
    <x v="52"/>
    <s v="8121"/>
    <s v="Klinická hodnocení - Onkologická klinika"/>
    <s v="8121 - Klinická hodnocení - Onkologická klinika"/>
    <s v="50115020     diagnostika laboratorní-LEK (sk.Z_501)"/>
    <x v="10"/>
    <x v="2"/>
    <n v="4.5668099999999994"/>
    <n v="0"/>
  </r>
  <r>
    <s v="81"/>
    <s v="81"/>
    <s v="Klinická hodnocení"/>
    <x v="52"/>
    <s v="8121"/>
    <s v="Klinická hodnocení - Onkologická klinika"/>
    <s v="8121 - Klinická hodnocení - Onkologická klinika"/>
    <s v="50115040     laboratorní materiál (sk.Z_505)"/>
    <x v="11"/>
    <x v="1"/>
    <n v="24.960830000000001"/>
    <n v="0"/>
  </r>
  <r>
    <s v="81"/>
    <s v="81"/>
    <s v="Klinická hodnocení"/>
    <x v="52"/>
    <s v="8121"/>
    <s v="Klinická hodnocení - Onkologická klinika"/>
    <s v="8121 - Klinická hodnocení - Onkologická klinika"/>
    <s v="50115040     laboratorní materiál (sk.Z_505)"/>
    <x v="11"/>
    <x v="2"/>
    <n v="27.26444"/>
    <n v="0"/>
  </r>
  <r>
    <s v="81"/>
    <s v="81"/>
    <s v="Klinická hodnocení"/>
    <x v="52"/>
    <s v="8121"/>
    <s v="Klinická hodnocení - Onkologická klinika"/>
    <s v="8121 - Klinická hodnocení - Onkologická klinika"/>
    <s v="50115060     ostatní ZPr - mimo níže uvedené (sk.Z_503)"/>
    <x v="1"/>
    <x v="0"/>
    <n v="20.173120000000001"/>
    <n v="0"/>
  </r>
  <r>
    <s v="81"/>
    <s v="81"/>
    <s v="Klinická hodnocení"/>
    <x v="52"/>
    <s v="8121"/>
    <s v="Klinická hodnocení - Onkologická klinika"/>
    <s v="8121 - Klinická hodnocení - Onkologická klinika"/>
    <s v="50115060     ostatní ZPr - mimo níže uvedené (sk.Z_503)"/>
    <x v="1"/>
    <x v="1"/>
    <n v="39.992570000000001"/>
    <n v="0"/>
  </r>
  <r>
    <s v="81"/>
    <s v="81"/>
    <s v="Klinická hodnocení"/>
    <x v="52"/>
    <s v="8121"/>
    <s v="Klinická hodnocení - Onkologická klinika"/>
    <s v="8121 - Klinická hodnocení - Onkologická klinika"/>
    <s v="50115060     ostatní ZPr - mimo níže uvedené (sk.Z_503)"/>
    <x v="1"/>
    <x v="2"/>
    <n v="13.455510000000002"/>
    <n v="0"/>
  </r>
  <r>
    <s v="81"/>
    <s v="81"/>
    <s v="Klinická hodnocení"/>
    <x v="52"/>
    <s v="8121"/>
    <s v="Klinická hodnocení - Onkologická klinika"/>
    <s v="8121 - Klinická hodnocení - Onkologická klinika"/>
    <s v="50115065     ostatní ZPr - vpichovací materiál (sk.Z_530)"/>
    <x v="14"/>
    <x v="0"/>
    <n v="98.155000000000001"/>
    <n v="0"/>
  </r>
  <r>
    <s v="81"/>
    <s v="81"/>
    <s v="Klinická hodnocení"/>
    <x v="52"/>
    <s v="8121"/>
    <s v="Klinická hodnocení - Onkologická klinika"/>
    <s v="8121 - Klinická hodnocení - Onkologická klinika"/>
    <s v="50115065     ostatní ZPr - vpichovací materiál (sk.Z_530)"/>
    <x v="14"/>
    <x v="2"/>
    <n v="47.19"/>
    <n v="0"/>
  </r>
  <r>
    <s v="81"/>
    <s v="81"/>
    <s v="Klinická hodnocení"/>
    <x v="52"/>
    <s v="8121"/>
    <s v="Klinická hodnocení - Onkologická klinika"/>
    <s v="8121 - Klinická hodnocení - Onkologická klinika"/>
    <s v="50115067     ostatní ZPr - rukavice (sk.Z_532)"/>
    <x v="15"/>
    <x v="1"/>
    <n v="0.50819999999999999"/>
    <n v="0"/>
  </r>
  <r>
    <s v="81"/>
    <s v="81"/>
    <s v="Klinická hodnocení"/>
    <x v="52"/>
    <s v="8121"/>
    <s v="Klinická hodnocení - Onkologická klinika"/>
    <s v="8121 - Klinická hodnocení - Onkologická klinika"/>
    <s v="50115069     ostatní ZPr - porty (sk.Z_534)"/>
    <x v="52"/>
    <x v="2"/>
    <n v="426.2201"/>
    <n v="0"/>
  </r>
  <r>
    <s v="81"/>
    <s v="81"/>
    <s v="Klinická hodnocení"/>
    <x v="52"/>
    <s v="8121"/>
    <s v="Klinická hodnocení - Onkologická klinika"/>
    <s v="8121 - Klinická hodnocení - Onkologická klinika"/>
    <s v="50115070     ostatní ZPr - katetry (sk.Z_513)"/>
    <x v="16"/>
    <x v="0"/>
    <n v="297.65699999999998"/>
    <n v="0"/>
  </r>
  <r>
    <s v="81"/>
    <s v="81"/>
    <s v="Klinická hodnocení"/>
    <x v="52"/>
    <s v="8121"/>
    <s v="Klinická hodnocení - Onkologická klinika"/>
    <s v="8121 - Klinická hodnocení - Onkologická klinika"/>
    <s v="50115070     ostatní ZPr - katetry (sk.Z_513)"/>
    <x v="16"/>
    <x v="1"/>
    <n v="306.93903"/>
    <n v="0"/>
  </r>
  <r>
    <s v="81"/>
    <s v="81"/>
    <s v="Klinická hodnocení"/>
    <x v="52"/>
    <s v="8121"/>
    <s v="Klinická hodnocení - Onkologická klinika"/>
    <s v="8121 - Klinická hodnocení - Onkologická klinika"/>
    <s v="50115070     ostatní ZPr - katetry (sk.Z_513)"/>
    <x v="16"/>
    <x v="2"/>
    <n v="7.6172500000000003"/>
    <n v="0"/>
  </r>
  <r>
    <s v="81"/>
    <s v="81"/>
    <s v="Klinická hodnocení"/>
    <x v="52"/>
    <s v="8121"/>
    <s v="Klinická hodnocení - Onkologická klinika"/>
    <s v="8121 - Klinická hodnocení - Onkologická klinika"/>
    <s v="50115090     ostatní ZPr - zubolékařský materiál (sk.Z_509)"/>
    <x v="51"/>
    <x v="1"/>
    <n v="0.74818000000000007"/>
    <n v="0"/>
  </r>
  <r>
    <s v="81"/>
    <s v="81"/>
    <s v="Klinická hodnocení"/>
    <x v="52"/>
    <s v="8134"/>
    <s v="Klinická hodnocení - Radiologická klinika"/>
    <s v="8134 - Klinická hodnocení - Radiologická klinika"/>
    <s v="50113     Léky a léčiva"/>
    <x v="2"/>
    <x v="0"/>
    <n v="355.75200000000001"/>
    <n v="0"/>
  </r>
  <r>
    <s v="81"/>
    <s v="81"/>
    <s v="Klinická hodnocení"/>
    <x v="52"/>
    <s v="8134"/>
    <s v="Klinická hodnocení - Radiologická klinika"/>
    <s v="8134 - Klinická hodnocení - Radiologická klinika"/>
    <s v="50113     Léky a léčiva"/>
    <x v="2"/>
    <x v="1"/>
    <n v="26.754749999999998"/>
    <n v="0"/>
  </r>
  <r>
    <s v="81"/>
    <s v="81"/>
    <s v="Klinická hodnocení"/>
    <x v="52"/>
    <s v="8134"/>
    <s v="Klinická hodnocení - Radiologická klinika"/>
    <s v="8134 - Klinická hodnocení - Radiologická klinika"/>
    <s v="50113009     léky - RTG diagnostika ZUL (LEK)"/>
    <x v="22"/>
    <x v="0"/>
    <n v="355.75200000000001"/>
    <n v="0"/>
  </r>
  <r>
    <s v="81"/>
    <s v="81"/>
    <s v="Klinická hodnocení"/>
    <x v="52"/>
    <s v="8134"/>
    <s v="Klinická hodnocení - Radiologická klinika"/>
    <s v="8134 - Klinická hodnocení - Radiologická klinika"/>
    <s v="50113009     léky - RTG diagnostika ZUL (LEK)"/>
    <x v="22"/>
    <x v="1"/>
    <n v="26.754749999999998"/>
    <n v="0"/>
  </r>
  <r>
    <s v="81"/>
    <s v="81"/>
    <s v="Klinická hodnocení"/>
    <x v="52"/>
    <s v="8148"/>
    <s v="Klinická hodnocení - Lékárna"/>
    <s v="8148 - Klinická hodnocení - Lékárna"/>
    <s v="50113     Léky a léčiva"/>
    <x v="2"/>
    <x v="0"/>
    <n v="1.0000056338554941E-12"/>
    <n v="0"/>
  </r>
  <r>
    <s v="81"/>
    <s v="81"/>
    <s v="Klinická hodnocení"/>
    <x v="52"/>
    <s v="8148"/>
    <s v="Klinická hodnocení - Lékárna"/>
    <s v="8148 - Klinická hodnocení - Lékárna"/>
    <s v="50113     Léky a léčiva"/>
    <x v="2"/>
    <x v="2"/>
    <n v="9.9489999999999995E-2"/>
    <n v="0"/>
  </r>
  <r>
    <s v="81"/>
    <s v="81"/>
    <s v="Klinická hodnocení"/>
    <x v="52"/>
    <s v="8148"/>
    <s v="Klinická hodnocení - Lékárna"/>
    <s v="8148 - Klinická hodnocení - Lékárna"/>
    <s v="50113001     léky - paušál+TISS (LEK)"/>
    <x v="3"/>
    <x v="0"/>
    <n v="1.0000056338554941E-12"/>
    <n v="0"/>
  </r>
  <r>
    <s v="81"/>
    <s v="81"/>
    <s v="Klinická hodnocení"/>
    <x v="52"/>
    <s v="8148"/>
    <s v="Klinická hodnocení - Lékárna"/>
    <s v="8148 - Klinická hodnocení - Lékárna"/>
    <s v="50113001     léky - paušál+TISS (LEK)"/>
    <x v="3"/>
    <x v="2"/>
    <n v="9.9489999999999995E-2"/>
    <n v="0"/>
  </r>
  <r>
    <s v="85"/>
    <s v="85"/>
    <s v="Granty"/>
    <x v="53"/>
    <s v="8502"/>
    <s v="Doc.MUDr. Mgr. Milan Raška, Ph.D. - IMUNOL"/>
    <s v="8502 - Doc.MUDr. Mgr. Milan Raška, Ph.D. - IMUNOL"/>
    <s v="50115     Zdravotnické prostředky"/>
    <x v="0"/>
    <x v="2"/>
    <n v="199.23115999999999"/>
    <n v="0"/>
  </r>
  <r>
    <s v="85"/>
    <s v="85"/>
    <s v="Granty"/>
    <x v="53"/>
    <s v="8502"/>
    <s v="Doc.MUDr. Mgr. Milan Raška, Ph.D. - IMUNOL"/>
    <s v="8502 - Doc.MUDr. Mgr. Milan Raška, Ph.D. - IMUNOL"/>
    <s v="50115020     diagnostika laboratorní-LEK (sk.Z_501)"/>
    <x v="10"/>
    <x v="2"/>
    <n v="199.23115999999999"/>
    <n v="0"/>
  </r>
  <r>
    <s v="85"/>
    <s v="85"/>
    <s v="Granty"/>
    <x v="53"/>
    <s v="8531"/>
    <s v="MUDr. Tomáš Szotkowski, Ph.D. - HOK"/>
    <s v="8531 - MUDr. Tomáš Szotkowski, Ph.D. - HOK"/>
    <s v="50115     Zdravotnické prostředky"/>
    <x v="0"/>
    <x v="2"/>
    <n v="10"/>
    <n v="0"/>
  </r>
  <r>
    <s v="85"/>
    <s v="85"/>
    <s v="Granty"/>
    <x v="53"/>
    <s v="8531"/>
    <s v="MUDr. Tomáš Szotkowski, Ph.D. - HOK"/>
    <s v="8531 - MUDr. Tomáš Szotkowski, Ph.D. - HOK"/>
    <s v="50115020     diagnostika laboratorní-LEK (sk.Z_501)"/>
    <x v="10"/>
    <x v="2"/>
    <n v="10"/>
    <n v="0"/>
  </r>
  <r>
    <s v="85"/>
    <s v="85"/>
    <s v="Granty"/>
    <x v="53"/>
    <s v="8534"/>
    <s v="Doc. MUDr. František Mrázek, Ph.D. - IMUNOL"/>
    <s v="8534 - Doc. MUDr. František Mrázek, Ph.D. - IMUNOL"/>
    <s v="50115     Zdravotnické prostředky"/>
    <x v="0"/>
    <x v="2"/>
    <n v="104.84914000000001"/>
    <n v="0"/>
  </r>
  <r>
    <s v="85"/>
    <s v="85"/>
    <s v="Granty"/>
    <x v="53"/>
    <s v="8534"/>
    <s v="Doc. MUDr. František Mrázek, Ph.D. - IMUNOL"/>
    <s v="8534 - Doc. MUDr. František Mrázek, Ph.D. - IMUNOL"/>
    <s v="50115020     diagnostika laboratorní-LEK (sk.Z_501)"/>
    <x v="10"/>
    <x v="2"/>
    <n v="78.104900000000001"/>
    <n v="0"/>
  </r>
  <r>
    <s v="85"/>
    <s v="85"/>
    <s v="Granty"/>
    <x v="53"/>
    <s v="8534"/>
    <s v="Doc. MUDr. František Mrázek, Ph.D. - IMUNOL"/>
    <s v="8534 - Doc. MUDr. František Mrázek, Ph.D. - IMUNOL"/>
    <s v="50115040     laboratorní materiál (sk.Z_505)"/>
    <x v="11"/>
    <x v="2"/>
    <n v="13.85934"/>
    <n v="0"/>
  </r>
  <r>
    <s v="85"/>
    <s v="85"/>
    <s v="Granty"/>
    <x v="53"/>
    <s v="8534"/>
    <s v="Doc. MUDr. František Mrázek, Ph.D. - IMUNOL"/>
    <s v="8534 - Doc. MUDr. František Mrázek, Ph.D. - IMUNOL"/>
    <s v="50115060     ostatní ZPr - mimo níže uvedené (sk.Z_503)"/>
    <x v="1"/>
    <x v="2"/>
    <n v="10.684900000000001"/>
    <n v="0"/>
  </r>
  <r>
    <s v="85"/>
    <s v="85"/>
    <s v="Granty"/>
    <x v="53"/>
    <s v="8534"/>
    <s v="Doc. MUDr. František Mrázek, Ph.D. - IMUNOL"/>
    <s v="8534 - Doc. MUDr. František Mrázek, Ph.D. - IMUNOL"/>
    <s v="50115063     ostatní ZPr - vaky, sety (sk.Z_528)"/>
    <x v="13"/>
    <x v="2"/>
    <n v="1.6319999999999999"/>
    <n v="0"/>
  </r>
  <r>
    <s v="85"/>
    <s v="85"/>
    <s v="Granty"/>
    <x v="53"/>
    <s v="8534"/>
    <s v="Doc. MUDr. František Mrázek, Ph.D. - IMUNOL"/>
    <s v="8534 - Doc. MUDr. František Mrázek, Ph.D. - IMUNOL"/>
    <s v="50115067     ostatní ZPr - rukavice (sk.Z_532)"/>
    <x v="15"/>
    <x v="2"/>
    <n v="0.56799999999999995"/>
    <n v="0"/>
  </r>
  <r>
    <s v="86"/>
    <s v="86"/>
    <s v="Granty"/>
    <x v="54"/>
    <s v="8617"/>
    <s v="MUDr. Michal Král - NEUROL"/>
    <s v="8617 - MUDr. Michal Král - NEUROL"/>
    <s v="50115     Zdravotnické prostředky"/>
    <x v="0"/>
    <x v="0"/>
    <n v="300.59922"/>
    <n v="0"/>
  </r>
  <r>
    <s v="86"/>
    <s v="86"/>
    <s v="Granty"/>
    <x v="54"/>
    <s v="8617"/>
    <s v="MUDr. Michal Král - NEUROL"/>
    <s v="8617 - MUDr. Michal Král - NEUROL"/>
    <s v="50115     Zdravotnické prostředky"/>
    <x v="0"/>
    <x v="1"/>
    <n v="300.97478999999998"/>
    <n v="0"/>
  </r>
  <r>
    <s v="86"/>
    <s v="86"/>
    <s v="Granty"/>
    <x v="54"/>
    <s v="8617"/>
    <s v="MUDr. Michal Král - NEUROL"/>
    <s v="8617 - MUDr. Michal Král - NEUROL"/>
    <s v="50115020     diagnostika laboratorní-LEK (sk.Z_501)"/>
    <x v="10"/>
    <x v="0"/>
    <n v="300.59922"/>
    <n v="0"/>
  </r>
  <r>
    <s v="86"/>
    <s v="86"/>
    <s v="Granty"/>
    <x v="54"/>
    <s v="8617"/>
    <s v="MUDr. Michal Král - NEUROL"/>
    <s v="8617 - MUDr. Michal Král - NEUROL"/>
    <s v="50115020     diagnostika laboratorní-LEK (sk.Z_501)"/>
    <x v="10"/>
    <x v="1"/>
    <n v="300.97478999999998"/>
    <n v="0"/>
  </r>
  <r>
    <s v="86"/>
    <s v="86"/>
    <s v="Granty"/>
    <x v="54"/>
    <s v="8619"/>
    <m/>
    <s v="8619 - "/>
    <s v="50113     Léky a léčiva"/>
    <x v="2"/>
    <x v="0"/>
    <n v="1.98665"/>
    <n v="0"/>
  </r>
  <r>
    <s v="86"/>
    <s v="86"/>
    <s v="Granty"/>
    <x v="54"/>
    <s v="8619"/>
    <m/>
    <s v="8619 - "/>
    <s v="50113001     léky - paušál+TISS (LEK)"/>
    <x v="3"/>
    <x v="0"/>
    <n v="0.83328999999999998"/>
    <n v="0"/>
  </r>
  <r>
    <s v="86"/>
    <s v="86"/>
    <s v="Granty"/>
    <x v="54"/>
    <s v="8619"/>
    <m/>
    <s v="8619 - "/>
    <s v="50113009     léky - RTG diagnostika ZUL (LEK)"/>
    <x v="22"/>
    <x v="0"/>
    <n v="1.1533599999999999"/>
    <n v="0"/>
  </r>
  <r>
    <s v="86"/>
    <s v="86"/>
    <s v="Granty"/>
    <x v="54"/>
    <s v="8619"/>
    <m/>
    <s v="8619 - "/>
    <s v="50115     Zdravotnické prostředky"/>
    <x v="0"/>
    <x v="0"/>
    <n v="461.47122999999908"/>
    <n v="0"/>
  </r>
  <r>
    <s v="86"/>
    <s v="86"/>
    <s v="Granty"/>
    <x v="54"/>
    <s v="8619"/>
    <m/>
    <s v="8619 - "/>
    <s v="50115     Zdravotnické prostředky"/>
    <x v="0"/>
    <x v="1"/>
    <n v="193.56187"/>
    <n v="0"/>
  </r>
  <r>
    <s v="86"/>
    <s v="86"/>
    <s v="Granty"/>
    <x v="54"/>
    <s v="8619"/>
    <m/>
    <s v="8619 - "/>
    <s v="50115020     diagnostika laboratorní-LEK (sk.Z_501)"/>
    <x v="10"/>
    <x v="0"/>
    <n v="360.72415999999896"/>
    <n v="0"/>
  </r>
  <r>
    <s v="86"/>
    <s v="86"/>
    <s v="Granty"/>
    <x v="54"/>
    <s v="8619"/>
    <m/>
    <s v="8619 - "/>
    <s v="50115020     diagnostika laboratorní-LEK (sk.Z_501)"/>
    <x v="10"/>
    <x v="1"/>
    <n v="189.26318000000001"/>
    <n v="0"/>
  </r>
  <r>
    <s v="86"/>
    <s v="86"/>
    <s v="Granty"/>
    <x v="54"/>
    <s v="8619"/>
    <m/>
    <s v="8619 - "/>
    <s v="50115040     laboratorní materiál (sk.Z_505)"/>
    <x v="11"/>
    <x v="0"/>
    <n v="56.679899999999996"/>
    <n v="0"/>
  </r>
  <r>
    <s v="86"/>
    <s v="86"/>
    <s v="Granty"/>
    <x v="54"/>
    <s v="8619"/>
    <m/>
    <s v="8619 - "/>
    <s v="50115050     obvazový materiál (sk.Z_502)"/>
    <x v="12"/>
    <x v="0"/>
    <n v="0.54679999999999995"/>
    <n v="0"/>
  </r>
  <r>
    <s v="86"/>
    <s v="86"/>
    <s v="Granty"/>
    <x v="54"/>
    <s v="8619"/>
    <m/>
    <s v="8619 - "/>
    <s v="50115060     ostatní ZPr - mimo níže uvedené (sk.Z_503)"/>
    <x v="1"/>
    <x v="0"/>
    <n v="43.520369999998998"/>
    <n v="0"/>
  </r>
  <r>
    <s v="86"/>
    <s v="86"/>
    <s v="Granty"/>
    <x v="54"/>
    <s v="8619"/>
    <m/>
    <s v="8619 - "/>
    <s v="50115060     ostatní ZPr - mimo níže uvedené (sk.Z_503)"/>
    <x v="1"/>
    <x v="1"/>
    <n v="3.5946899999999999"/>
    <n v="0"/>
  </r>
  <r>
    <s v="86"/>
    <s v="86"/>
    <s v="Granty"/>
    <x v="54"/>
    <s v="8619"/>
    <m/>
    <s v="8619 - "/>
    <s v="50115065     ostatní ZPr - vpichovací materiál (sk.Z_530)"/>
    <x v="14"/>
    <x v="1"/>
    <n v="0.70399999999999996"/>
    <n v="0"/>
  </r>
  <r>
    <s v="86"/>
    <s v="86"/>
    <s v="Granty"/>
    <x v="54"/>
    <s v="8620"/>
    <s v="Doc.MUDr.Marek Ĺubušký, Ph.D. - PORGYN"/>
    <s v="8620 - Doc.MUDr.Marek Ĺubušký, Ph.D. - PORGYN"/>
    <s v="50115     Zdravotnické prostředky"/>
    <x v="0"/>
    <x v="0"/>
    <n v="400"/>
    <n v="0"/>
  </r>
  <r>
    <s v="86"/>
    <s v="86"/>
    <s v="Granty"/>
    <x v="54"/>
    <s v="8620"/>
    <s v="Doc.MUDr.Marek Ĺubušký, Ph.D. - PORGYN"/>
    <s v="8620 - Doc.MUDr.Marek Ĺubušký, Ph.D. - PORGYN"/>
    <s v="50115     Zdravotnické prostředky"/>
    <x v="0"/>
    <x v="1"/>
    <n v="100"/>
    <n v="0"/>
  </r>
  <r>
    <s v="86"/>
    <s v="86"/>
    <s v="Granty"/>
    <x v="54"/>
    <s v="8620"/>
    <s v="Doc.MUDr.Marek Ĺubušký, Ph.D. - PORGYN"/>
    <s v="8620 - Doc.MUDr.Marek Ĺubušký, Ph.D. - PORGYN"/>
    <s v="50115020     diagnostika laboratorní-LEK (sk.Z_501)"/>
    <x v="10"/>
    <x v="0"/>
    <n v="400"/>
    <n v="0"/>
  </r>
  <r>
    <s v="86"/>
    <s v="86"/>
    <s v="Granty"/>
    <x v="54"/>
    <s v="8620"/>
    <s v="Doc.MUDr.Marek Ĺubušký, Ph.D. - PORGYN"/>
    <s v="8620 - Doc.MUDr.Marek Ĺubušký, Ph.D. - PORGYN"/>
    <s v="50115020     diagnostika laboratorní-LEK (sk.Z_501)"/>
    <x v="10"/>
    <x v="1"/>
    <n v="100"/>
    <n v="0"/>
  </r>
  <r>
    <s v="86"/>
    <s v="86"/>
    <s v="Granty"/>
    <x v="54"/>
    <s v="8621"/>
    <s v="Prof.MUDr. Petr Kaňovský, CSc. - NEUROL"/>
    <s v="8621 - Prof.MUDr. Petr Kaňovský, CSc. - NEUROL"/>
    <s v="50115     Zdravotnické prostředky"/>
    <x v="0"/>
    <x v="0"/>
    <n v="194.04799999999898"/>
    <n v="0"/>
  </r>
  <r>
    <s v="86"/>
    <s v="86"/>
    <s v="Granty"/>
    <x v="54"/>
    <s v="8621"/>
    <s v="Prof.MUDr. Petr Kaňovský, CSc. - NEUROL"/>
    <s v="8621 - Prof.MUDr. Petr Kaňovský, CSc. - NEUROL"/>
    <s v="50115     Zdravotnické prostředky"/>
    <x v="0"/>
    <x v="1"/>
    <n v="182.84322"/>
    <n v="0"/>
  </r>
  <r>
    <s v="86"/>
    <s v="86"/>
    <s v="Granty"/>
    <x v="54"/>
    <s v="8621"/>
    <s v="Prof.MUDr. Petr Kaňovský, CSc. - NEUROL"/>
    <s v="8621 - Prof.MUDr. Petr Kaňovský, CSc. - NEUROL"/>
    <s v="50115     Zdravotnické prostředky"/>
    <x v="0"/>
    <x v="2"/>
    <n v="7.9581999999999997"/>
    <n v="0"/>
  </r>
  <r>
    <s v="86"/>
    <s v="86"/>
    <s v="Granty"/>
    <x v="54"/>
    <s v="8621"/>
    <s v="Prof.MUDr. Petr Kaňovský, CSc. - NEUROL"/>
    <s v="8621 - Prof.MUDr. Petr Kaňovský, CSc. - NEUROL"/>
    <s v="50115020     diagnostika laboratorní-LEK (sk.Z_501)"/>
    <x v="10"/>
    <x v="0"/>
    <n v="192.36599999999899"/>
    <n v="0"/>
  </r>
  <r>
    <s v="86"/>
    <s v="86"/>
    <s v="Granty"/>
    <x v="54"/>
    <s v="8621"/>
    <s v="Prof.MUDr. Petr Kaňovský, CSc. - NEUROL"/>
    <s v="8621 - Prof.MUDr. Petr Kaňovský, CSc. - NEUROL"/>
    <s v="50115020     diagnostika laboratorní-LEK (sk.Z_501)"/>
    <x v="10"/>
    <x v="1"/>
    <n v="141.79599999999999"/>
    <n v="0"/>
  </r>
  <r>
    <s v="86"/>
    <s v="86"/>
    <s v="Granty"/>
    <x v="54"/>
    <s v="8621"/>
    <s v="Prof.MUDr. Petr Kaňovský, CSc. - NEUROL"/>
    <s v="8621 - Prof.MUDr. Petr Kaňovský, CSc. - NEUROL"/>
    <s v="50115040     laboratorní materiál (sk.Z_505)"/>
    <x v="11"/>
    <x v="0"/>
    <n v="1.6819999999999999"/>
    <n v="0"/>
  </r>
  <r>
    <s v="86"/>
    <s v="86"/>
    <s v="Granty"/>
    <x v="54"/>
    <s v="8621"/>
    <s v="Prof.MUDr. Petr Kaňovský, CSc. - NEUROL"/>
    <s v="8621 - Prof.MUDr. Petr Kaňovský, CSc. - NEUROL"/>
    <s v="50115040     laboratorní materiál (sk.Z_505)"/>
    <x v="11"/>
    <x v="1"/>
    <n v="15.42024"/>
    <n v="0"/>
  </r>
  <r>
    <s v="86"/>
    <s v="86"/>
    <s v="Granty"/>
    <x v="54"/>
    <s v="8621"/>
    <s v="Prof.MUDr. Petr Kaňovský, CSc. - NEUROL"/>
    <s v="8621 - Prof.MUDr. Petr Kaňovský, CSc. - NEUROL"/>
    <s v="50115060     ostatní ZPr - mimo níže uvedené (sk.Z_503)"/>
    <x v="1"/>
    <x v="1"/>
    <n v="19.868980000000001"/>
    <n v="0"/>
  </r>
  <r>
    <s v="86"/>
    <s v="86"/>
    <s v="Granty"/>
    <x v="54"/>
    <s v="8621"/>
    <s v="Prof.MUDr. Petr Kaňovský, CSc. - NEUROL"/>
    <s v="8621 - Prof.MUDr. Petr Kaňovský, CSc. - NEUROL"/>
    <s v="50115060     ostatní ZPr - mimo níže uvedené (sk.Z_503)"/>
    <x v="1"/>
    <x v="2"/>
    <n v="1.1032"/>
    <n v="0"/>
  </r>
  <r>
    <s v="86"/>
    <s v="86"/>
    <s v="Granty"/>
    <x v="54"/>
    <s v="8621"/>
    <s v="Prof.MUDr. Petr Kaňovský, CSc. - NEUROL"/>
    <s v="8621 - Prof.MUDr. Petr Kaňovský, CSc. - NEUROL"/>
    <s v="50115065     ostatní ZPr - vpichovací materiál (sk.Z_530)"/>
    <x v="14"/>
    <x v="1"/>
    <n v="5.758"/>
    <n v="0"/>
  </r>
  <r>
    <s v="86"/>
    <s v="86"/>
    <s v="Granty"/>
    <x v="54"/>
    <s v="8621"/>
    <s v="Prof.MUDr. Petr Kaňovský, CSc. - NEUROL"/>
    <s v="8621 - Prof.MUDr. Petr Kaňovský, CSc. - NEUROL"/>
    <s v="50115065     ostatní ZPr - vpichovací materiál (sk.Z_530)"/>
    <x v="14"/>
    <x v="2"/>
    <n v="6.8550000000000004"/>
    <n v="0"/>
  </r>
  <r>
    <s v="86"/>
    <s v="86"/>
    <s v="Granty"/>
    <x v="54"/>
    <s v="8622"/>
    <m/>
    <s v="8622 - "/>
    <s v="50115     Zdravotnické prostředky"/>
    <x v="0"/>
    <x v="0"/>
    <n v="200.09035"/>
    <n v="0"/>
  </r>
  <r>
    <s v="86"/>
    <s v="86"/>
    <s v="Granty"/>
    <x v="54"/>
    <s v="8622"/>
    <m/>
    <s v="8622 - "/>
    <s v="50115     Zdravotnické prostředky"/>
    <x v="0"/>
    <x v="1"/>
    <n v="200.52523000000002"/>
    <n v="0"/>
  </r>
  <r>
    <s v="86"/>
    <s v="86"/>
    <s v="Granty"/>
    <x v="54"/>
    <s v="8622"/>
    <m/>
    <s v="8622 - "/>
    <s v="50115020     diagnostika laboratorní-LEK (sk.Z_501)"/>
    <x v="10"/>
    <x v="0"/>
    <n v="200.09035"/>
    <n v="0"/>
  </r>
  <r>
    <s v="86"/>
    <s v="86"/>
    <s v="Granty"/>
    <x v="54"/>
    <s v="8622"/>
    <m/>
    <s v="8622 - "/>
    <s v="50115020     diagnostika laboratorní-LEK (sk.Z_501)"/>
    <x v="10"/>
    <x v="1"/>
    <n v="200.52523000000002"/>
    <n v="0"/>
  </r>
  <r>
    <s v="86"/>
    <s v="86"/>
    <s v="Granty"/>
    <x v="54"/>
    <s v="8625"/>
    <s v="Doc. MUDr. Milan Adamus, Ph.D. - KARIM"/>
    <s v="8625 - Doc. MUDr. Milan Adamus, Ph.D. - KARIM"/>
    <s v="50113     Léky a léčiva"/>
    <x v="2"/>
    <x v="0"/>
    <n v="1.2971900000000001"/>
    <n v="0"/>
  </r>
  <r>
    <s v="86"/>
    <s v="86"/>
    <s v="Granty"/>
    <x v="54"/>
    <s v="8625"/>
    <s v="Doc. MUDr. Milan Adamus, Ph.D. - KARIM"/>
    <s v="8625 - Doc. MUDr. Milan Adamus, Ph.D. - KARIM"/>
    <s v="50113001     léky - paušál+TISS (LEK)"/>
    <x v="3"/>
    <x v="0"/>
    <n v="1.2971900000000001"/>
    <n v="0"/>
  </r>
  <r>
    <s v="86"/>
    <s v="86"/>
    <s v="Granty"/>
    <x v="54"/>
    <s v="8625"/>
    <s v="Doc. MUDr. Milan Adamus, Ph.D. - KARIM"/>
    <s v="8625 - Doc. MUDr. Milan Adamus, Ph.D. - KARIM"/>
    <s v="50115     Zdravotnické prostředky"/>
    <x v="0"/>
    <x v="0"/>
    <n v="41.191800000000001"/>
    <n v="0"/>
  </r>
  <r>
    <s v="86"/>
    <s v="86"/>
    <s v="Granty"/>
    <x v="54"/>
    <s v="8625"/>
    <s v="Doc. MUDr. Milan Adamus, Ph.D. - KARIM"/>
    <s v="8625 - Doc. MUDr. Milan Adamus, Ph.D. - KARIM"/>
    <s v="50115     Zdravotnické prostředky"/>
    <x v="0"/>
    <x v="1"/>
    <n v="49.982100000000003"/>
    <n v="0"/>
  </r>
  <r>
    <s v="86"/>
    <s v="86"/>
    <s v="Granty"/>
    <x v="54"/>
    <s v="8625"/>
    <s v="Doc. MUDr. Milan Adamus, Ph.D. - KARIM"/>
    <s v="8625 - Doc. MUDr. Milan Adamus, Ph.D. - KARIM"/>
    <s v="50115050     obvazový materiál (sk.Z_502)"/>
    <x v="12"/>
    <x v="1"/>
    <n v="4.6040000000000001"/>
    <n v="0"/>
  </r>
  <r>
    <s v="86"/>
    <s v="86"/>
    <s v="Granty"/>
    <x v="54"/>
    <s v="8625"/>
    <s v="Doc. MUDr. Milan Adamus, Ph.D. - KARIM"/>
    <s v="8625 - Doc. MUDr. Milan Adamus, Ph.D. - KARIM"/>
    <s v="50115060     ostatní ZPr - mimo níže uvedené (sk.Z_503)"/>
    <x v="1"/>
    <x v="0"/>
    <n v="40.863799999999998"/>
    <n v="0"/>
  </r>
  <r>
    <s v="86"/>
    <s v="86"/>
    <s v="Granty"/>
    <x v="54"/>
    <s v="8625"/>
    <s v="Doc. MUDr. Milan Adamus, Ph.D. - KARIM"/>
    <s v="8625 - Doc. MUDr. Milan Adamus, Ph.D. - KARIM"/>
    <s v="50115060     ostatní ZPr - mimo níže uvedené (sk.Z_503)"/>
    <x v="1"/>
    <x v="1"/>
    <n v="39.698100000000004"/>
    <n v="0"/>
  </r>
  <r>
    <s v="86"/>
    <s v="86"/>
    <s v="Granty"/>
    <x v="54"/>
    <s v="8625"/>
    <s v="Doc. MUDr. Milan Adamus, Ph.D. - KARIM"/>
    <s v="8625 - Doc. MUDr. Milan Adamus, Ph.D. - KARIM"/>
    <s v="50115067     ostatní ZPr - rukavice (sk.Z_532)"/>
    <x v="15"/>
    <x v="0"/>
    <n v="0.32800000000000001"/>
    <n v="0"/>
  </r>
  <r>
    <s v="86"/>
    <s v="86"/>
    <s v="Granty"/>
    <x v="54"/>
    <s v="8625"/>
    <s v="Doc. MUDr. Milan Adamus, Ph.D. - KARIM"/>
    <s v="8625 - Doc. MUDr. Milan Adamus, Ph.D. - KARIM"/>
    <s v="50115067     ostatní ZPr - rukavice (sk.Z_532)"/>
    <x v="15"/>
    <x v="1"/>
    <n v="5.68"/>
    <n v="0"/>
  </r>
  <r>
    <s v="86"/>
    <s v="86"/>
    <s v="Granty"/>
    <x v="54"/>
    <s v="8626"/>
    <s v="Doc. MUDr. Jiří Gallo, Ph.D. - ORTOP"/>
    <s v="8626 - Doc. MUDr. Jiří Gallo, Ph.D. - ORTOP"/>
    <s v="50115     Zdravotnické prostředky"/>
    <x v="0"/>
    <x v="0"/>
    <n v="195.01050000000001"/>
    <n v="0"/>
  </r>
  <r>
    <s v="86"/>
    <s v="86"/>
    <s v="Granty"/>
    <x v="54"/>
    <s v="8626"/>
    <s v="Doc. MUDr. Jiří Gallo, Ph.D. - ORTOP"/>
    <s v="8626 - Doc. MUDr. Jiří Gallo, Ph.D. - ORTOP"/>
    <s v="50115     Zdravotnické prostředky"/>
    <x v="0"/>
    <x v="1"/>
    <n v="259.38722000000001"/>
    <n v="0"/>
  </r>
  <r>
    <s v="86"/>
    <s v="86"/>
    <s v="Granty"/>
    <x v="54"/>
    <s v="8626"/>
    <s v="Doc. MUDr. Jiří Gallo, Ph.D. - ORTOP"/>
    <s v="8626 - Doc. MUDr. Jiří Gallo, Ph.D. - ORTOP"/>
    <s v="50115020     diagnostika laboratorní-LEK (sk.Z_501)"/>
    <x v="10"/>
    <x v="0"/>
    <n v="194.77800000000002"/>
    <n v="0"/>
  </r>
  <r>
    <s v="86"/>
    <s v="86"/>
    <s v="Granty"/>
    <x v="54"/>
    <s v="8626"/>
    <s v="Doc. MUDr. Jiří Gallo, Ph.D. - ORTOP"/>
    <s v="8626 - Doc. MUDr. Jiří Gallo, Ph.D. - ORTOP"/>
    <s v="50115020     diagnostika laboratorní-LEK (sk.Z_501)"/>
    <x v="10"/>
    <x v="1"/>
    <n v="248.67484999999999"/>
    <n v="0"/>
  </r>
  <r>
    <s v="86"/>
    <s v="86"/>
    <s v="Granty"/>
    <x v="54"/>
    <s v="8626"/>
    <s v="Doc. MUDr. Jiří Gallo, Ph.D. - ORTOP"/>
    <s v="8626 - Doc. MUDr. Jiří Gallo, Ph.D. - ORTOP"/>
    <s v="50115040     laboratorní materiál (sk.Z_505)"/>
    <x v="11"/>
    <x v="1"/>
    <n v="9.0653199999999998"/>
    <n v="0"/>
  </r>
  <r>
    <s v="86"/>
    <s v="86"/>
    <s v="Granty"/>
    <x v="54"/>
    <s v="8626"/>
    <s v="Doc. MUDr. Jiří Gallo, Ph.D. - ORTOP"/>
    <s v="8626 - Doc. MUDr. Jiří Gallo, Ph.D. - ORTOP"/>
    <s v="50115060     ostatní ZPr - mimo níže uvedené (sk.Z_503)"/>
    <x v="1"/>
    <x v="0"/>
    <n v="0.23250000000000001"/>
    <n v="0"/>
  </r>
  <r>
    <s v="86"/>
    <s v="86"/>
    <s v="Granty"/>
    <x v="54"/>
    <s v="8626"/>
    <s v="Doc. MUDr. Jiří Gallo, Ph.D. - ORTOP"/>
    <s v="8626 - Doc. MUDr. Jiří Gallo, Ph.D. - ORTOP"/>
    <s v="50115060     ostatní ZPr - mimo níže uvedené (sk.Z_503)"/>
    <x v="1"/>
    <x v="1"/>
    <n v="1.6470499999999999"/>
    <n v="0"/>
  </r>
  <r>
    <s v="86"/>
    <s v="86"/>
    <s v="Granty"/>
    <x v="54"/>
    <s v="8628"/>
    <s v="Doc. MUDr. Čestmír Neoral, CSc. - I.CHIR"/>
    <s v="8628 - Doc. MUDr. Čestmír Neoral, CSc. - I.CHIR"/>
    <s v="50115     Zdravotnické prostředky"/>
    <x v="0"/>
    <x v="0"/>
    <n v="44.534399999999998"/>
    <n v="0"/>
  </r>
  <r>
    <s v="86"/>
    <s v="86"/>
    <s v="Granty"/>
    <x v="54"/>
    <s v="8628"/>
    <s v="Doc. MUDr. Čestmír Neoral, CSc. - I.CHIR"/>
    <s v="8628 - Doc. MUDr. Čestmír Neoral, CSc. - I.CHIR"/>
    <s v="50115     Zdravotnické prostředky"/>
    <x v="0"/>
    <x v="1"/>
    <n v="56.584969999999998"/>
    <n v="0"/>
  </r>
  <r>
    <s v="86"/>
    <s v="86"/>
    <s v="Granty"/>
    <x v="54"/>
    <s v="8628"/>
    <s v="Doc. MUDr. Čestmír Neoral, CSc. - I.CHIR"/>
    <s v="8628 - Doc. MUDr. Čestmír Neoral, CSc. - I.CHIR"/>
    <s v="50115     Zdravotnické prostředky"/>
    <x v="0"/>
    <x v="2"/>
    <n v="41.786000000000001"/>
    <n v="0"/>
  </r>
  <r>
    <s v="86"/>
    <s v="86"/>
    <s v="Granty"/>
    <x v="54"/>
    <s v="8628"/>
    <s v="Doc. MUDr. Čestmír Neoral, CSc. - I.CHIR"/>
    <s v="8628 - Doc. MUDr. Čestmír Neoral, CSc. - I.CHIR"/>
    <s v="50115060     ostatní ZPr - mimo níže uvedené (sk.Z_503)"/>
    <x v="1"/>
    <x v="1"/>
    <n v="22.213999999999999"/>
    <n v="0"/>
  </r>
  <r>
    <s v="86"/>
    <s v="86"/>
    <s v="Granty"/>
    <x v="54"/>
    <s v="8628"/>
    <s v="Doc. MUDr. Čestmír Neoral, CSc. - I.CHIR"/>
    <s v="8628 - Doc. MUDr. Čestmír Neoral, CSc. - I.CHIR"/>
    <s v="50115060     ostatní ZPr - mimo níže uvedené (sk.Z_503)"/>
    <x v="1"/>
    <x v="2"/>
    <n v="37.18835"/>
    <n v="0"/>
  </r>
  <r>
    <s v="86"/>
    <s v="86"/>
    <s v="Granty"/>
    <x v="54"/>
    <s v="8628"/>
    <s v="Doc. MUDr. Čestmír Neoral, CSc. - I.CHIR"/>
    <s v="8628 - Doc. MUDr. Čestmír Neoral, CSc. - I.CHIR"/>
    <s v="50115065     ostatní ZPr - vpichovací materiál (sk.Z_530)"/>
    <x v="14"/>
    <x v="1"/>
    <n v="3.2869999999999999"/>
    <n v="0"/>
  </r>
  <r>
    <s v="86"/>
    <s v="86"/>
    <s v="Granty"/>
    <x v="54"/>
    <s v="8628"/>
    <s v="Doc. MUDr. Čestmír Neoral, CSc. - I.CHIR"/>
    <s v="8628 - Doc. MUDr. Čestmír Neoral, CSc. - I.CHIR"/>
    <s v="50115065     ostatní ZPr - vpichovací materiál (sk.Z_530)"/>
    <x v="14"/>
    <x v="2"/>
    <n v="4.5976499999999998"/>
    <n v="0"/>
  </r>
  <r>
    <s v="86"/>
    <s v="86"/>
    <s v="Granty"/>
    <x v="54"/>
    <s v="8628"/>
    <s v="Doc. MUDr. Čestmír Neoral, CSc. - I.CHIR"/>
    <s v="8628 - Doc. MUDr. Čestmír Neoral, CSc. - I.CHIR"/>
    <s v="50115067     ostatní ZPr - rukavice (sk.Z_532)"/>
    <x v="15"/>
    <x v="1"/>
    <n v="9.7685700000000004"/>
    <n v="0"/>
  </r>
  <r>
    <s v="86"/>
    <s v="86"/>
    <s v="Granty"/>
    <x v="54"/>
    <s v="8628"/>
    <s v="Doc. MUDr. Čestmír Neoral, CSc. - I.CHIR"/>
    <s v="8628 - Doc. MUDr. Čestmír Neoral, CSc. - I.CHIR"/>
    <s v="50115080     ostatní ZPr - staplery, extraktory (sk.Z_523)"/>
    <x v="30"/>
    <x v="0"/>
    <n v="44.534399999999998"/>
    <n v="0"/>
  </r>
  <r>
    <s v="86"/>
    <s v="86"/>
    <s v="Granty"/>
    <x v="54"/>
    <s v="8628"/>
    <s v="Doc. MUDr. Čestmír Neoral, CSc. - I.CHIR"/>
    <s v="8628 - Doc. MUDr. Čestmír Neoral, CSc. - I.CHIR"/>
    <s v="50115080     ostatní ZPr - staplery, extraktory (sk.Z_523)"/>
    <x v="30"/>
    <x v="1"/>
    <n v="21.3154"/>
    <n v="0"/>
  </r>
  <r>
    <s v="86"/>
    <s v="86"/>
    <s v="Granty"/>
    <x v="54"/>
    <s v="8629"/>
    <s v="Doc. MUDr. Daniel Šaňák, Ph.D. - NEUROL"/>
    <s v="8629 - Doc. MUDr. Daniel Šaňák, Ph.D. - NEUROL"/>
    <s v="50115     Zdravotnické prostředky"/>
    <x v="0"/>
    <x v="0"/>
    <n v="63.774259999999998"/>
    <n v="0"/>
  </r>
  <r>
    <s v="86"/>
    <s v="86"/>
    <s v="Granty"/>
    <x v="54"/>
    <s v="8629"/>
    <s v="Doc. MUDr. Daniel Šaňák, Ph.D. - NEUROL"/>
    <s v="8629 - Doc. MUDr. Daniel Šaňák, Ph.D. - NEUROL"/>
    <s v="50115     Zdravotnické prostředky"/>
    <x v="0"/>
    <x v="1"/>
    <n v="80.832840000000004"/>
    <n v="0"/>
  </r>
  <r>
    <s v="86"/>
    <s v="86"/>
    <s v="Granty"/>
    <x v="54"/>
    <s v="8629"/>
    <s v="Doc. MUDr. Daniel Šaňák, Ph.D. - NEUROL"/>
    <s v="8629 - Doc. MUDr. Daniel Šaňák, Ph.D. - NEUROL"/>
    <s v="50115     Zdravotnické prostředky"/>
    <x v="0"/>
    <x v="2"/>
    <n v="79.620999999999995"/>
    <n v="0"/>
  </r>
  <r>
    <s v="86"/>
    <s v="86"/>
    <s v="Granty"/>
    <x v="54"/>
    <s v="8629"/>
    <s v="Doc. MUDr. Daniel Šaňák, Ph.D. - NEUROL"/>
    <s v="8629 - Doc. MUDr. Daniel Šaňák, Ph.D. - NEUROL"/>
    <s v="50115020     diagnostika laboratorní-LEK (sk.Z_501)"/>
    <x v="10"/>
    <x v="0"/>
    <n v="63.774259999999998"/>
    <n v="0"/>
  </r>
  <r>
    <s v="86"/>
    <s v="86"/>
    <s v="Granty"/>
    <x v="54"/>
    <s v="8629"/>
    <s v="Doc. MUDr. Daniel Šaňák, Ph.D. - NEUROL"/>
    <s v="8629 - Doc. MUDr. Daniel Šaňák, Ph.D. - NEUROL"/>
    <s v="50115020     diagnostika laboratorní-LEK (sk.Z_501)"/>
    <x v="10"/>
    <x v="1"/>
    <n v="80.832840000000004"/>
    <n v="0"/>
  </r>
  <r>
    <s v="86"/>
    <s v="86"/>
    <s v="Granty"/>
    <x v="54"/>
    <s v="8629"/>
    <s v="Doc. MUDr. Daniel Šaňák, Ph.D. - NEUROL"/>
    <s v="8629 - Doc. MUDr. Daniel Šaňák, Ph.D. - NEUROL"/>
    <s v="50115020     diagnostika laboratorní-LEK (sk.Z_501)"/>
    <x v="10"/>
    <x v="2"/>
    <n v="79.620999999999995"/>
    <n v="0"/>
  </r>
  <r>
    <s v="86"/>
    <s v="86"/>
    <s v="Granty"/>
    <x v="54"/>
    <s v="8631"/>
    <s v="Doc. MUDr. Petr Utíkal, Ph.D. - 2.CHIR"/>
    <s v="8631 - Doc. MUDr. Petr Utíkal, Ph.D. - 2.CHIR"/>
    <s v="50115     Zdravotnické prostředky"/>
    <x v="0"/>
    <x v="0"/>
    <n v="415"/>
    <n v="0"/>
  </r>
  <r>
    <s v="86"/>
    <s v="86"/>
    <s v="Granty"/>
    <x v="54"/>
    <s v="8631"/>
    <s v="Doc. MUDr. Petr Utíkal, Ph.D. - 2.CHIR"/>
    <s v="8631 - Doc. MUDr. Petr Utíkal, Ph.D. - 2.CHIR"/>
    <s v="50115     Zdravotnické prostředky"/>
    <x v="0"/>
    <x v="1"/>
    <n v="544.92676000000006"/>
    <n v="0"/>
  </r>
  <r>
    <s v="86"/>
    <s v="86"/>
    <s v="Granty"/>
    <x v="54"/>
    <s v="8631"/>
    <s v="Doc. MUDr. Petr Utíkal, Ph.D. - 2.CHIR"/>
    <s v="8631 - Doc. MUDr. Petr Utíkal, Ph.D. - 2.CHIR"/>
    <s v="50115     Zdravotnické prostředky"/>
    <x v="0"/>
    <x v="2"/>
    <n v="415"/>
    <n v="0"/>
  </r>
  <r>
    <s v="86"/>
    <s v="86"/>
    <s v="Granty"/>
    <x v="54"/>
    <s v="8631"/>
    <s v="Doc. MUDr. Petr Utíkal, Ph.D. - 2.CHIR"/>
    <s v="8631 - Doc. MUDr. Petr Utíkal, Ph.D. - 2.CHIR"/>
    <s v="50115004     implant.umělé těl.náhr.-kovové (s.Z_506)"/>
    <x v="25"/>
    <x v="0"/>
    <n v="415"/>
    <n v="0"/>
  </r>
  <r>
    <s v="86"/>
    <s v="86"/>
    <s v="Granty"/>
    <x v="54"/>
    <s v="8631"/>
    <s v="Doc. MUDr. Petr Utíkal, Ph.D. - 2.CHIR"/>
    <s v="8631 - Doc. MUDr. Petr Utíkal, Ph.D. - 2.CHIR"/>
    <s v="50115011     implant.umělé těl.náhr.-ostat.nákl.PZT(s.Z_515)"/>
    <x v="26"/>
    <x v="1"/>
    <n v="529.55880000000002"/>
    <n v="0"/>
  </r>
  <r>
    <s v="86"/>
    <s v="86"/>
    <s v="Granty"/>
    <x v="54"/>
    <s v="8631"/>
    <s v="Doc. MUDr. Petr Utíkal, Ph.D. - 2.CHIR"/>
    <s v="8631 - Doc. MUDr. Petr Utíkal, Ph.D. - 2.CHIR"/>
    <s v="50115011     implant.umělé těl.náhr.-ostat.nákl.PZT(s.Z_515)"/>
    <x v="26"/>
    <x v="2"/>
    <n v="415"/>
    <n v="0"/>
  </r>
  <r>
    <s v="86"/>
    <s v="86"/>
    <s v="Granty"/>
    <x v="54"/>
    <s v="8631"/>
    <s v="Doc. MUDr. Petr Utíkal, Ph.D. - 2.CHIR"/>
    <s v="8631 - Doc. MUDr. Petr Utíkal, Ph.D. - 2.CHIR"/>
    <s v="50115070     ostatní ZPr - katetry (sk.Z_513)"/>
    <x v="16"/>
    <x v="1"/>
    <n v="15.36796"/>
    <n v="0"/>
  </r>
  <r>
    <s v="86"/>
    <s v="86"/>
    <s v="Granty"/>
    <x v="54"/>
    <s v="8632"/>
    <s v="MUDr. Petr Jakubec - PLICNÍ"/>
    <s v="8632 - MUDr. Petr Jakubec - PLICNÍ"/>
    <s v="50113     Léky a léčiva"/>
    <x v="2"/>
    <x v="0"/>
    <n v="0.67410000000000003"/>
    <n v="0"/>
  </r>
  <r>
    <s v="86"/>
    <s v="86"/>
    <s v="Granty"/>
    <x v="54"/>
    <s v="8632"/>
    <s v="MUDr. Petr Jakubec - PLICNÍ"/>
    <s v="8632 - MUDr. Petr Jakubec - PLICNÍ"/>
    <s v="50113001     léky - paušál+TISS (LEK)"/>
    <x v="3"/>
    <x v="0"/>
    <n v="0.67410000000000003"/>
    <n v="0"/>
  </r>
  <r>
    <s v="86"/>
    <s v="86"/>
    <s v="Granty"/>
    <x v="54"/>
    <s v="8632"/>
    <s v="MUDr. Petr Jakubec - PLICNÍ"/>
    <s v="8632 - MUDr. Petr Jakubec - PLICNÍ"/>
    <s v="50115     Zdravotnické prostředky"/>
    <x v="0"/>
    <x v="0"/>
    <n v="96.332909999999998"/>
    <n v="0"/>
  </r>
  <r>
    <s v="86"/>
    <s v="86"/>
    <s v="Granty"/>
    <x v="54"/>
    <s v="8632"/>
    <s v="MUDr. Petr Jakubec - PLICNÍ"/>
    <s v="8632 - MUDr. Petr Jakubec - PLICNÍ"/>
    <s v="50115     Zdravotnické prostředky"/>
    <x v="0"/>
    <x v="1"/>
    <n v="100.01447"/>
    <n v="0"/>
  </r>
  <r>
    <s v="86"/>
    <s v="86"/>
    <s v="Granty"/>
    <x v="54"/>
    <s v="8632"/>
    <s v="MUDr. Petr Jakubec - PLICNÍ"/>
    <s v="8632 - MUDr. Petr Jakubec - PLICNÍ"/>
    <s v="50115050     obvazový materiál (sk.Z_502)"/>
    <x v="12"/>
    <x v="0"/>
    <n v="2.302"/>
    <n v="0"/>
  </r>
  <r>
    <s v="86"/>
    <s v="86"/>
    <s v="Granty"/>
    <x v="54"/>
    <s v="8632"/>
    <s v="MUDr. Petr Jakubec - PLICNÍ"/>
    <s v="8632 - MUDr. Petr Jakubec - PLICNÍ"/>
    <s v="50115050     obvazový materiál (sk.Z_502)"/>
    <x v="12"/>
    <x v="1"/>
    <n v="5.8410000000000002"/>
    <n v="0"/>
  </r>
  <r>
    <s v="86"/>
    <s v="86"/>
    <s v="Granty"/>
    <x v="54"/>
    <s v="8632"/>
    <s v="MUDr. Petr Jakubec - PLICNÍ"/>
    <s v="8632 - MUDr. Petr Jakubec - PLICNÍ"/>
    <s v="50115060     ostatní ZPr - mimo níže uvedené (sk.Z_503)"/>
    <x v="1"/>
    <x v="0"/>
    <n v="92.960310000000007"/>
    <n v="0"/>
  </r>
  <r>
    <s v="86"/>
    <s v="86"/>
    <s v="Granty"/>
    <x v="54"/>
    <s v="8632"/>
    <s v="MUDr. Petr Jakubec - PLICNÍ"/>
    <s v="8632 - MUDr. Petr Jakubec - PLICNÍ"/>
    <s v="50115060     ostatní ZPr - mimo níže uvedené (sk.Z_503)"/>
    <x v="1"/>
    <x v="1"/>
    <n v="94.17346999999998"/>
    <n v="0"/>
  </r>
  <r>
    <s v="86"/>
    <s v="86"/>
    <s v="Granty"/>
    <x v="54"/>
    <s v="8632"/>
    <s v="MUDr. Petr Jakubec - PLICNÍ"/>
    <s v="8632 - MUDr. Petr Jakubec - PLICNÍ"/>
    <s v="50115067     ostatní ZPr - rukavice (sk.Z_532)"/>
    <x v="15"/>
    <x v="0"/>
    <n v="1.0706"/>
    <n v="0"/>
  </r>
  <r>
    <s v="86"/>
    <s v="86"/>
    <s v="Granty"/>
    <x v="54"/>
    <s v="8633"/>
    <s v="Mgr. T. Štosová, Ph.D./MUDr. M.Sedláková, Phd.D. - MIKRO"/>
    <s v="8633 - Mgr. T. Štosová, Ph.D./MUDr. M.Sedláková, Phd.D. - MIKRO"/>
    <s v="50115     Zdravotnické prostředky"/>
    <x v="0"/>
    <x v="0"/>
    <n v="27.468299999999999"/>
    <n v="0"/>
  </r>
  <r>
    <s v="86"/>
    <s v="86"/>
    <s v="Granty"/>
    <x v="54"/>
    <s v="8633"/>
    <s v="Mgr. T. Štosová, Ph.D./MUDr. M.Sedláková, Phd.D. - MIKRO"/>
    <s v="8633 - Mgr. T. Štosová, Ph.D./MUDr. M.Sedláková, Phd.D. - MIKRO"/>
    <s v="50115     Zdravotnické prostředky"/>
    <x v="0"/>
    <x v="1"/>
    <n v="42.197279999999999"/>
    <n v="0"/>
  </r>
  <r>
    <s v="86"/>
    <s v="86"/>
    <s v="Granty"/>
    <x v="54"/>
    <s v="8633"/>
    <s v="Mgr. T. Štosová, Ph.D./MUDr. M.Sedláková, Phd.D. - MIKRO"/>
    <s v="8633 - Mgr. T. Štosová, Ph.D./MUDr. M.Sedláková, Phd.D. - MIKRO"/>
    <s v="50115     Zdravotnické prostředky"/>
    <x v="0"/>
    <x v="2"/>
    <n v="1.47668"/>
    <n v="0"/>
  </r>
  <r>
    <s v="86"/>
    <s v="86"/>
    <s v="Granty"/>
    <x v="54"/>
    <s v="8633"/>
    <s v="Mgr. T. Štosová, Ph.D./MUDr. M.Sedláková, Phd.D. - MIKRO"/>
    <s v="8633 - Mgr. T. Štosová, Ph.D./MUDr. M.Sedláková, Phd.D. - MIKRO"/>
    <s v="50115020     diagnostika laboratorní-LEK (sk.Z_501)"/>
    <x v="10"/>
    <x v="0"/>
    <n v="13.641540000000001"/>
    <n v="0"/>
  </r>
  <r>
    <s v="86"/>
    <s v="86"/>
    <s v="Granty"/>
    <x v="54"/>
    <s v="8633"/>
    <s v="Mgr. T. Štosová, Ph.D./MUDr. M.Sedláková, Phd.D. - MIKRO"/>
    <s v="8633 - Mgr. T. Štosová, Ph.D./MUDr. M.Sedláková, Phd.D. - MIKRO"/>
    <s v="50115020     diagnostika laboratorní-LEK (sk.Z_501)"/>
    <x v="10"/>
    <x v="1"/>
    <n v="38.166080000000001"/>
    <n v="0"/>
  </r>
  <r>
    <s v="86"/>
    <s v="86"/>
    <s v="Granty"/>
    <x v="54"/>
    <s v="8633"/>
    <s v="Mgr. T. Štosová, Ph.D./MUDr. M.Sedláková, Phd.D. - MIKRO"/>
    <s v="8633 - Mgr. T. Štosová, Ph.D./MUDr. M.Sedláková, Phd.D. - MIKRO"/>
    <s v="50115020     diagnostika laboratorní-LEK (sk.Z_501)"/>
    <x v="10"/>
    <x v="2"/>
    <n v="1.47668"/>
    <n v="0"/>
  </r>
  <r>
    <s v="86"/>
    <s v="86"/>
    <s v="Granty"/>
    <x v="54"/>
    <s v="8633"/>
    <s v="Mgr. T. Štosová, Ph.D./MUDr. M.Sedláková, Phd.D. - MIKRO"/>
    <s v="8633 - Mgr. T. Štosová, Ph.D./MUDr. M.Sedláková, Phd.D. - MIKRO"/>
    <s v="50115040     laboratorní materiál (sk.Z_505)"/>
    <x v="11"/>
    <x v="0"/>
    <n v="9.6429799999999997"/>
    <n v="0"/>
  </r>
  <r>
    <s v="86"/>
    <s v="86"/>
    <s v="Granty"/>
    <x v="54"/>
    <s v="8633"/>
    <s v="Mgr. T. Štosová, Ph.D./MUDr. M.Sedláková, Phd.D. - MIKRO"/>
    <s v="8633 - Mgr. T. Štosová, Ph.D./MUDr. M.Sedláková, Phd.D. - MIKRO"/>
    <s v="50115040     laboratorní materiál (sk.Z_505)"/>
    <x v="11"/>
    <x v="1"/>
    <n v="2.3889999999999998"/>
    <n v="0"/>
  </r>
  <r>
    <s v="86"/>
    <s v="86"/>
    <s v="Granty"/>
    <x v="54"/>
    <s v="8633"/>
    <s v="Mgr. T. Štosová, Ph.D./MUDr. M.Sedláková, Phd.D. - MIKRO"/>
    <s v="8633 - Mgr. T. Štosová, Ph.D./MUDr. M.Sedláková, Phd.D. - MIKRO"/>
    <s v="50115050     obvazový materiál (sk.Z_502)"/>
    <x v="12"/>
    <x v="1"/>
    <n v="1.6422000000000001"/>
    <n v="0"/>
  </r>
  <r>
    <s v="86"/>
    <s v="86"/>
    <s v="Granty"/>
    <x v="54"/>
    <s v="8633"/>
    <s v="Mgr. T. Štosová, Ph.D./MUDr. M.Sedláková, Phd.D. - MIKRO"/>
    <s v="8633 - Mgr. T. Štosová, Ph.D./MUDr. M.Sedláková, Phd.D. - MIKRO"/>
    <s v="50115060     ostatní ZPr - mimo níže uvedené (sk.Z_503)"/>
    <x v="1"/>
    <x v="0"/>
    <n v="4.1837799999999996"/>
    <n v="0"/>
  </r>
  <r>
    <s v="86"/>
    <s v="86"/>
    <s v="Granty"/>
    <x v="54"/>
    <s v="8634"/>
    <s v="MUDr. Zuzana Heřmanová - IMUNOL"/>
    <s v="8634 - MUDr. Zuzana Heřmanová - IMUNOL"/>
    <s v="50115     Zdravotnické prostředky"/>
    <x v="0"/>
    <x v="0"/>
    <n v="96.975729999999999"/>
    <n v="0"/>
  </r>
  <r>
    <s v="86"/>
    <s v="86"/>
    <s v="Granty"/>
    <x v="54"/>
    <s v="8634"/>
    <s v="MUDr. Zuzana Heřmanová - IMUNOL"/>
    <s v="8634 - MUDr. Zuzana Heřmanová - IMUNOL"/>
    <s v="50115     Zdravotnické prostředky"/>
    <x v="0"/>
    <x v="1"/>
    <n v="154.21904000000001"/>
    <n v="0"/>
  </r>
  <r>
    <s v="86"/>
    <s v="86"/>
    <s v="Granty"/>
    <x v="54"/>
    <s v="8634"/>
    <s v="MUDr. Zuzana Heřmanová - IMUNOL"/>
    <s v="8634 - MUDr. Zuzana Heřmanová - IMUNOL"/>
    <s v="50115     Zdravotnické prostředky"/>
    <x v="0"/>
    <x v="2"/>
    <n v="154.57739999999998"/>
    <n v="0"/>
  </r>
  <r>
    <s v="86"/>
    <s v="86"/>
    <s v="Granty"/>
    <x v="54"/>
    <s v="8634"/>
    <s v="MUDr. Zuzana Heřmanová - IMUNOL"/>
    <s v="8634 - MUDr. Zuzana Heřmanová - IMUNOL"/>
    <s v="50115020     diagnostika laboratorní-LEK (sk.Z_501)"/>
    <x v="10"/>
    <x v="0"/>
    <n v="96.975729999999999"/>
    <n v="0"/>
  </r>
  <r>
    <s v="86"/>
    <s v="86"/>
    <s v="Granty"/>
    <x v="54"/>
    <s v="8634"/>
    <s v="MUDr. Zuzana Heřmanová - IMUNOL"/>
    <s v="8634 - MUDr. Zuzana Heřmanová - IMUNOL"/>
    <s v="50115020     diagnostika laboratorní-LEK (sk.Z_501)"/>
    <x v="10"/>
    <x v="1"/>
    <n v="148.24199999999999"/>
    <n v="0"/>
  </r>
  <r>
    <s v="86"/>
    <s v="86"/>
    <s v="Granty"/>
    <x v="54"/>
    <s v="8634"/>
    <s v="MUDr. Zuzana Heřmanová - IMUNOL"/>
    <s v="8634 - MUDr. Zuzana Heřmanová - IMUNOL"/>
    <s v="50115020     diagnostika laboratorní-LEK (sk.Z_501)"/>
    <x v="10"/>
    <x v="2"/>
    <n v="112.494"/>
    <n v="0"/>
  </r>
  <r>
    <s v="86"/>
    <s v="86"/>
    <s v="Granty"/>
    <x v="54"/>
    <s v="8634"/>
    <s v="MUDr. Zuzana Heřmanová - IMUNOL"/>
    <s v="8634 - MUDr. Zuzana Heřmanová - IMUNOL"/>
    <s v="50115040     laboratorní materiál (sk.Z_505)"/>
    <x v="11"/>
    <x v="1"/>
    <n v="5.9770399999999997"/>
    <n v="0"/>
  </r>
  <r>
    <s v="86"/>
    <s v="86"/>
    <s v="Granty"/>
    <x v="54"/>
    <s v="8634"/>
    <s v="MUDr. Zuzana Heřmanová - IMUNOL"/>
    <s v="8634 - MUDr. Zuzana Heřmanová - IMUNOL"/>
    <s v="50115040     laboratorní materiál (sk.Z_505)"/>
    <x v="11"/>
    <x v="2"/>
    <n v="39.999780000000001"/>
    <n v="0"/>
  </r>
  <r>
    <s v="86"/>
    <s v="86"/>
    <s v="Granty"/>
    <x v="54"/>
    <s v="8634"/>
    <s v="MUDr. Zuzana Heřmanová - IMUNOL"/>
    <s v="8634 - MUDr. Zuzana Heřmanová - IMUNOL"/>
    <s v="50115060     ostatní ZPr - mimo níže uvedené (sk.Z_503)"/>
    <x v="1"/>
    <x v="2"/>
    <n v="2.0836199999999998"/>
    <n v="0"/>
  </r>
  <r>
    <s v="86"/>
    <s v="86"/>
    <s v="Granty"/>
    <x v="54"/>
    <s v="8635"/>
    <s v="Mgr. Luděk Slavík, Ph.D. - HOK"/>
    <s v="8635 - Mgr. Luděk Slavík, Ph.D. - HOK"/>
    <s v="50115     Zdravotnické prostředky"/>
    <x v="0"/>
    <x v="0"/>
    <n v="802.74311999999998"/>
    <n v="0"/>
  </r>
  <r>
    <s v="86"/>
    <s v="86"/>
    <s v="Granty"/>
    <x v="54"/>
    <s v="8635"/>
    <s v="Mgr. Luděk Slavík, Ph.D. - HOK"/>
    <s v="8635 - Mgr. Luděk Slavík, Ph.D. - HOK"/>
    <s v="50115     Zdravotnické prostředky"/>
    <x v="0"/>
    <x v="1"/>
    <n v="803"/>
    <n v="0"/>
  </r>
  <r>
    <s v="86"/>
    <s v="86"/>
    <s v="Granty"/>
    <x v="54"/>
    <s v="8635"/>
    <s v="Mgr. Luděk Slavík, Ph.D. - HOK"/>
    <s v="8635 - Mgr. Luděk Slavík, Ph.D. - HOK"/>
    <s v="50115     Zdravotnické prostředky"/>
    <x v="0"/>
    <x v="2"/>
    <n v="477.81923"/>
    <n v="0"/>
  </r>
  <r>
    <s v="86"/>
    <s v="86"/>
    <s v="Granty"/>
    <x v="54"/>
    <s v="8635"/>
    <s v="Mgr. Luděk Slavík, Ph.D. - HOK"/>
    <s v="8635 - Mgr. Luděk Slavík, Ph.D. - HOK"/>
    <s v="50115020     diagnostika laboratorní-LEK (sk.Z_501)"/>
    <x v="10"/>
    <x v="0"/>
    <n v="801.34320000000014"/>
    <n v="0"/>
  </r>
  <r>
    <s v="86"/>
    <s v="86"/>
    <s v="Granty"/>
    <x v="54"/>
    <s v="8635"/>
    <s v="Mgr. Luděk Slavík, Ph.D. - HOK"/>
    <s v="8635 - Mgr. Luděk Slavík, Ph.D. - HOK"/>
    <s v="50115020     diagnostika laboratorní-LEK (sk.Z_501)"/>
    <x v="10"/>
    <x v="1"/>
    <n v="802.69299999999998"/>
    <n v="0"/>
  </r>
  <r>
    <s v="86"/>
    <s v="86"/>
    <s v="Granty"/>
    <x v="54"/>
    <s v="8635"/>
    <s v="Mgr. Luděk Slavík, Ph.D. - HOK"/>
    <s v="8635 - Mgr. Luděk Slavík, Ph.D. - HOK"/>
    <s v="50115020     diagnostika laboratorní-LEK (sk.Z_501)"/>
    <x v="10"/>
    <x v="2"/>
    <n v="472.59217999999998"/>
    <n v="0"/>
  </r>
  <r>
    <s v="86"/>
    <s v="86"/>
    <s v="Granty"/>
    <x v="54"/>
    <s v="8635"/>
    <s v="Mgr. Luděk Slavík, Ph.D. - HOK"/>
    <s v="8635 - Mgr. Luděk Slavík, Ph.D. - HOK"/>
    <s v="50115060     ostatní ZPr - mimo níže uvedené (sk.Z_503)"/>
    <x v="1"/>
    <x v="0"/>
    <n v="1.3999200000000001"/>
    <n v="0"/>
  </r>
  <r>
    <s v="86"/>
    <s v="86"/>
    <s v="Granty"/>
    <x v="54"/>
    <s v="8635"/>
    <s v="Mgr. Luděk Slavík, Ph.D. - HOK"/>
    <s v="8635 - Mgr. Luděk Slavík, Ph.D. - HOK"/>
    <s v="50115060     ostatní ZPr - mimo níže uvedené (sk.Z_503)"/>
    <x v="1"/>
    <x v="1"/>
    <n v="0.307"/>
    <n v="0"/>
  </r>
  <r>
    <s v="86"/>
    <s v="86"/>
    <s v="Granty"/>
    <x v="54"/>
    <s v="8635"/>
    <s v="Mgr. Luděk Slavík, Ph.D. - HOK"/>
    <s v="8635 - Mgr. Luděk Slavík, Ph.D. - HOK"/>
    <s v="50115060     ostatní ZPr - mimo níže uvedené (sk.Z_503)"/>
    <x v="1"/>
    <x v="2"/>
    <n v="5.2270500000000002"/>
    <n v="0"/>
  </r>
  <r>
    <s v="86"/>
    <s v="86"/>
    <s v="Granty"/>
    <x v="54"/>
    <s v="8636"/>
    <s v="Mgr. T. Štosová, Ph.D./MUDr. M.Sedláková, Phd.D. - MIKRO"/>
    <s v="8636 - Mgr. T. Štosová, Ph.D./MUDr. M.Sedláková, Phd.D. - MIKRO"/>
    <s v="50115     Zdravotnické prostředky"/>
    <x v="0"/>
    <x v="0"/>
    <n v="53.43526"/>
    <n v="0"/>
  </r>
  <r>
    <s v="86"/>
    <s v="86"/>
    <s v="Granty"/>
    <x v="54"/>
    <s v="8636"/>
    <s v="Mgr. T. Štosová, Ph.D./MUDr. M.Sedláková, Phd.D. - MIKRO"/>
    <s v="8636 - Mgr. T. Štosová, Ph.D./MUDr. M.Sedláková, Phd.D. - MIKRO"/>
    <s v="50115     Zdravotnické prostředky"/>
    <x v="0"/>
    <x v="1"/>
    <n v="82.030900000000003"/>
    <n v="0"/>
  </r>
  <r>
    <s v="86"/>
    <s v="86"/>
    <s v="Granty"/>
    <x v="54"/>
    <s v="8636"/>
    <s v="Mgr. T. Štosová, Ph.D./MUDr. M.Sedláková, Phd.D. - MIKRO"/>
    <s v="8636 - Mgr. T. Štosová, Ph.D./MUDr. M.Sedláková, Phd.D. - MIKRO"/>
    <s v="50115     Zdravotnické prostředky"/>
    <x v="0"/>
    <x v="2"/>
    <n v="25.106770000000001"/>
    <n v="0"/>
  </r>
  <r>
    <s v="86"/>
    <s v="86"/>
    <s v="Granty"/>
    <x v="54"/>
    <s v="8636"/>
    <s v="Mgr. T. Štosová, Ph.D./MUDr. M.Sedláková, Phd.D. - MIKRO"/>
    <s v="8636 - Mgr. T. Štosová, Ph.D./MUDr. M.Sedláková, Phd.D. - MIKRO"/>
    <s v="50115020     diagnostika laboratorní-LEK (sk.Z_501)"/>
    <x v="10"/>
    <x v="0"/>
    <n v="38.672809999999998"/>
    <n v="0"/>
  </r>
  <r>
    <s v="86"/>
    <s v="86"/>
    <s v="Granty"/>
    <x v="54"/>
    <s v="8636"/>
    <s v="Mgr. T. Štosová, Ph.D./MUDr. M.Sedláková, Phd.D. - MIKRO"/>
    <s v="8636 - Mgr. T. Štosová, Ph.D./MUDr. M.Sedláková, Phd.D. - MIKRO"/>
    <s v="50115020     diagnostika laboratorní-LEK (sk.Z_501)"/>
    <x v="10"/>
    <x v="1"/>
    <n v="54.981790000000004"/>
    <n v="0"/>
  </r>
  <r>
    <s v="86"/>
    <s v="86"/>
    <s v="Granty"/>
    <x v="54"/>
    <s v="8636"/>
    <s v="Mgr. T. Štosová, Ph.D./MUDr. M.Sedláková, Phd.D. - MIKRO"/>
    <s v="8636 - Mgr. T. Štosová, Ph.D./MUDr. M.Sedláková, Phd.D. - MIKRO"/>
    <s v="50115020     diagnostika laboratorní-LEK (sk.Z_501)"/>
    <x v="10"/>
    <x v="2"/>
    <n v="25.106770000000001"/>
    <n v="0"/>
  </r>
  <r>
    <s v="86"/>
    <s v="86"/>
    <s v="Granty"/>
    <x v="54"/>
    <s v="8636"/>
    <s v="Mgr. T. Štosová, Ph.D./MUDr. M.Sedláková, Phd.D. - MIKRO"/>
    <s v="8636 - Mgr. T. Štosová, Ph.D./MUDr. M.Sedláková, Phd.D. - MIKRO"/>
    <s v="50115040     laboratorní materiál (sk.Z_505)"/>
    <x v="11"/>
    <x v="0"/>
    <n v="11.383939999999999"/>
    <n v="0"/>
  </r>
  <r>
    <s v="86"/>
    <s v="86"/>
    <s v="Granty"/>
    <x v="54"/>
    <s v="8636"/>
    <s v="Mgr. T. Štosová, Ph.D./MUDr. M.Sedláková, Phd.D. - MIKRO"/>
    <s v="8636 - Mgr. T. Štosová, Ph.D./MUDr. M.Sedláková, Phd.D. - MIKRO"/>
    <s v="50115040     laboratorní materiál (sk.Z_505)"/>
    <x v="11"/>
    <x v="1"/>
    <n v="21.168999999999997"/>
    <n v="0"/>
  </r>
  <r>
    <s v="86"/>
    <s v="86"/>
    <s v="Granty"/>
    <x v="54"/>
    <s v="8636"/>
    <s v="Mgr. T. Štosová, Ph.D./MUDr. M.Sedláková, Phd.D. - MIKRO"/>
    <s v="8636 - Mgr. T. Štosová, Ph.D./MUDr. M.Sedláková, Phd.D. - MIKRO"/>
    <s v="50115050     obvazový materiál (sk.Z_502)"/>
    <x v="12"/>
    <x v="1"/>
    <n v="0.2737"/>
    <n v="0"/>
  </r>
  <r>
    <s v="86"/>
    <s v="86"/>
    <s v="Granty"/>
    <x v="54"/>
    <s v="8636"/>
    <s v="Mgr. T. Štosová, Ph.D./MUDr. M.Sedláková, Phd.D. - MIKRO"/>
    <s v="8636 - Mgr. T. Štosová, Ph.D./MUDr. M.Sedláková, Phd.D. - MIKRO"/>
    <s v="50115060     ostatní ZPr - mimo níže uvedené (sk.Z_503)"/>
    <x v="1"/>
    <x v="0"/>
    <n v="3.3785100000000003"/>
    <n v="0"/>
  </r>
  <r>
    <s v="86"/>
    <s v="86"/>
    <s v="Granty"/>
    <x v="54"/>
    <s v="8636"/>
    <s v="Mgr. T. Štosová, Ph.D./MUDr. M.Sedláková, Phd.D. - MIKRO"/>
    <s v="8636 - Mgr. T. Štosová, Ph.D./MUDr. M.Sedláková, Phd.D. - MIKRO"/>
    <s v="50115060     ostatní ZPr - mimo níže uvedené (sk.Z_503)"/>
    <x v="1"/>
    <x v="1"/>
    <n v="5.6064100000000003"/>
    <n v="0"/>
  </r>
  <r>
    <s v="86"/>
    <s v="86"/>
    <s v="Granty"/>
    <x v="54"/>
    <s v="8637"/>
    <s v="MUDr. Tomáš Pika, Ph.D. - 3.IK"/>
    <s v="8637 - MUDr. Tomáš Pika, Ph.D. - 3.IK"/>
    <s v="50115     Zdravotnické prostředky"/>
    <x v="0"/>
    <x v="0"/>
    <n v="295.56862000000001"/>
    <n v="0"/>
  </r>
  <r>
    <s v="86"/>
    <s v="86"/>
    <s v="Granty"/>
    <x v="54"/>
    <s v="8637"/>
    <s v="MUDr. Tomáš Pika, Ph.D. - 3.IK"/>
    <s v="8637 - MUDr. Tomáš Pika, Ph.D. - 3.IK"/>
    <s v="50115     Zdravotnické prostředky"/>
    <x v="0"/>
    <x v="1"/>
    <n v="351.45339999999999"/>
    <n v="0"/>
  </r>
  <r>
    <s v="86"/>
    <s v="86"/>
    <s v="Granty"/>
    <x v="54"/>
    <s v="8637"/>
    <s v="MUDr. Tomáš Pika, Ph.D. - 3.IK"/>
    <s v="8637 - MUDr. Tomáš Pika, Ph.D. - 3.IK"/>
    <s v="50115     Zdravotnické prostředky"/>
    <x v="0"/>
    <x v="2"/>
    <n v="73.250190000000003"/>
    <n v="0"/>
  </r>
  <r>
    <s v="86"/>
    <s v="86"/>
    <s v="Granty"/>
    <x v="54"/>
    <s v="8637"/>
    <s v="MUDr. Tomáš Pika, Ph.D. - 3.IK"/>
    <s v="8637 - MUDr. Tomáš Pika, Ph.D. - 3.IK"/>
    <s v="50115020     diagnostika laboratorní-LEK (sk.Z_501)"/>
    <x v="10"/>
    <x v="0"/>
    <n v="294.87700000000001"/>
    <n v="0"/>
  </r>
  <r>
    <s v="86"/>
    <s v="86"/>
    <s v="Granty"/>
    <x v="54"/>
    <s v="8637"/>
    <s v="MUDr. Tomáš Pika, Ph.D. - 3.IK"/>
    <s v="8637 - MUDr. Tomáš Pika, Ph.D. - 3.IK"/>
    <s v="50115020     diagnostika laboratorní-LEK (sk.Z_501)"/>
    <x v="10"/>
    <x v="1"/>
    <n v="334.4674"/>
    <n v="0"/>
  </r>
  <r>
    <s v="86"/>
    <s v="86"/>
    <s v="Granty"/>
    <x v="54"/>
    <s v="8637"/>
    <s v="MUDr. Tomáš Pika, Ph.D. - 3.IK"/>
    <s v="8637 - MUDr. Tomáš Pika, Ph.D. - 3.IK"/>
    <s v="50115020     diagnostika laboratorní-LEK (sk.Z_501)"/>
    <x v="10"/>
    <x v="2"/>
    <n v="66.732190000000003"/>
    <n v="0"/>
  </r>
  <r>
    <s v="86"/>
    <s v="86"/>
    <s v="Granty"/>
    <x v="54"/>
    <s v="8637"/>
    <s v="MUDr. Tomáš Pika, Ph.D. - 3.IK"/>
    <s v="8637 - MUDr. Tomáš Pika, Ph.D. - 3.IK"/>
    <s v="50115040     laboratorní materiál (sk.Z_505)"/>
    <x v="11"/>
    <x v="0"/>
    <n v="0.69162000000000001"/>
    <n v="0"/>
  </r>
  <r>
    <s v="86"/>
    <s v="86"/>
    <s v="Granty"/>
    <x v="54"/>
    <s v="8637"/>
    <s v="MUDr. Tomáš Pika, Ph.D. - 3.IK"/>
    <s v="8637 - MUDr. Tomáš Pika, Ph.D. - 3.IK"/>
    <s v="50115040     laboratorní materiál (sk.Z_505)"/>
    <x v="11"/>
    <x v="2"/>
    <n v="6.5179999999999998"/>
    <n v="0"/>
  </r>
  <r>
    <s v="86"/>
    <s v="86"/>
    <s v="Granty"/>
    <x v="54"/>
    <s v="8637"/>
    <s v="MUDr. Tomáš Pika, Ph.D. - 3.IK"/>
    <s v="8637 - MUDr. Tomáš Pika, Ph.D. - 3.IK"/>
    <s v="50115060     ostatní ZPr - mimo níže uvedené (sk.Z_503)"/>
    <x v="1"/>
    <x v="1"/>
    <n v="16.986000000000001"/>
    <n v="0"/>
  </r>
  <r>
    <s v="86"/>
    <s v="86"/>
    <s v="Granty"/>
    <x v="54"/>
    <s v="8639"/>
    <s v="Prof. MUDr. Jiří Klein, Ph.D. - ONKOL"/>
    <s v="8639 - Prof. MUDr. Jiří Klein, Ph.D. - ONKOL"/>
    <s v="50115     Zdravotnické prostředky"/>
    <x v="0"/>
    <x v="0"/>
    <n v="61.0396"/>
    <n v="0"/>
  </r>
  <r>
    <s v="86"/>
    <s v="86"/>
    <s v="Granty"/>
    <x v="54"/>
    <s v="8639"/>
    <s v="Prof. MUDr. Jiří Klein, Ph.D. - ONKOL"/>
    <s v="8639 - Prof. MUDr. Jiří Klein, Ph.D. - ONKOL"/>
    <s v="50115     Zdravotnické prostředky"/>
    <x v="0"/>
    <x v="1"/>
    <n v="89.840239999999994"/>
    <n v="0"/>
  </r>
  <r>
    <s v="86"/>
    <s v="86"/>
    <s v="Granty"/>
    <x v="54"/>
    <s v="8639"/>
    <s v="Prof. MUDr. Jiří Klein, Ph.D. - ONKOL"/>
    <s v="8639 - Prof. MUDr. Jiří Klein, Ph.D. - ONKOL"/>
    <s v="50115     Zdravotnické prostředky"/>
    <x v="0"/>
    <x v="2"/>
    <n v="90.050820000000002"/>
    <n v="0"/>
  </r>
  <r>
    <s v="86"/>
    <s v="86"/>
    <s v="Granty"/>
    <x v="54"/>
    <s v="8639"/>
    <s v="Prof. MUDr. Jiří Klein, Ph.D. - ONKOL"/>
    <s v="8639 - Prof. MUDr. Jiří Klein, Ph.D. - ONKOL"/>
    <s v="50115040     laboratorní materiál (sk.Z_505)"/>
    <x v="11"/>
    <x v="1"/>
    <n v="2.2000000000000002"/>
    <n v="0"/>
  </r>
  <r>
    <s v="86"/>
    <s v="86"/>
    <s v="Granty"/>
    <x v="54"/>
    <s v="8639"/>
    <s v="Prof. MUDr. Jiří Klein, Ph.D. - ONKOL"/>
    <s v="8639 - Prof. MUDr. Jiří Klein, Ph.D. - ONKOL"/>
    <s v="50115050     obvazový materiál (sk.Z_502)"/>
    <x v="12"/>
    <x v="0"/>
    <n v="0.62229999999999996"/>
    <n v="0"/>
  </r>
  <r>
    <s v="86"/>
    <s v="86"/>
    <s v="Granty"/>
    <x v="54"/>
    <s v="8639"/>
    <s v="Prof. MUDr. Jiří Klein, Ph.D. - ONKOL"/>
    <s v="8639 - Prof. MUDr. Jiří Klein, Ph.D. - ONKOL"/>
    <s v="50115050     obvazový materiál (sk.Z_502)"/>
    <x v="12"/>
    <x v="1"/>
    <n v="5.9286000000000003"/>
    <n v="0"/>
  </r>
  <r>
    <s v="86"/>
    <s v="86"/>
    <s v="Granty"/>
    <x v="54"/>
    <s v="8639"/>
    <s v="Prof. MUDr. Jiří Klein, Ph.D. - ONKOL"/>
    <s v="8639 - Prof. MUDr. Jiří Klein, Ph.D. - ONKOL"/>
    <s v="50115050     obvazový materiál (sk.Z_502)"/>
    <x v="12"/>
    <x v="2"/>
    <n v="3.10622"/>
    <n v="0"/>
  </r>
  <r>
    <s v="86"/>
    <s v="86"/>
    <s v="Granty"/>
    <x v="54"/>
    <s v="8639"/>
    <s v="Prof. MUDr. Jiří Klein, Ph.D. - ONKOL"/>
    <s v="8639 - Prof. MUDr. Jiří Klein, Ph.D. - ONKOL"/>
    <s v="50115060     ostatní ZPr - mimo níže uvedené (sk.Z_503)"/>
    <x v="1"/>
    <x v="0"/>
    <n v="54.0426"/>
    <n v="0"/>
  </r>
  <r>
    <s v="86"/>
    <s v="86"/>
    <s v="Granty"/>
    <x v="54"/>
    <s v="8639"/>
    <s v="Prof. MUDr. Jiří Klein, Ph.D. - ONKOL"/>
    <s v="8639 - Prof. MUDr. Jiří Klein, Ph.D. - ONKOL"/>
    <s v="50115060     ostatní ZPr - mimo níže uvedené (sk.Z_503)"/>
    <x v="1"/>
    <x v="1"/>
    <n v="29.768640000000001"/>
    <n v="0"/>
  </r>
  <r>
    <s v="86"/>
    <s v="86"/>
    <s v="Granty"/>
    <x v="54"/>
    <s v="8639"/>
    <s v="Prof. MUDr. Jiří Klein, Ph.D. - ONKOL"/>
    <s v="8639 - Prof. MUDr. Jiří Klein, Ph.D. - ONKOL"/>
    <s v="50115060     ostatní ZPr - mimo níže uvedené (sk.Z_503)"/>
    <x v="1"/>
    <x v="2"/>
    <n v="24.4316"/>
    <n v="0"/>
  </r>
  <r>
    <s v="86"/>
    <s v="86"/>
    <s v="Granty"/>
    <x v="54"/>
    <s v="8639"/>
    <s v="Prof. MUDr. Jiří Klein, Ph.D. - ONKOL"/>
    <s v="8639 - Prof. MUDr. Jiří Klein, Ph.D. - ONKOL"/>
    <s v="50115065     ostatní ZPr - vpichovací materiál (sk.Z_530)"/>
    <x v="14"/>
    <x v="1"/>
    <n v="49.387"/>
    <n v="0"/>
  </r>
  <r>
    <s v="86"/>
    <s v="86"/>
    <s v="Granty"/>
    <x v="54"/>
    <s v="8639"/>
    <s v="Prof. MUDr. Jiří Klein, Ph.D. - ONKOL"/>
    <s v="8639 - Prof. MUDr. Jiří Klein, Ph.D. - ONKOL"/>
    <s v="50115065     ostatní ZPr - vpichovací materiál (sk.Z_530)"/>
    <x v="14"/>
    <x v="2"/>
    <n v="55.838999999999999"/>
    <n v="0"/>
  </r>
  <r>
    <s v="86"/>
    <s v="86"/>
    <s v="Granty"/>
    <x v="54"/>
    <s v="8639"/>
    <s v="Prof. MUDr. Jiří Klein, Ph.D. - ONKOL"/>
    <s v="8639 - Prof. MUDr. Jiří Klein, Ph.D. - ONKOL"/>
    <s v="50115067     ostatní ZPr - rukavice (sk.Z_532)"/>
    <x v="15"/>
    <x v="0"/>
    <n v="6.3746999999999998"/>
    <n v="0"/>
  </r>
  <r>
    <s v="86"/>
    <s v="86"/>
    <s v="Granty"/>
    <x v="54"/>
    <s v="8639"/>
    <s v="Prof. MUDr. Jiří Klein, Ph.D. - ONKOL"/>
    <s v="8639 - Prof. MUDr. Jiří Klein, Ph.D. - ONKOL"/>
    <s v="50115067     ostatní ZPr - rukavice (sk.Z_532)"/>
    <x v="15"/>
    <x v="1"/>
    <n v="2.556"/>
    <n v="0"/>
  </r>
  <r>
    <s v="86"/>
    <s v="86"/>
    <s v="Granty"/>
    <x v="54"/>
    <s v="8639"/>
    <s v="Prof. MUDr. Jiří Klein, Ph.D. - ONKOL"/>
    <s v="8639 - Prof. MUDr. Jiří Klein, Ph.D. - ONKOL"/>
    <s v="50115067     ostatní ZPr - rukavice (sk.Z_532)"/>
    <x v="15"/>
    <x v="2"/>
    <n v="6.6740000000000004"/>
    <n v="0"/>
  </r>
  <r>
    <s v="86"/>
    <s v="86"/>
    <s v="Granty"/>
    <x v="54"/>
    <s v="8640"/>
    <s v="MUDr. Pavel Otruba, MBA - NEUROL"/>
    <s v="8640 - MUDr. Pavel Otruba, MBA - NEUROL"/>
    <s v="50115     Zdravotnické prostředky"/>
    <x v="0"/>
    <x v="0"/>
    <n v="207.69943000000001"/>
    <n v="0"/>
  </r>
  <r>
    <s v="86"/>
    <s v="86"/>
    <s v="Granty"/>
    <x v="54"/>
    <s v="8640"/>
    <s v="MUDr. Pavel Otruba, MBA - NEUROL"/>
    <s v="8640 - MUDr. Pavel Otruba, MBA - NEUROL"/>
    <s v="50115     Zdravotnické prostředky"/>
    <x v="0"/>
    <x v="1"/>
    <n v="424.93290999999999"/>
    <n v="0"/>
  </r>
  <r>
    <s v="86"/>
    <s v="86"/>
    <s v="Granty"/>
    <x v="54"/>
    <s v="8640"/>
    <s v="MUDr. Pavel Otruba, MBA - NEUROL"/>
    <s v="8640 - MUDr. Pavel Otruba, MBA - NEUROL"/>
    <s v="50115     Zdravotnické prostředky"/>
    <x v="0"/>
    <x v="2"/>
    <n v="399.73464999999999"/>
    <n v="0"/>
  </r>
  <r>
    <s v="86"/>
    <s v="86"/>
    <s v="Granty"/>
    <x v="54"/>
    <s v="8640"/>
    <s v="MUDr. Pavel Otruba, MBA - NEUROL"/>
    <s v="8640 - MUDr. Pavel Otruba, MBA - NEUROL"/>
    <s v="50115020     diagnostika laboratorní-LEK (sk.Z_501)"/>
    <x v="10"/>
    <x v="0"/>
    <n v="130.85640000000001"/>
    <n v="0"/>
  </r>
  <r>
    <s v="86"/>
    <s v="86"/>
    <s v="Granty"/>
    <x v="54"/>
    <s v="8640"/>
    <s v="MUDr. Pavel Otruba, MBA - NEUROL"/>
    <s v="8640 - MUDr. Pavel Otruba, MBA - NEUROL"/>
    <s v="50115020     diagnostika laboratorní-LEK (sk.Z_501)"/>
    <x v="10"/>
    <x v="1"/>
    <n v="340.25058000000001"/>
    <n v="0"/>
  </r>
  <r>
    <s v="86"/>
    <s v="86"/>
    <s v="Granty"/>
    <x v="54"/>
    <s v="8640"/>
    <s v="MUDr. Pavel Otruba, MBA - NEUROL"/>
    <s v="8640 - MUDr. Pavel Otruba, MBA - NEUROL"/>
    <s v="50115020     diagnostika laboratorní-LEK (sk.Z_501)"/>
    <x v="10"/>
    <x v="2"/>
    <n v="388.76765"/>
    <n v="0"/>
  </r>
  <r>
    <s v="86"/>
    <s v="86"/>
    <s v="Granty"/>
    <x v="54"/>
    <s v="8640"/>
    <s v="MUDr. Pavel Otruba, MBA - NEUROL"/>
    <s v="8640 - MUDr. Pavel Otruba, MBA - NEUROL"/>
    <s v="50115040     laboratorní materiál (sk.Z_505)"/>
    <x v="11"/>
    <x v="1"/>
    <n v="8.1560000000000006"/>
    <n v="0"/>
  </r>
  <r>
    <s v="86"/>
    <s v="86"/>
    <s v="Granty"/>
    <x v="54"/>
    <s v="8640"/>
    <s v="MUDr. Pavel Otruba, MBA - NEUROL"/>
    <s v="8640 - MUDr. Pavel Otruba, MBA - NEUROL"/>
    <s v="50115060     ostatní ZPr - mimo níže uvedené (sk.Z_503)"/>
    <x v="1"/>
    <x v="0"/>
    <n v="22.006029999999999"/>
    <n v="0"/>
  </r>
  <r>
    <s v="86"/>
    <s v="86"/>
    <s v="Granty"/>
    <x v="54"/>
    <s v="8640"/>
    <s v="MUDr. Pavel Otruba, MBA - NEUROL"/>
    <s v="8640 - MUDr. Pavel Otruba, MBA - NEUROL"/>
    <s v="50115060     ostatní ZPr - mimo níže uvedené (sk.Z_503)"/>
    <x v="1"/>
    <x v="1"/>
    <n v="27.447330000000001"/>
    <n v="0"/>
  </r>
  <r>
    <s v="86"/>
    <s v="86"/>
    <s v="Granty"/>
    <x v="54"/>
    <s v="8640"/>
    <s v="MUDr. Pavel Otruba, MBA - NEUROL"/>
    <s v="8640 - MUDr. Pavel Otruba, MBA - NEUROL"/>
    <s v="50115065     ostatní ZPr - vpichovací materiál (sk.Z_530)"/>
    <x v="14"/>
    <x v="0"/>
    <n v="54.837000000000003"/>
    <n v="0"/>
  </r>
  <r>
    <s v="86"/>
    <s v="86"/>
    <s v="Granty"/>
    <x v="54"/>
    <s v="8640"/>
    <s v="MUDr. Pavel Otruba, MBA - NEUROL"/>
    <s v="8640 - MUDr. Pavel Otruba, MBA - NEUROL"/>
    <s v="50115065     ostatní ZPr - vpichovací materiál (sk.Z_530)"/>
    <x v="14"/>
    <x v="1"/>
    <n v="49.07929"/>
    <n v="0"/>
  </r>
  <r>
    <s v="86"/>
    <s v="86"/>
    <s v="Granty"/>
    <x v="54"/>
    <s v="8640"/>
    <s v="MUDr. Pavel Otruba, MBA - NEUROL"/>
    <s v="8640 - MUDr. Pavel Otruba, MBA - NEUROL"/>
    <s v="50115065     ostatní ZPr - vpichovací materiál (sk.Z_530)"/>
    <x v="14"/>
    <x v="2"/>
    <n v="10.967000000000001"/>
    <n v="0"/>
  </r>
  <r>
    <s v="86"/>
    <s v="86"/>
    <s v="Granty"/>
    <x v="54"/>
    <s v="8640"/>
    <s v="MUDr. Pavel Otruba, MBA - NEUROL"/>
    <s v="8640 - MUDr. Pavel Otruba, MBA - NEUROL"/>
    <s v="50115067     ostatní ZPr - rukavice (sk.Z_532)"/>
    <x v="15"/>
    <x v="1"/>
    <n v="-2.9E-4"/>
    <n v="0"/>
  </r>
  <r>
    <s v="86"/>
    <s v="86"/>
    <s v="Granty"/>
    <x v="54"/>
    <s v="8642"/>
    <s v="MUDr. Tomáš Wanek - NEUROCHIR "/>
    <s v="8642 - MUDr. Tomáš Wanek - NEUROCHIR "/>
    <s v="50115     Zdravotnické prostředky"/>
    <x v="0"/>
    <x v="0"/>
    <n v="201.69499999999999"/>
    <n v="0"/>
  </r>
  <r>
    <s v="86"/>
    <s v="86"/>
    <s v="Granty"/>
    <x v="54"/>
    <s v="8642"/>
    <s v="MUDr. Tomáš Wanek - NEUROCHIR "/>
    <s v="8642 - MUDr. Tomáš Wanek - NEUROCHIR "/>
    <s v="50115     Zdravotnické prostředky"/>
    <x v="0"/>
    <x v="1"/>
    <n v="384.59899999999999"/>
    <n v="0"/>
  </r>
  <r>
    <s v="86"/>
    <s v="86"/>
    <s v="Granty"/>
    <x v="54"/>
    <s v="8642"/>
    <s v="MUDr. Tomáš Wanek - NEUROCHIR "/>
    <s v="8642 - MUDr. Tomáš Wanek - NEUROCHIR "/>
    <s v="50115     Zdravotnické prostředky"/>
    <x v="0"/>
    <x v="2"/>
    <n v="93.375999999999991"/>
    <n v="0"/>
  </r>
  <r>
    <s v="86"/>
    <s v="86"/>
    <s v="Granty"/>
    <x v="54"/>
    <s v="8642"/>
    <s v="MUDr. Tomáš Wanek - NEUROCHIR "/>
    <s v="8642 - MUDr. Tomáš Wanek - NEUROCHIR "/>
    <s v="50115060     ostatní ZPr - mimo níže uvedené (sk.Z_503)"/>
    <x v="1"/>
    <x v="0"/>
    <n v="201.69499999999999"/>
    <n v="0"/>
  </r>
  <r>
    <s v="86"/>
    <s v="86"/>
    <s v="Granty"/>
    <x v="54"/>
    <s v="8642"/>
    <s v="MUDr. Tomáš Wanek - NEUROCHIR "/>
    <s v="8642 - MUDr. Tomáš Wanek - NEUROCHIR "/>
    <s v="50115060     ostatní ZPr - mimo níže uvedené (sk.Z_503)"/>
    <x v="1"/>
    <x v="1"/>
    <n v="384.59899999999999"/>
    <n v="0"/>
  </r>
  <r>
    <s v="86"/>
    <s v="86"/>
    <s v="Granty"/>
    <x v="54"/>
    <s v="8642"/>
    <s v="MUDr. Tomáš Wanek - NEUROCHIR "/>
    <s v="8642 - MUDr. Tomáš Wanek - NEUROCHIR "/>
    <s v="50115060     ostatní ZPr - mimo níže uvedené (sk.Z_503)"/>
    <x v="1"/>
    <x v="2"/>
    <n v="93.375999999999991"/>
    <n v="0"/>
  </r>
  <r>
    <s v="86"/>
    <s v="86"/>
    <s v="Granty"/>
    <x v="54"/>
    <s v="8643"/>
    <s v="Doc.MUDr.Milan Adamus, Ph.D. - KARIM"/>
    <s v="8643 - Doc.MUDr.Milan Adamus, Ph.D. - KARIM"/>
    <s v="50113     Léky a léčiva"/>
    <x v="2"/>
    <x v="0"/>
    <n v="283.66610000000003"/>
    <n v="0"/>
  </r>
  <r>
    <s v="86"/>
    <s v="86"/>
    <s v="Granty"/>
    <x v="54"/>
    <s v="8643"/>
    <s v="Doc.MUDr.Milan Adamus, Ph.D. - KARIM"/>
    <s v="8643 - Doc.MUDr.Milan Adamus, Ph.D. - KARIM"/>
    <s v="50113     Léky a léčiva"/>
    <x v="2"/>
    <x v="1"/>
    <n v="326.08284999999995"/>
    <n v="0"/>
  </r>
  <r>
    <s v="86"/>
    <s v="86"/>
    <s v="Granty"/>
    <x v="54"/>
    <s v="8643"/>
    <s v="Doc.MUDr.Milan Adamus, Ph.D. - KARIM"/>
    <s v="8643 - Doc.MUDr.Milan Adamus, Ph.D. - KARIM"/>
    <s v="50113001     léky - paušál+TISS (LEK)"/>
    <x v="3"/>
    <x v="0"/>
    <n v="283.66610000000003"/>
    <n v="0"/>
  </r>
  <r>
    <s v="86"/>
    <s v="86"/>
    <s v="Granty"/>
    <x v="54"/>
    <s v="8643"/>
    <s v="Doc.MUDr.Milan Adamus, Ph.D. - KARIM"/>
    <s v="8643 - Doc.MUDr.Milan Adamus, Ph.D. - KARIM"/>
    <s v="50113001     léky - paušál+TISS (LEK)"/>
    <x v="3"/>
    <x v="1"/>
    <n v="326.08284999999995"/>
    <n v="0"/>
  </r>
  <r>
    <s v="86"/>
    <s v="86"/>
    <s v="Granty"/>
    <x v="54"/>
    <s v="8643"/>
    <s v="Doc.MUDr.Milan Adamus, Ph.D. - KARIM"/>
    <s v="8643 - Doc.MUDr.Milan Adamus, Ph.D. - KARIM"/>
    <s v="50115     Zdravotnické prostředky"/>
    <x v="0"/>
    <x v="0"/>
    <n v="3.4371999999999998"/>
    <n v="0"/>
  </r>
  <r>
    <s v="86"/>
    <s v="86"/>
    <s v="Granty"/>
    <x v="54"/>
    <s v="8643"/>
    <s v="Doc.MUDr.Milan Adamus, Ph.D. - KARIM"/>
    <s v="8643 - Doc.MUDr.Milan Adamus, Ph.D. - KARIM"/>
    <s v="50115     Zdravotnické prostředky"/>
    <x v="0"/>
    <x v="1"/>
    <n v="2.1779999999999999"/>
    <n v="0"/>
  </r>
  <r>
    <s v="86"/>
    <s v="86"/>
    <s v="Granty"/>
    <x v="54"/>
    <s v="8643"/>
    <s v="Doc.MUDr.Milan Adamus, Ph.D. - KARIM"/>
    <s v="8643 - Doc.MUDr.Milan Adamus, Ph.D. - KARIM"/>
    <s v="50115050     obvazový materiál (sk.Z_502)"/>
    <x v="12"/>
    <x v="0"/>
    <n v="1.0577000000000001"/>
    <n v="0"/>
  </r>
  <r>
    <s v="86"/>
    <s v="86"/>
    <s v="Granty"/>
    <x v="54"/>
    <s v="8643"/>
    <s v="Doc.MUDr.Milan Adamus, Ph.D. - KARIM"/>
    <s v="8643 - Doc.MUDr.Milan Adamus, Ph.D. - KARIM"/>
    <s v="50115060     ostatní ZPr - mimo níže uvedené (sk.Z_503)"/>
    <x v="1"/>
    <x v="0"/>
    <n v="2.3795000000000002"/>
    <n v="0"/>
  </r>
  <r>
    <s v="86"/>
    <s v="86"/>
    <s v="Granty"/>
    <x v="54"/>
    <s v="8643"/>
    <s v="Doc.MUDr.Milan Adamus, Ph.D. - KARIM"/>
    <s v="8643 - Doc.MUDr.Milan Adamus, Ph.D. - KARIM"/>
    <s v="50115060     ostatní ZPr - mimo níže uvedené (sk.Z_503)"/>
    <x v="1"/>
    <x v="1"/>
    <n v="2.1779999999999999"/>
    <n v="0"/>
  </r>
  <r>
    <s v="86"/>
    <s v="86"/>
    <s v="Granty"/>
    <x v="54"/>
    <s v="8644"/>
    <s v="Doc. MUDr. Martin Procházka, Ph.D. - PORGYN"/>
    <s v="8644 - Doc. MUDr. Martin Procházka, Ph.D. - PORGYN"/>
    <s v="50113     Léky a léčiva"/>
    <x v="2"/>
    <x v="1"/>
    <n v="0.48963999999999996"/>
    <n v="0"/>
  </r>
  <r>
    <s v="86"/>
    <s v="86"/>
    <s v="Granty"/>
    <x v="54"/>
    <s v="8644"/>
    <s v="Doc. MUDr. Martin Procházka, Ph.D. - PORGYN"/>
    <s v="8644 - Doc. MUDr. Martin Procházka, Ph.D. - PORGYN"/>
    <s v="50113     Léky a léčiva"/>
    <x v="2"/>
    <x v="2"/>
    <n v="0.24646000000000001"/>
    <n v="0"/>
  </r>
  <r>
    <s v="86"/>
    <s v="86"/>
    <s v="Granty"/>
    <x v="54"/>
    <s v="8644"/>
    <s v="Doc. MUDr. Martin Procházka, Ph.D. - PORGYN"/>
    <s v="8644 - Doc. MUDr. Martin Procházka, Ph.D. - PORGYN"/>
    <s v="50113001     léky - paušál+TISS (LEK)"/>
    <x v="3"/>
    <x v="1"/>
    <n v="0.48963999999999996"/>
    <n v="0"/>
  </r>
  <r>
    <s v="86"/>
    <s v="86"/>
    <s v="Granty"/>
    <x v="54"/>
    <s v="8644"/>
    <s v="Doc. MUDr. Martin Procházka, Ph.D. - PORGYN"/>
    <s v="8644 - Doc. MUDr. Martin Procházka, Ph.D. - PORGYN"/>
    <s v="50113001     léky - paušál+TISS (LEK)"/>
    <x v="3"/>
    <x v="2"/>
    <n v="0.24646000000000001"/>
    <n v="0"/>
  </r>
  <r>
    <s v="86"/>
    <s v="86"/>
    <s v="Granty"/>
    <x v="54"/>
    <s v="8644"/>
    <s v="Doc. MUDr. Martin Procházka, Ph.D. - PORGYN"/>
    <s v="8644 - Doc. MUDr. Martin Procházka, Ph.D. - PORGYN"/>
    <s v="50115     Zdravotnické prostředky"/>
    <x v="0"/>
    <x v="0"/>
    <n v="4.7411300000000001"/>
    <n v="0"/>
  </r>
  <r>
    <s v="86"/>
    <s v="86"/>
    <s v="Granty"/>
    <x v="54"/>
    <s v="8644"/>
    <s v="Doc. MUDr. Martin Procházka, Ph.D. - PORGYN"/>
    <s v="8644 - Doc. MUDr. Martin Procházka, Ph.D. - PORGYN"/>
    <s v="50115     Zdravotnické prostředky"/>
    <x v="0"/>
    <x v="1"/>
    <n v="4.1603500000000002"/>
    <n v="0"/>
  </r>
  <r>
    <s v="86"/>
    <s v="86"/>
    <s v="Granty"/>
    <x v="54"/>
    <s v="8644"/>
    <s v="Doc. MUDr. Martin Procházka, Ph.D. - PORGYN"/>
    <s v="8644 - Doc. MUDr. Martin Procházka, Ph.D. - PORGYN"/>
    <s v="50115     Zdravotnické prostředky"/>
    <x v="0"/>
    <x v="2"/>
    <n v="3.3435199999999998"/>
    <n v="0"/>
  </r>
  <r>
    <s v="86"/>
    <s v="86"/>
    <s v="Granty"/>
    <x v="54"/>
    <s v="8644"/>
    <s v="Doc. MUDr. Martin Procházka, Ph.D. - PORGYN"/>
    <s v="8644 - Doc. MUDr. Martin Procházka, Ph.D. - PORGYN"/>
    <s v="50115020     diagnostika laboratorní-LEK (sk.Z_501)"/>
    <x v="10"/>
    <x v="1"/>
    <n v="5.5550000000000002E-2"/>
    <n v="0"/>
  </r>
  <r>
    <s v="86"/>
    <s v="86"/>
    <s v="Granty"/>
    <x v="54"/>
    <s v="8644"/>
    <s v="Doc. MUDr. Martin Procházka, Ph.D. - PORGYN"/>
    <s v="8644 - Doc. MUDr. Martin Procházka, Ph.D. - PORGYN"/>
    <s v="50115020     diagnostika laboratorní-LEK (sk.Z_501)"/>
    <x v="10"/>
    <x v="2"/>
    <n v="2.453E-2"/>
    <n v="0"/>
  </r>
  <r>
    <s v="86"/>
    <s v="86"/>
    <s v="Granty"/>
    <x v="54"/>
    <s v="8644"/>
    <s v="Doc. MUDr. Martin Procházka, Ph.D. - PORGYN"/>
    <s v="8644 - Doc. MUDr. Martin Procházka, Ph.D. - PORGYN"/>
    <s v="50115040     laboratorní materiál (sk.Z_505)"/>
    <x v="11"/>
    <x v="0"/>
    <n v="3.4101300000000001"/>
    <n v="0"/>
  </r>
  <r>
    <s v="86"/>
    <s v="86"/>
    <s v="Granty"/>
    <x v="54"/>
    <s v="8644"/>
    <s v="Doc. MUDr. Martin Procházka, Ph.D. - PORGYN"/>
    <s v="8644 - Doc. MUDr. Martin Procházka, Ph.D. - PORGYN"/>
    <s v="50115050     obvazový materiál (sk.Z_502)"/>
    <x v="12"/>
    <x v="0"/>
    <n v="1.331"/>
    <n v="0"/>
  </r>
  <r>
    <s v="86"/>
    <s v="86"/>
    <s v="Granty"/>
    <x v="54"/>
    <s v="8644"/>
    <s v="Doc. MUDr. Martin Procházka, Ph.D. - PORGYN"/>
    <s v="8644 - Doc. MUDr. Martin Procházka, Ph.D. - PORGYN"/>
    <s v="50115050     obvazový materiál (sk.Z_502)"/>
    <x v="12"/>
    <x v="1"/>
    <n v="0.82679999999999998"/>
    <n v="0"/>
  </r>
  <r>
    <s v="86"/>
    <s v="86"/>
    <s v="Granty"/>
    <x v="54"/>
    <s v="8644"/>
    <s v="Doc. MUDr. Martin Procházka, Ph.D. - PORGYN"/>
    <s v="8644 - Doc. MUDr. Martin Procházka, Ph.D. - PORGYN"/>
    <s v="50115050     obvazový materiál (sk.Z_502)"/>
    <x v="12"/>
    <x v="2"/>
    <n v="0.28314"/>
    <n v="0"/>
  </r>
  <r>
    <s v="86"/>
    <s v="86"/>
    <s v="Granty"/>
    <x v="54"/>
    <s v="8644"/>
    <s v="Doc. MUDr. Martin Procházka, Ph.D. - PORGYN"/>
    <s v="8644 - Doc. MUDr. Martin Procházka, Ph.D. - PORGYN"/>
    <s v="50115060     ostatní ZPr - mimo níže uvedené (sk.Z_503)"/>
    <x v="1"/>
    <x v="1"/>
    <n v="3.278"/>
    <n v="0"/>
  </r>
  <r>
    <s v="86"/>
    <s v="86"/>
    <s v="Granty"/>
    <x v="54"/>
    <s v="8644"/>
    <s v="Doc. MUDr. Martin Procházka, Ph.D. - PORGYN"/>
    <s v="8644 - Doc. MUDr. Martin Procházka, Ph.D. - PORGYN"/>
    <s v="50115060     ostatní ZPr - mimo níže uvedené (sk.Z_503)"/>
    <x v="1"/>
    <x v="2"/>
    <n v="1.1533500000000001"/>
    <n v="0"/>
  </r>
  <r>
    <s v="86"/>
    <s v="86"/>
    <s v="Granty"/>
    <x v="54"/>
    <s v="8644"/>
    <s v="Doc. MUDr. Martin Procházka, Ph.D. - PORGYN"/>
    <s v="8644 - Doc. MUDr. Martin Procházka, Ph.D. - PORGYN"/>
    <s v="50115065     ostatní ZPr - vpichovací materiál (sk.Z_530)"/>
    <x v="14"/>
    <x v="2"/>
    <n v="0.36"/>
    <n v="0"/>
  </r>
  <r>
    <s v="86"/>
    <s v="86"/>
    <s v="Granty"/>
    <x v="54"/>
    <s v="8644"/>
    <s v="Doc. MUDr. Martin Procházka, Ph.D. - PORGYN"/>
    <s v="8644 - Doc. MUDr. Martin Procházka, Ph.D. - PORGYN"/>
    <s v="50115067     ostatní ZPr - rukavice (sk.Z_532)"/>
    <x v="15"/>
    <x v="2"/>
    <n v="1.5225"/>
    <n v="0"/>
  </r>
  <r>
    <s v="86"/>
    <s v="86"/>
    <s v="Granty"/>
    <x v="54"/>
    <s v="8645"/>
    <s v="Prof. MUDr. Vítězslav Kolek, DrSc. - PLIC"/>
    <s v="8645 - Prof. MUDr. Vítězslav Kolek, DrSc. - PLIC"/>
    <s v="50115     Zdravotnické prostředky"/>
    <x v="0"/>
    <x v="0"/>
    <n v="64.961100000000002"/>
    <n v="0"/>
  </r>
  <r>
    <s v="86"/>
    <s v="86"/>
    <s v="Granty"/>
    <x v="54"/>
    <s v="8645"/>
    <s v="Prof. MUDr. Vítězslav Kolek, DrSc. - PLIC"/>
    <s v="8645 - Prof. MUDr. Vítězslav Kolek, DrSc. - PLIC"/>
    <s v="50115     Zdravotnické prostředky"/>
    <x v="0"/>
    <x v="1"/>
    <n v="84.89070000000001"/>
    <n v="0"/>
  </r>
  <r>
    <s v="86"/>
    <s v="86"/>
    <s v="Granty"/>
    <x v="54"/>
    <s v="8645"/>
    <s v="Prof. MUDr. Vítězslav Kolek, DrSc. - PLIC"/>
    <s v="8645 - Prof. MUDr. Vítězslav Kolek, DrSc. - PLIC"/>
    <s v="50115     Zdravotnické prostředky"/>
    <x v="0"/>
    <x v="2"/>
    <n v="55.001130000000003"/>
    <n v="0"/>
  </r>
  <r>
    <s v="86"/>
    <s v="86"/>
    <s v="Granty"/>
    <x v="54"/>
    <s v="8645"/>
    <s v="Prof. MUDr. Vítězslav Kolek, DrSc. - PLIC"/>
    <s v="8645 - Prof. MUDr. Vítězslav Kolek, DrSc. - PLIC"/>
    <s v="50115050     obvazový materiál (sk.Z_502)"/>
    <x v="12"/>
    <x v="2"/>
    <n v="12.13402"/>
    <n v="0"/>
  </r>
  <r>
    <s v="86"/>
    <s v="86"/>
    <s v="Granty"/>
    <x v="54"/>
    <s v="8645"/>
    <s v="Prof. MUDr. Vítězslav Kolek, DrSc. - PLIC"/>
    <s v="8645 - Prof. MUDr. Vítězslav Kolek, DrSc. - PLIC"/>
    <s v="50115060     ostatní ZPr - mimo níže uvedené (sk.Z_503)"/>
    <x v="1"/>
    <x v="0"/>
    <n v="64.961100000000002"/>
    <n v="0"/>
  </r>
  <r>
    <s v="86"/>
    <s v="86"/>
    <s v="Granty"/>
    <x v="54"/>
    <s v="8645"/>
    <s v="Prof. MUDr. Vítězslav Kolek, DrSc. - PLIC"/>
    <s v="8645 - Prof. MUDr. Vítězslav Kolek, DrSc. - PLIC"/>
    <s v="50115060     ostatní ZPr - mimo níže uvedené (sk.Z_503)"/>
    <x v="1"/>
    <x v="1"/>
    <n v="71.643699999999995"/>
    <n v="0"/>
  </r>
  <r>
    <s v="86"/>
    <s v="86"/>
    <s v="Granty"/>
    <x v="54"/>
    <s v="8645"/>
    <s v="Prof. MUDr. Vítězslav Kolek, DrSc. - PLIC"/>
    <s v="8645 - Prof. MUDr. Vítězslav Kolek, DrSc. - PLIC"/>
    <s v="50115060     ostatní ZPr - mimo níže uvedené (sk.Z_503)"/>
    <x v="1"/>
    <x v="2"/>
    <n v="20.114509999999999"/>
    <n v="0"/>
  </r>
  <r>
    <s v="86"/>
    <s v="86"/>
    <s v="Granty"/>
    <x v="54"/>
    <s v="8645"/>
    <s v="Prof. MUDr. Vítězslav Kolek, DrSc. - PLIC"/>
    <s v="8645 - Prof. MUDr. Vítězslav Kolek, DrSc. - PLIC"/>
    <s v="50115063     ostatní ZPr - vaky, sety (sk.Z_528)"/>
    <x v="13"/>
    <x v="1"/>
    <n v="8.9870000000000001"/>
    <n v="0"/>
  </r>
  <r>
    <s v="86"/>
    <s v="86"/>
    <s v="Granty"/>
    <x v="54"/>
    <s v="8645"/>
    <s v="Prof. MUDr. Vítězslav Kolek, DrSc. - PLIC"/>
    <s v="8645 - Prof. MUDr. Vítězslav Kolek, DrSc. - PLIC"/>
    <s v="50115063     ostatní ZPr - vaky, sety (sk.Z_528)"/>
    <x v="13"/>
    <x v="2"/>
    <n v="8.16"/>
    <n v="0"/>
  </r>
  <r>
    <s v="86"/>
    <s v="86"/>
    <s v="Granty"/>
    <x v="54"/>
    <s v="8645"/>
    <s v="Prof. MUDr. Vítězslav Kolek, DrSc. - PLIC"/>
    <s v="8645 - Prof. MUDr. Vítězslav Kolek, DrSc. - PLIC"/>
    <s v="50115067     ostatní ZPr - rukavice (sk.Z_532)"/>
    <x v="15"/>
    <x v="1"/>
    <n v="4.26"/>
    <n v="0"/>
  </r>
  <r>
    <s v="86"/>
    <s v="86"/>
    <s v="Granty"/>
    <x v="54"/>
    <s v="8645"/>
    <s v="Prof. MUDr. Vítězslav Kolek, DrSc. - PLIC"/>
    <s v="8645 - Prof. MUDr. Vítězslav Kolek, DrSc. - PLIC"/>
    <s v="50115079     ostatní ZPr - intenzivní péče (sk.Z_542)"/>
    <x v="18"/>
    <x v="2"/>
    <n v="14.592599999999999"/>
    <n v="0"/>
  </r>
  <r>
    <s v="86"/>
    <s v="86"/>
    <s v="Granty"/>
    <x v="54"/>
    <s v="8646"/>
    <s v="Doc. MUDr. Dagmar Pospíšilová, Ph.D. - DK"/>
    <s v="8646 - Doc. MUDr. Dagmar Pospíšilová, Ph.D. - DK"/>
    <s v="50115     Zdravotnické prostředky"/>
    <x v="0"/>
    <x v="0"/>
    <n v="427.06957"/>
    <n v="0"/>
  </r>
  <r>
    <s v="86"/>
    <s v="86"/>
    <s v="Granty"/>
    <x v="54"/>
    <s v="8646"/>
    <s v="Doc. MUDr. Dagmar Pospíšilová, Ph.D. - DK"/>
    <s v="8646 - Doc. MUDr. Dagmar Pospíšilová, Ph.D. - DK"/>
    <s v="50115     Zdravotnické prostředky"/>
    <x v="0"/>
    <x v="1"/>
    <n v="517.42201"/>
    <n v="0"/>
  </r>
  <r>
    <s v="86"/>
    <s v="86"/>
    <s v="Granty"/>
    <x v="54"/>
    <s v="8646"/>
    <s v="Doc. MUDr. Dagmar Pospíšilová, Ph.D. - DK"/>
    <s v="8646 - Doc. MUDr. Dagmar Pospíšilová, Ph.D. - DK"/>
    <s v="50115020     diagnostika laboratorní-LEK (sk.Z_501)"/>
    <x v="10"/>
    <x v="0"/>
    <n v="160.95541"/>
    <n v="0"/>
  </r>
  <r>
    <s v="86"/>
    <s v="86"/>
    <s v="Granty"/>
    <x v="54"/>
    <s v="8646"/>
    <s v="Doc. MUDr. Dagmar Pospíšilová, Ph.D. - DK"/>
    <s v="8646 - Doc. MUDr. Dagmar Pospíšilová, Ph.D. - DK"/>
    <s v="50115020     diagnostika laboratorní-LEK (sk.Z_501)"/>
    <x v="10"/>
    <x v="1"/>
    <n v="487.62810999999999"/>
    <n v="0"/>
  </r>
  <r>
    <s v="86"/>
    <s v="86"/>
    <s v="Granty"/>
    <x v="54"/>
    <s v="8646"/>
    <s v="Doc. MUDr. Dagmar Pospíšilová, Ph.D. - DK"/>
    <s v="8646 - Doc. MUDr. Dagmar Pospíšilová, Ph.D. - DK"/>
    <s v="50115040     laboratorní materiál (sk.Z_505)"/>
    <x v="11"/>
    <x v="0"/>
    <n v="84.579120000000003"/>
    <n v="0"/>
  </r>
  <r>
    <s v="86"/>
    <s v="86"/>
    <s v="Granty"/>
    <x v="54"/>
    <s v="8646"/>
    <s v="Doc. MUDr. Dagmar Pospíšilová, Ph.D. - DK"/>
    <s v="8646 - Doc. MUDr. Dagmar Pospíšilová, Ph.D. - DK"/>
    <s v="50115050     obvazový materiál (sk.Z_502)"/>
    <x v="12"/>
    <x v="1"/>
    <n v="1.657"/>
    <n v="0"/>
  </r>
  <r>
    <s v="86"/>
    <s v="86"/>
    <s v="Granty"/>
    <x v="54"/>
    <s v="8646"/>
    <s v="Doc. MUDr. Dagmar Pospíšilová, Ph.D. - DK"/>
    <s v="8646 - Doc. MUDr. Dagmar Pospíšilová, Ph.D. - DK"/>
    <s v="50115060     ostatní ZPr - mimo níže uvedené (sk.Z_503)"/>
    <x v="1"/>
    <x v="0"/>
    <n v="175.79504"/>
    <n v="0"/>
  </r>
  <r>
    <s v="86"/>
    <s v="86"/>
    <s v="Granty"/>
    <x v="54"/>
    <s v="8646"/>
    <s v="Doc. MUDr. Dagmar Pospíšilová, Ph.D. - DK"/>
    <s v="8646 - Doc. MUDr. Dagmar Pospíšilová, Ph.D. - DK"/>
    <s v="50115060     ostatní ZPr - mimo níže uvedené (sk.Z_503)"/>
    <x v="1"/>
    <x v="1"/>
    <n v="22.7913"/>
    <n v="0"/>
  </r>
  <r>
    <s v="86"/>
    <s v="86"/>
    <s v="Granty"/>
    <x v="54"/>
    <s v="8646"/>
    <s v="Doc. MUDr. Dagmar Pospíšilová, Ph.D. - DK"/>
    <s v="8646 - Doc. MUDr. Dagmar Pospíšilová, Ph.D. - DK"/>
    <s v="50115065     ostatní ZPr - vpichovací materiál (sk.Z_530)"/>
    <x v="14"/>
    <x v="1"/>
    <n v="4.9196"/>
    <n v="0"/>
  </r>
  <r>
    <s v="86"/>
    <s v="86"/>
    <s v="Granty"/>
    <x v="54"/>
    <s v="8646"/>
    <s v="Doc. MUDr. Dagmar Pospíšilová, Ph.D. - DK"/>
    <s v="8646 - Doc. MUDr. Dagmar Pospíšilová, Ph.D. - DK"/>
    <s v="50115067     ostatní ZPr - rukavice (sk.Z_532)"/>
    <x v="15"/>
    <x v="0"/>
    <n v="5.74"/>
    <n v="0"/>
  </r>
  <r>
    <s v="86"/>
    <s v="86"/>
    <s v="Granty"/>
    <x v="54"/>
    <s v="8646"/>
    <s v="Doc. MUDr. Dagmar Pospíšilová, Ph.D. - DK"/>
    <s v="8646 - Doc. MUDr. Dagmar Pospíšilová, Ph.D. - DK"/>
    <s v="50115067     ostatní ZPr - rukavice (sk.Z_532)"/>
    <x v="15"/>
    <x v="1"/>
    <n v="0.42599999999999999"/>
    <n v="0"/>
  </r>
  <r>
    <s v="86"/>
    <s v="86"/>
    <s v="Granty"/>
    <x v="54"/>
    <s v="8647"/>
    <s v="Doc. MUDr. Igor Čižmář, Ph.D. - TRAUMA"/>
    <s v="8647 - Doc. MUDr. Igor Čižmář, Ph.D. - TRAUMA"/>
    <s v="50115     Zdravotnické prostředky"/>
    <x v="0"/>
    <x v="0"/>
    <n v="22.44425"/>
    <n v="0"/>
  </r>
  <r>
    <s v="86"/>
    <s v="86"/>
    <s v="Granty"/>
    <x v="54"/>
    <s v="8647"/>
    <s v="Doc. MUDr. Igor Čižmář, Ph.D. - TRAUMA"/>
    <s v="8647 - Doc. MUDr. Igor Čižmář, Ph.D. - TRAUMA"/>
    <s v="50115     Zdravotnické prostředky"/>
    <x v="0"/>
    <x v="1"/>
    <n v="89.412949999999995"/>
    <n v="0"/>
  </r>
  <r>
    <s v="86"/>
    <s v="86"/>
    <s v="Granty"/>
    <x v="54"/>
    <s v="8647"/>
    <s v="Doc. MUDr. Igor Čižmář, Ph.D. - TRAUMA"/>
    <s v="8647 - Doc. MUDr. Igor Čižmář, Ph.D. - TRAUMA"/>
    <s v="50115     Zdravotnické prostředky"/>
    <x v="0"/>
    <x v="2"/>
    <n v="67.760000000000005"/>
    <n v="0"/>
  </r>
  <r>
    <s v="86"/>
    <s v="86"/>
    <s v="Granty"/>
    <x v="54"/>
    <s v="8647"/>
    <s v="Doc. MUDr. Igor Čižmář, Ph.D. - TRAUMA"/>
    <s v="8647 - Doc. MUDr. Igor Čižmář, Ph.D. - TRAUMA"/>
    <s v="50115060     ostatní ZPr - mimo níže uvedené (sk.Z_503)"/>
    <x v="1"/>
    <x v="0"/>
    <n v="22.44425"/>
    <n v="0"/>
  </r>
  <r>
    <s v="86"/>
    <s v="86"/>
    <s v="Granty"/>
    <x v="54"/>
    <s v="8647"/>
    <s v="Doc. MUDr. Igor Čižmář, Ph.D. - TRAUMA"/>
    <s v="8647 - Doc. MUDr. Igor Čižmář, Ph.D. - TRAUMA"/>
    <s v="50115060     ostatní ZPr - mimo níže uvedené (sk.Z_503)"/>
    <x v="1"/>
    <x v="1"/>
    <n v="89.412949999999995"/>
    <n v="0"/>
  </r>
  <r>
    <s v="86"/>
    <s v="86"/>
    <s v="Granty"/>
    <x v="54"/>
    <s v="8647"/>
    <s v="Doc. MUDr. Igor Čižmář, Ph.D. - TRAUMA"/>
    <s v="8647 - Doc. MUDr. Igor Čižmář, Ph.D. - TRAUMA"/>
    <s v="50115060     ostatní ZPr - mimo níže uvedené (sk.Z_503)"/>
    <x v="1"/>
    <x v="2"/>
    <n v="67.760000000000005"/>
    <n v="0"/>
  </r>
  <r>
    <s v="86"/>
    <s v="86"/>
    <s v="Granty"/>
    <x v="54"/>
    <s v="8648"/>
    <s v="Doc. Mgr. Jiří Drábek, Ph.D.  - TAČR"/>
    <s v="8648 - Doc. Mgr. Jiří Drábek, Ph.D.  - TAČR"/>
    <s v="50115     Zdravotnické prostředky"/>
    <x v="0"/>
    <x v="1"/>
    <n v="771.03509999999994"/>
    <n v="0"/>
  </r>
  <r>
    <s v="86"/>
    <s v="86"/>
    <s v="Granty"/>
    <x v="54"/>
    <s v="8648"/>
    <s v="Doc. Mgr. Jiří Drábek, Ph.D.  - TAČR"/>
    <s v="8648 - Doc. Mgr. Jiří Drábek, Ph.D.  - TAČR"/>
    <s v="50115     Zdravotnické prostředky"/>
    <x v="0"/>
    <x v="2"/>
    <n v="782.73962000000006"/>
    <n v="0"/>
  </r>
  <r>
    <s v="86"/>
    <s v="86"/>
    <s v="Granty"/>
    <x v="54"/>
    <s v="8648"/>
    <s v="Doc. Mgr. Jiří Drábek, Ph.D.  - TAČR"/>
    <s v="8648 - Doc. Mgr. Jiří Drábek, Ph.D.  - TAČR"/>
    <s v="50115020     diagnostika laboratorní-LEK (sk.Z_501)"/>
    <x v="10"/>
    <x v="1"/>
    <n v="475.89386999999999"/>
    <n v="0"/>
  </r>
  <r>
    <s v="86"/>
    <s v="86"/>
    <s v="Granty"/>
    <x v="54"/>
    <s v="8648"/>
    <s v="Doc. Mgr. Jiří Drábek, Ph.D.  - TAČR"/>
    <s v="8648 - Doc. Mgr. Jiří Drábek, Ph.D.  - TAČR"/>
    <s v="50115020     diagnostika laboratorní-LEK (sk.Z_501)"/>
    <x v="10"/>
    <x v="2"/>
    <n v="768.56299999999999"/>
    <n v="0"/>
  </r>
  <r>
    <s v="86"/>
    <s v="86"/>
    <s v="Granty"/>
    <x v="54"/>
    <s v="8648"/>
    <s v="Doc. Mgr. Jiří Drábek, Ph.D.  - TAČR"/>
    <s v="8648 - Doc. Mgr. Jiří Drábek, Ph.D.  - TAČR"/>
    <s v="50115040     laboratorní materiál (sk.Z_505)"/>
    <x v="11"/>
    <x v="1"/>
    <n v="248.32424"/>
    <n v="0"/>
  </r>
  <r>
    <s v="86"/>
    <s v="86"/>
    <s v="Granty"/>
    <x v="54"/>
    <s v="8648"/>
    <s v="Doc. Mgr. Jiří Drábek, Ph.D.  - TAČR"/>
    <s v="8648 - Doc. Mgr. Jiří Drábek, Ph.D.  - TAČR"/>
    <s v="50115040     laboratorní materiál (sk.Z_505)"/>
    <x v="11"/>
    <x v="2"/>
    <n v="9.3703699999999994"/>
    <n v="0"/>
  </r>
  <r>
    <s v="86"/>
    <s v="86"/>
    <s v="Granty"/>
    <x v="54"/>
    <s v="8648"/>
    <s v="Doc. Mgr. Jiří Drábek, Ph.D.  - TAČR"/>
    <s v="8648 - Doc. Mgr. Jiří Drábek, Ph.D.  - TAČR"/>
    <s v="50115060     ostatní ZPr - mimo níže uvedené (sk.Z_503)"/>
    <x v="1"/>
    <x v="1"/>
    <n v="43.976990000000001"/>
    <n v="0"/>
  </r>
  <r>
    <s v="86"/>
    <s v="86"/>
    <s v="Granty"/>
    <x v="54"/>
    <s v="8648"/>
    <s v="Doc. Mgr. Jiří Drábek, Ph.D.  - TAČR"/>
    <s v="8648 - Doc. Mgr. Jiří Drábek, Ph.D.  - TAČR"/>
    <s v="50115060     ostatní ZPr - mimo níže uvedené (sk.Z_503)"/>
    <x v="1"/>
    <x v="2"/>
    <n v="1.9662500000000001"/>
    <n v="0"/>
  </r>
  <r>
    <s v="86"/>
    <s v="86"/>
    <s v="Granty"/>
    <x v="54"/>
    <s v="8648"/>
    <s v="Doc. Mgr. Jiří Drábek, Ph.D.  - TAČR"/>
    <s v="8648 - Doc. Mgr. Jiří Drábek, Ph.D.  - TAČR"/>
    <s v="50115067     ostatní ZPr - rukavice (sk.Z_532)"/>
    <x v="15"/>
    <x v="1"/>
    <n v="2.84"/>
    <n v="0"/>
  </r>
  <r>
    <s v="86"/>
    <s v="86"/>
    <s v="Granty"/>
    <x v="54"/>
    <s v="8648"/>
    <s v="Doc. Mgr. Jiří Drábek, Ph.D.  - TAČR"/>
    <s v="8648 - Doc. Mgr. Jiří Drábek, Ph.D.  - TAČR"/>
    <s v="50115067     ostatní ZPr - rukavice (sk.Z_532)"/>
    <x v="15"/>
    <x v="2"/>
    <n v="2.84"/>
    <n v="0"/>
  </r>
  <r>
    <s v="86"/>
    <s v="86"/>
    <s v="Granty"/>
    <x v="54"/>
    <s v="8649"/>
    <s v="Prof. MUDr. Jiří Gallo, Ph.D. - ORTOP"/>
    <s v="8649 - Prof. MUDr. Jiří Gallo, Ph.D. - ORTOP"/>
    <s v="50113     Léky a léčiva"/>
    <x v="2"/>
    <x v="2"/>
    <n v="8.5779999999999995E-2"/>
    <n v="0"/>
  </r>
  <r>
    <s v="86"/>
    <s v="86"/>
    <s v="Granty"/>
    <x v="54"/>
    <s v="8649"/>
    <s v="Prof. MUDr. Jiří Gallo, Ph.D. - ORTOP"/>
    <s v="8649 - Prof. MUDr. Jiří Gallo, Ph.D. - ORTOP"/>
    <s v="50113001     léky - paušál+TISS (LEK)"/>
    <x v="3"/>
    <x v="2"/>
    <n v="8.5779999999999995E-2"/>
    <n v="0"/>
  </r>
  <r>
    <s v="86"/>
    <s v="86"/>
    <s v="Granty"/>
    <x v="54"/>
    <s v="8649"/>
    <s v="Prof. MUDr. Jiří Gallo, Ph.D. - ORTOP"/>
    <s v="8649 - Prof. MUDr. Jiří Gallo, Ph.D. - ORTOP"/>
    <s v="50115     Zdravotnické prostředky"/>
    <x v="0"/>
    <x v="1"/>
    <n v="113.88289"/>
    <n v="0"/>
  </r>
  <r>
    <s v="86"/>
    <s v="86"/>
    <s v="Granty"/>
    <x v="54"/>
    <s v="8649"/>
    <s v="Prof. MUDr. Jiří Gallo, Ph.D. - ORTOP"/>
    <s v="8649 - Prof. MUDr. Jiří Gallo, Ph.D. - ORTOP"/>
    <s v="50115     Zdravotnické prostředky"/>
    <x v="0"/>
    <x v="2"/>
    <n v="241.71213999999998"/>
    <n v="0"/>
  </r>
  <r>
    <s v="86"/>
    <s v="86"/>
    <s v="Granty"/>
    <x v="54"/>
    <s v="8649"/>
    <s v="Prof. MUDr. Jiří Gallo, Ph.D. - ORTOP"/>
    <s v="8649 - Prof. MUDr. Jiří Gallo, Ph.D. - ORTOP"/>
    <s v="50115020     diagnostika laboratorní-LEK (sk.Z_501)"/>
    <x v="10"/>
    <x v="1"/>
    <n v="95.485100000000003"/>
    <n v="0"/>
  </r>
  <r>
    <s v="86"/>
    <s v="86"/>
    <s v="Granty"/>
    <x v="54"/>
    <s v="8649"/>
    <s v="Prof. MUDr. Jiří Gallo, Ph.D. - ORTOP"/>
    <s v="8649 - Prof. MUDr. Jiří Gallo, Ph.D. - ORTOP"/>
    <s v="50115020     diagnostika laboratorní-LEK (sk.Z_501)"/>
    <x v="10"/>
    <x v="2"/>
    <n v="174.83924999999999"/>
    <n v="0"/>
  </r>
  <r>
    <s v="86"/>
    <s v="86"/>
    <s v="Granty"/>
    <x v="54"/>
    <s v="8649"/>
    <s v="Prof. MUDr. Jiří Gallo, Ph.D. - ORTOP"/>
    <s v="8649 - Prof. MUDr. Jiří Gallo, Ph.D. - ORTOP"/>
    <s v="50115040     laboratorní materiál (sk.Z_505)"/>
    <x v="11"/>
    <x v="1"/>
    <n v="13.21659"/>
    <n v="0"/>
  </r>
  <r>
    <s v="86"/>
    <s v="86"/>
    <s v="Granty"/>
    <x v="54"/>
    <s v="8649"/>
    <s v="Prof. MUDr. Jiří Gallo, Ph.D. - ORTOP"/>
    <s v="8649 - Prof. MUDr. Jiří Gallo, Ph.D. - ORTOP"/>
    <s v="50115040     laboratorní materiál (sk.Z_505)"/>
    <x v="11"/>
    <x v="2"/>
    <n v="27.880830000000003"/>
    <n v="0"/>
  </r>
  <r>
    <s v="86"/>
    <s v="86"/>
    <s v="Granty"/>
    <x v="54"/>
    <s v="8649"/>
    <s v="Prof. MUDr. Jiří Gallo, Ph.D. - ORTOP"/>
    <s v="8649 - Prof. MUDr. Jiří Gallo, Ph.D. - ORTOP"/>
    <s v="50115050     obvazový materiál (sk.Z_502)"/>
    <x v="12"/>
    <x v="1"/>
    <n v="1.2312000000000001"/>
    <n v="0"/>
  </r>
  <r>
    <s v="86"/>
    <s v="86"/>
    <s v="Granty"/>
    <x v="54"/>
    <s v="8649"/>
    <s v="Prof. MUDr. Jiří Gallo, Ph.D. - ORTOP"/>
    <s v="8649 - Prof. MUDr. Jiří Gallo, Ph.D. - ORTOP"/>
    <s v="50115060     ostatní ZPr - mimo níže uvedené (sk.Z_503)"/>
    <x v="1"/>
    <x v="1"/>
    <n v="1.47"/>
    <n v="0"/>
  </r>
  <r>
    <s v="86"/>
    <s v="86"/>
    <s v="Granty"/>
    <x v="54"/>
    <s v="8649"/>
    <s v="Prof. MUDr. Jiří Gallo, Ph.D. - ORTOP"/>
    <s v="8649 - Prof. MUDr. Jiří Gallo, Ph.D. - ORTOP"/>
    <s v="50115060     ostatní ZPr - mimo níže uvedené (sk.Z_503)"/>
    <x v="1"/>
    <x v="2"/>
    <n v="38.992060000000002"/>
    <n v="0"/>
  </r>
  <r>
    <s v="86"/>
    <s v="86"/>
    <s v="Granty"/>
    <x v="54"/>
    <s v="8649"/>
    <s v="Prof. MUDr. Jiří Gallo, Ph.D. - ORTOP"/>
    <s v="8649 - Prof. MUDr. Jiří Gallo, Ph.D. - ORTOP"/>
    <s v="50115065     ostatní ZPr - vpichovací materiál (sk.Z_530)"/>
    <x v="14"/>
    <x v="1"/>
    <n v="0.35"/>
    <n v="0"/>
  </r>
  <r>
    <s v="86"/>
    <s v="86"/>
    <s v="Granty"/>
    <x v="54"/>
    <s v="8649"/>
    <s v="Prof. MUDr. Jiří Gallo, Ph.D. - ORTOP"/>
    <s v="8649 - Prof. MUDr. Jiří Gallo, Ph.D. - ORTOP"/>
    <s v="50115067     ostatní ZPr - rukavice (sk.Z_532)"/>
    <x v="15"/>
    <x v="1"/>
    <n v="2.13"/>
    <n v="0"/>
  </r>
  <r>
    <s v="86"/>
    <s v="86"/>
    <s v="Granty"/>
    <x v="54"/>
    <s v="8664"/>
    <m/>
    <s v="8664 - "/>
    <s v="50115     Zdravotnické prostředky"/>
    <x v="0"/>
    <x v="0"/>
    <n v="60"/>
    <n v="0"/>
  </r>
  <r>
    <s v="86"/>
    <s v="86"/>
    <s v="Granty"/>
    <x v="54"/>
    <s v="8664"/>
    <m/>
    <s v="8664 - "/>
    <s v="50115070     ostatní ZPr - katetry (sk.Z_513)"/>
    <x v="16"/>
    <x v="0"/>
    <n v="60"/>
    <n v="0"/>
  </r>
  <r>
    <s v="86"/>
    <s v="86"/>
    <s v="Granty"/>
    <x v="54"/>
    <s v="8665"/>
    <m/>
    <s v="8665 - "/>
    <s v="50115     Zdravotnické prostředky"/>
    <x v="0"/>
    <x v="0"/>
    <n v="98.906000000000006"/>
    <n v="0"/>
  </r>
  <r>
    <s v="86"/>
    <s v="86"/>
    <s v="Granty"/>
    <x v="54"/>
    <s v="8665"/>
    <m/>
    <s v="8665 - "/>
    <s v="50115     Zdravotnické prostředky"/>
    <x v="0"/>
    <x v="1"/>
    <n v="93.741659999999996"/>
    <n v="0"/>
  </r>
  <r>
    <s v="86"/>
    <s v="86"/>
    <s v="Granty"/>
    <x v="54"/>
    <s v="8665"/>
    <m/>
    <s v="8665 - "/>
    <s v="50115020     diagnostika laboratorní-LEK (sk.Z_501)"/>
    <x v="10"/>
    <x v="0"/>
    <n v="98.906000000000006"/>
    <n v="0"/>
  </r>
  <r>
    <s v="86"/>
    <s v="86"/>
    <s v="Granty"/>
    <x v="54"/>
    <s v="8665"/>
    <m/>
    <s v="8665 - "/>
    <s v="50115020     diagnostika laboratorní-LEK (sk.Z_501)"/>
    <x v="10"/>
    <x v="1"/>
    <n v="93.741659999999996"/>
    <n v="0"/>
  </r>
  <r>
    <s v="86"/>
    <s v="86"/>
    <s v="Granty"/>
    <x v="54"/>
    <s v="8669"/>
    <m/>
    <s v="8669 - "/>
    <s v="50115     Zdravotnické prostředky"/>
    <x v="0"/>
    <x v="0"/>
    <n v="13.49802"/>
    <n v="0"/>
  </r>
  <r>
    <s v="86"/>
    <s v="86"/>
    <s v="Granty"/>
    <x v="54"/>
    <s v="8669"/>
    <m/>
    <s v="8669 - "/>
    <s v="50115040     laboratorní materiál (sk.Z_505)"/>
    <x v="11"/>
    <x v="0"/>
    <n v="7.1149199999999997"/>
    <n v="0"/>
  </r>
  <r>
    <s v="86"/>
    <s v="86"/>
    <s v="Granty"/>
    <x v="54"/>
    <s v="8669"/>
    <m/>
    <s v="8669 - "/>
    <s v="50115050     obvazový materiál (sk.Z_502)"/>
    <x v="12"/>
    <x v="0"/>
    <n v="8.5999999999999993E-2"/>
    <n v="0"/>
  </r>
  <r>
    <s v="86"/>
    <s v="86"/>
    <s v="Granty"/>
    <x v="54"/>
    <s v="8669"/>
    <m/>
    <s v="8669 - "/>
    <s v="50115060     ostatní ZPr - mimo níže uvedené (sk.Z_503)"/>
    <x v="1"/>
    <x v="0"/>
    <n v="5.9270999999999994"/>
    <n v="0"/>
  </r>
  <r>
    <s v="86"/>
    <s v="86"/>
    <s v="Granty"/>
    <x v="54"/>
    <s v="8669"/>
    <m/>
    <s v="8669 - "/>
    <s v="50115067     ostatní ZPr - rukavice (sk.Z_532)"/>
    <x v="15"/>
    <x v="0"/>
    <n v="0.37"/>
    <n v="0"/>
  </r>
  <r>
    <s v="86"/>
    <s v="86"/>
    <s v="Granty"/>
    <x v="54"/>
    <s v="8670"/>
    <m/>
    <s v="8670 - "/>
    <s v="50115     Zdravotnické prostředky"/>
    <x v="0"/>
    <x v="0"/>
    <n v="49.609799999998998"/>
    <n v="0"/>
  </r>
  <r>
    <s v="86"/>
    <s v="86"/>
    <s v="Granty"/>
    <x v="54"/>
    <s v="8670"/>
    <m/>
    <s v="8670 - "/>
    <s v="50115020     diagnostika laboratorní-LEK (sk.Z_501)"/>
    <x v="10"/>
    <x v="0"/>
    <n v="36.977399999999001"/>
    <n v="0"/>
  </r>
  <r>
    <s v="86"/>
    <s v="86"/>
    <s v="Granty"/>
    <x v="54"/>
    <s v="8670"/>
    <m/>
    <s v="8670 - "/>
    <s v="50115060     ostatní ZPr - mimo níže uvedené (sk.Z_503)"/>
    <x v="1"/>
    <x v="0"/>
    <n v="12.632400000000001"/>
    <n v="0"/>
  </r>
  <r>
    <s v="86"/>
    <s v="86"/>
    <s v="Granty"/>
    <x v="54"/>
    <s v="8671"/>
    <m/>
    <s v="8671 - "/>
    <s v="50113     Léky a léčiva"/>
    <x v="2"/>
    <x v="0"/>
    <n v="338.36"/>
    <n v="0"/>
  </r>
  <r>
    <s v="86"/>
    <s v="86"/>
    <s v="Granty"/>
    <x v="54"/>
    <s v="8671"/>
    <m/>
    <s v="8671 - "/>
    <s v="50113     Léky a léčiva"/>
    <x v="2"/>
    <x v="1"/>
    <n v="343.88769000000002"/>
    <n v="0"/>
  </r>
  <r>
    <s v="86"/>
    <s v="86"/>
    <s v="Granty"/>
    <x v="54"/>
    <s v="8671"/>
    <m/>
    <s v="8671 - "/>
    <s v="50113003     léky ostatní - faktury (VaV)"/>
    <x v="63"/>
    <x v="0"/>
    <n v="259.23815999999999"/>
    <n v="0"/>
  </r>
  <r>
    <s v="86"/>
    <s v="86"/>
    <s v="Granty"/>
    <x v="54"/>
    <s v="8671"/>
    <m/>
    <s v="8671 - "/>
    <s v="50113003     léky ostatní - faktury (VaV)"/>
    <x v="63"/>
    <x v="1"/>
    <n v="314.21699999999998"/>
    <n v="0"/>
  </r>
  <r>
    <s v="86"/>
    <s v="86"/>
    <s v="Granty"/>
    <x v="54"/>
    <s v="8671"/>
    <m/>
    <s v="8671 - "/>
    <s v="50113009     léky - RTG diagnostika ZUL (LEK)"/>
    <x v="22"/>
    <x v="0"/>
    <n v="79.121840000000006"/>
    <n v="0"/>
  </r>
  <r>
    <s v="86"/>
    <s v="86"/>
    <s v="Granty"/>
    <x v="54"/>
    <s v="8671"/>
    <m/>
    <s v="8671 - "/>
    <s v="50113009     léky - RTG diagnostika ZUL (LEK)"/>
    <x v="22"/>
    <x v="1"/>
    <n v="29.67069"/>
    <n v="0"/>
  </r>
  <r>
    <s v="86"/>
    <s v="86"/>
    <s v="Granty"/>
    <x v="54"/>
    <s v="8671"/>
    <m/>
    <s v="8671 - "/>
    <s v="50115     Zdravotnické prostředky"/>
    <x v="0"/>
    <x v="0"/>
    <n v="101.64"/>
    <n v="0"/>
  </r>
  <r>
    <s v="86"/>
    <s v="86"/>
    <s v="Granty"/>
    <x v="54"/>
    <s v="8671"/>
    <m/>
    <s v="8671 - "/>
    <s v="50115     Zdravotnické prostředky"/>
    <x v="0"/>
    <x v="1"/>
    <n v="96.112309999999994"/>
    <n v="0"/>
  </r>
  <r>
    <s v="86"/>
    <s v="86"/>
    <s v="Granty"/>
    <x v="54"/>
    <s v="8671"/>
    <m/>
    <s v="8671 - "/>
    <s v="50115060     ostatní ZPr - mimo níže uvedené (sk.Z_503)"/>
    <x v="1"/>
    <x v="0"/>
    <n v="101.64"/>
    <n v="0"/>
  </r>
  <r>
    <s v="86"/>
    <s v="86"/>
    <s v="Granty"/>
    <x v="54"/>
    <s v="8671"/>
    <m/>
    <s v="8671 - "/>
    <s v="50115060     ostatní ZPr - mimo níže uvedené (sk.Z_503)"/>
    <x v="1"/>
    <x v="1"/>
    <n v="96.112309999999994"/>
    <n v="0"/>
  </r>
  <r>
    <s v="86"/>
    <s v="86"/>
    <s v="Granty"/>
    <x v="54"/>
    <s v="8673"/>
    <m/>
    <s v="8673 - "/>
    <s v="50113     Léky a léčiva"/>
    <x v="2"/>
    <x v="0"/>
    <n v="0.84909999999999997"/>
    <n v="0"/>
  </r>
  <r>
    <s v="86"/>
    <s v="86"/>
    <s v="Granty"/>
    <x v="54"/>
    <s v="8673"/>
    <m/>
    <s v="8673 - "/>
    <s v="50113     Léky a léčiva"/>
    <x v="2"/>
    <x v="1"/>
    <n v="0.32958999999999999"/>
    <n v="0"/>
  </r>
  <r>
    <s v="86"/>
    <s v="86"/>
    <s v="Granty"/>
    <x v="54"/>
    <s v="8673"/>
    <m/>
    <s v="8673 - "/>
    <s v="50113001     léky - paušál+TISS (LEK)"/>
    <x v="3"/>
    <x v="0"/>
    <n v="0.84909999999999997"/>
    <n v="0"/>
  </r>
  <r>
    <s v="86"/>
    <s v="86"/>
    <s v="Granty"/>
    <x v="54"/>
    <s v="8673"/>
    <m/>
    <s v="8673 - "/>
    <s v="50113001     léky - paušál+TISS (LEK)"/>
    <x v="3"/>
    <x v="1"/>
    <n v="0.32958999999999999"/>
    <n v="0"/>
  </r>
  <r>
    <s v="86"/>
    <s v="86"/>
    <s v="Granty"/>
    <x v="54"/>
    <s v="8673"/>
    <m/>
    <s v="8673 - "/>
    <s v="50115     Zdravotnické prostředky"/>
    <x v="0"/>
    <x v="0"/>
    <n v="46.50195999999999"/>
    <n v="0"/>
  </r>
  <r>
    <s v="86"/>
    <s v="86"/>
    <s v="Granty"/>
    <x v="54"/>
    <s v="8673"/>
    <m/>
    <s v="8673 - "/>
    <s v="50115     Zdravotnické prostředky"/>
    <x v="0"/>
    <x v="1"/>
    <n v="39.170200000000001"/>
    <n v="0"/>
  </r>
  <r>
    <s v="86"/>
    <s v="86"/>
    <s v="Granty"/>
    <x v="54"/>
    <s v="8673"/>
    <m/>
    <s v="8673 - "/>
    <s v="50115020     diagnostika laboratorní-LEK (sk.Z_501)"/>
    <x v="10"/>
    <x v="0"/>
    <n v="23.580099999999"/>
    <n v="0"/>
  </r>
  <r>
    <s v="86"/>
    <s v="86"/>
    <s v="Granty"/>
    <x v="54"/>
    <s v="8673"/>
    <m/>
    <s v="8673 - "/>
    <s v="50115020     diagnostika laboratorní-LEK (sk.Z_501)"/>
    <x v="10"/>
    <x v="1"/>
    <n v="22.576000000000001"/>
    <n v="0"/>
  </r>
  <r>
    <s v="86"/>
    <s v="86"/>
    <s v="Granty"/>
    <x v="54"/>
    <s v="8673"/>
    <m/>
    <s v="8673 - "/>
    <s v="50115040     laboratorní materiál (sk.Z_505)"/>
    <x v="11"/>
    <x v="0"/>
    <n v="0.37735000000000002"/>
    <n v="0"/>
  </r>
  <r>
    <s v="86"/>
    <s v="86"/>
    <s v="Granty"/>
    <x v="54"/>
    <s v="8673"/>
    <m/>
    <s v="8673 - "/>
    <s v="50115050     obvazový materiál (sk.Z_502)"/>
    <x v="12"/>
    <x v="0"/>
    <n v="0.245"/>
    <n v="0"/>
  </r>
  <r>
    <s v="86"/>
    <s v="86"/>
    <s v="Granty"/>
    <x v="54"/>
    <s v="8673"/>
    <m/>
    <s v="8673 - "/>
    <s v="50115060     ostatní ZPr - mimo níže uvedené (sk.Z_503)"/>
    <x v="1"/>
    <x v="0"/>
    <n v="20.543509999998999"/>
    <n v="0"/>
  </r>
  <r>
    <s v="86"/>
    <s v="86"/>
    <s v="Granty"/>
    <x v="54"/>
    <s v="8673"/>
    <m/>
    <s v="8673 - "/>
    <s v="50115060     ostatní ZPr - mimo níže uvedené (sk.Z_503)"/>
    <x v="1"/>
    <x v="1"/>
    <n v="16.452199999999998"/>
    <n v="0"/>
  </r>
  <r>
    <s v="86"/>
    <s v="86"/>
    <s v="Granty"/>
    <x v="54"/>
    <s v="8673"/>
    <m/>
    <s v="8673 - "/>
    <s v="50115065     ostatní ZPr - vpichovací materiál (sk.Z_530)"/>
    <x v="14"/>
    <x v="0"/>
    <n v="5.9999999998999999E-2"/>
    <n v="0"/>
  </r>
  <r>
    <s v="86"/>
    <s v="86"/>
    <s v="Granty"/>
    <x v="54"/>
    <s v="8673"/>
    <m/>
    <s v="8673 - "/>
    <s v="50115067     ostatní ZPr - rukavice (sk.Z_532)"/>
    <x v="15"/>
    <x v="0"/>
    <n v="1.6960000000000002"/>
    <n v="0"/>
  </r>
  <r>
    <s v="86"/>
    <s v="86"/>
    <s v="Granty"/>
    <x v="54"/>
    <s v="8673"/>
    <m/>
    <s v="8673 - "/>
    <s v="50115067     ostatní ZPr - rukavice (sk.Z_532)"/>
    <x v="15"/>
    <x v="1"/>
    <n v="0.14199999999999999"/>
    <n v="0"/>
  </r>
  <r>
    <s v="86"/>
    <s v="86"/>
    <s v="Granty"/>
    <x v="54"/>
    <s v="8674"/>
    <m/>
    <s v="8674 - "/>
    <s v="50115     Zdravotnické prostředky"/>
    <x v="0"/>
    <x v="0"/>
    <n v="3.0068099999999998"/>
    <n v="0"/>
  </r>
  <r>
    <s v="86"/>
    <s v="86"/>
    <s v="Granty"/>
    <x v="54"/>
    <s v="8674"/>
    <m/>
    <s v="8674 - "/>
    <s v="50115050     obvazový materiál (sk.Z_502)"/>
    <x v="12"/>
    <x v="0"/>
    <n v="5.2040000000000003E-2"/>
    <n v="0"/>
  </r>
  <r>
    <s v="86"/>
    <s v="86"/>
    <s v="Granty"/>
    <x v="54"/>
    <s v="8674"/>
    <m/>
    <s v="8674 - "/>
    <s v="50115060     ostatní ZPr - mimo níže uvedené (sk.Z_503)"/>
    <x v="1"/>
    <x v="0"/>
    <n v="2.2287699999999999"/>
    <n v="0"/>
  </r>
  <r>
    <s v="86"/>
    <s v="86"/>
    <s v="Granty"/>
    <x v="54"/>
    <s v="8674"/>
    <m/>
    <s v="8674 - "/>
    <s v="50115067     ostatní ZPr - rukavice (sk.Z_532)"/>
    <x v="15"/>
    <x v="0"/>
    <n v="0.72599999999999998"/>
    <n v="0"/>
  </r>
  <r>
    <s v="86"/>
    <s v="86"/>
    <s v="Granty"/>
    <x v="54"/>
    <s v="8675"/>
    <m/>
    <s v="8675 - "/>
    <s v="50115     Zdravotnické prostředky"/>
    <x v="0"/>
    <x v="0"/>
    <n v="80"/>
    <n v="0"/>
  </r>
  <r>
    <s v="86"/>
    <s v="86"/>
    <s v="Granty"/>
    <x v="54"/>
    <s v="8675"/>
    <m/>
    <s v="8675 - "/>
    <s v="50115020     diagnostika laboratorní-LEK (sk.Z_501)"/>
    <x v="10"/>
    <x v="0"/>
    <n v="80"/>
    <n v="0"/>
  </r>
  <r>
    <s v="86"/>
    <s v="86"/>
    <s v="Granty"/>
    <x v="54"/>
    <s v="8676"/>
    <s v="Prof. MUDr. Vítězslav Kolek, DrSc. - PLIC"/>
    <s v="8676 - Prof. MUDr. Vítězslav Kolek, DrSc. - PLIC"/>
    <s v="50115     Zdravotnické prostředky"/>
    <x v="0"/>
    <x v="0"/>
    <n v="251.58596999999901"/>
    <n v="0"/>
  </r>
  <r>
    <s v="86"/>
    <s v="86"/>
    <s v="Granty"/>
    <x v="54"/>
    <s v="8676"/>
    <s v="Prof. MUDr. Vítězslav Kolek, DrSc. - PLIC"/>
    <s v="8676 - Prof. MUDr. Vítězslav Kolek, DrSc. - PLIC"/>
    <s v="50115     Zdravotnické prostředky"/>
    <x v="0"/>
    <x v="1"/>
    <n v="259.13712999999899"/>
    <n v="0"/>
  </r>
  <r>
    <s v="86"/>
    <s v="86"/>
    <s v="Granty"/>
    <x v="54"/>
    <s v="8676"/>
    <s v="Prof. MUDr. Vítězslav Kolek, DrSc. - PLIC"/>
    <s v="8676 - Prof. MUDr. Vítězslav Kolek, DrSc. - PLIC"/>
    <s v="50115     Zdravotnické prostředky"/>
    <x v="0"/>
    <x v="2"/>
    <n v="79.62894"/>
    <n v="0"/>
  </r>
  <r>
    <s v="86"/>
    <s v="86"/>
    <s v="Granty"/>
    <x v="54"/>
    <s v="8676"/>
    <s v="Prof. MUDr. Vítězslav Kolek, DrSc. - PLIC"/>
    <s v="8676 - Prof. MUDr. Vítězslav Kolek, DrSc. - PLIC"/>
    <s v="50115020     diagnostika laboratorní-LEK (sk.Z_501)"/>
    <x v="10"/>
    <x v="0"/>
    <n v="159.88531"/>
    <n v="0"/>
  </r>
  <r>
    <s v="86"/>
    <s v="86"/>
    <s v="Granty"/>
    <x v="54"/>
    <s v="8676"/>
    <s v="Prof. MUDr. Vítězslav Kolek, DrSc. - PLIC"/>
    <s v="8676 - Prof. MUDr. Vítězslav Kolek, DrSc. - PLIC"/>
    <s v="50115020     diagnostika laboratorní-LEK (sk.Z_501)"/>
    <x v="10"/>
    <x v="1"/>
    <n v="222.63038"/>
    <n v="0"/>
  </r>
  <r>
    <s v="86"/>
    <s v="86"/>
    <s v="Granty"/>
    <x v="54"/>
    <s v="8676"/>
    <s v="Prof. MUDr. Vítězslav Kolek, DrSc. - PLIC"/>
    <s v="8676 - Prof. MUDr. Vítězslav Kolek, DrSc. - PLIC"/>
    <s v="50115020     diagnostika laboratorní-LEK (sk.Z_501)"/>
    <x v="10"/>
    <x v="2"/>
    <n v="37.900580000000005"/>
    <n v="0"/>
  </r>
  <r>
    <s v="86"/>
    <s v="86"/>
    <s v="Granty"/>
    <x v="54"/>
    <s v="8676"/>
    <s v="Prof. MUDr. Vítězslav Kolek, DrSc. - PLIC"/>
    <s v="8676 - Prof. MUDr. Vítězslav Kolek, DrSc. - PLIC"/>
    <s v="50115040     laboratorní materiál (sk.Z_505)"/>
    <x v="11"/>
    <x v="0"/>
    <n v="35.879570000000001"/>
    <n v="0"/>
  </r>
  <r>
    <s v="86"/>
    <s v="86"/>
    <s v="Granty"/>
    <x v="54"/>
    <s v="8676"/>
    <s v="Prof. MUDr. Vítězslav Kolek, DrSc. - PLIC"/>
    <s v="8676 - Prof. MUDr. Vítězslav Kolek, DrSc. - PLIC"/>
    <s v="50115040     laboratorní materiál (sk.Z_505)"/>
    <x v="11"/>
    <x v="1"/>
    <n v="3.8834499999999998"/>
    <n v="0"/>
  </r>
  <r>
    <s v="86"/>
    <s v="86"/>
    <s v="Granty"/>
    <x v="54"/>
    <s v="8676"/>
    <s v="Prof. MUDr. Vítězslav Kolek, DrSc. - PLIC"/>
    <s v="8676 - Prof. MUDr. Vítězslav Kolek, DrSc. - PLIC"/>
    <s v="50115040     laboratorní materiál (sk.Z_505)"/>
    <x v="11"/>
    <x v="2"/>
    <n v="9.0020000000000007"/>
    <n v="0"/>
  </r>
  <r>
    <s v="86"/>
    <s v="86"/>
    <s v="Granty"/>
    <x v="54"/>
    <s v="8676"/>
    <s v="Prof. MUDr. Vítězslav Kolek, DrSc. - PLIC"/>
    <s v="8676 - Prof. MUDr. Vítězslav Kolek, DrSc. - PLIC"/>
    <s v="50115050     obvazový materiál (sk.Z_502)"/>
    <x v="12"/>
    <x v="0"/>
    <n v="3.0452000000000004"/>
    <n v="0"/>
  </r>
  <r>
    <s v="86"/>
    <s v="86"/>
    <s v="Granty"/>
    <x v="54"/>
    <s v="8676"/>
    <s v="Prof. MUDr. Vítězslav Kolek, DrSc. - PLIC"/>
    <s v="8676 - Prof. MUDr. Vítězslav Kolek, DrSc. - PLIC"/>
    <s v="50115060     ostatní ZPr - mimo níže uvedené (sk.Z_503)"/>
    <x v="1"/>
    <x v="0"/>
    <n v="31.424859999999995"/>
    <n v="0"/>
  </r>
  <r>
    <s v="86"/>
    <s v="86"/>
    <s v="Granty"/>
    <x v="54"/>
    <s v="8676"/>
    <s v="Prof. MUDr. Vítězslav Kolek, DrSc. - PLIC"/>
    <s v="8676 - Prof. MUDr. Vítězslav Kolek, DrSc. - PLIC"/>
    <s v="50115060     ostatní ZPr - mimo níže uvedené (sk.Z_503)"/>
    <x v="1"/>
    <x v="1"/>
    <n v="24.307300000000001"/>
    <n v="0"/>
  </r>
  <r>
    <s v="86"/>
    <s v="86"/>
    <s v="Granty"/>
    <x v="54"/>
    <s v="8676"/>
    <s v="Prof. MUDr. Vítězslav Kolek, DrSc. - PLIC"/>
    <s v="8676 - Prof. MUDr. Vítězslav Kolek, DrSc. - PLIC"/>
    <s v="50115060     ostatní ZPr - mimo níže uvedené (sk.Z_503)"/>
    <x v="1"/>
    <x v="2"/>
    <n v="32.091360000000002"/>
    <n v="0"/>
  </r>
  <r>
    <s v="86"/>
    <s v="86"/>
    <s v="Granty"/>
    <x v="54"/>
    <s v="8676"/>
    <s v="Prof. MUDr. Vítězslav Kolek, DrSc. - PLIC"/>
    <s v="8676 - Prof. MUDr. Vítězslav Kolek, DrSc. - PLIC"/>
    <s v="50115065     ostatní ZPr - vpichovací materiál (sk.Z_530)"/>
    <x v="14"/>
    <x v="1"/>
    <n v="3.488"/>
    <n v="0"/>
  </r>
  <r>
    <s v="86"/>
    <s v="86"/>
    <s v="Granty"/>
    <x v="54"/>
    <s v="8676"/>
    <s v="Prof. MUDr. Vítězslav Kolek, DrSc. - PLIC"/>
    <s v="8676 - Prof. MUDr. Vítězslav Kolek, DrSc. - PLIC"/>
    <s v="50115065     ostatní ZPr - vpichovací materiál (sk.Z_530)"/>
    <x v="14"/>
    <x v="2"/>
    <n v="0.63500000000000001"/>
    <n v="0"/>
  </r>
  <r>
    <s v="86"/>
    <s v="86"/>
    <s v="Granty"/>
    <x v="54"/>
    <s v="8676"/>
    <s v="Prof. MUDr. Vítězslav Kolek, DrSc. - PLIC"/>
    <s v="8676 - Prof. MUDr. Vítězslav Kolek, DrSc. - PLIC"/>
    <s v="50115067     ostatní ZPr - rukavice (sk.Z_532)"/>
    <x v="15"/>
    <x v="0"/>
    <n v="12.069000000000001"/>
    <n v="0"/>
  </r>
  <r>
    <s v="86"/>
    <s v="86"/>
    <s v="Granty"/>
    <x v="54"/>
    <s v="8676"/>
    <s v="Prof. MUDr. Vítězslav Kolek, DrSc. - PLIC"/>
    <s v="8676 - Prof. MUDr. Vítězslav Kolek, DrSc. - PLIC"/>
    <s v="50115067     ostatní ZPr - rukavice (sk.Z_532)"/>
    <x v="15"/>
    <x v="1"/>
    <n v="4.8280000000000003"/>
    <n v="0"/>
  </r>
  <r>
    <s v="86"/>
    <s v="86"/>
    <s v="Granty"/>
    <x v="54"/>
    <s v="8676"/>
    <s v="Prof. MUDr. Vítězslav Kolek, DrSc. - PLIC"/>
    <s v="8676 - Prof. MUDr. Vítězslav Kolek, DrSc. - PLIC"/>
    <s v="50115070     ostatní ZPr - katetry (sk.Z_513)"/>
    <x v="16"/>
    <x v="0"/>
    <n v="9.2820300000000007"/>
    <n v="0"/>
  </r>
  <r>
    <s v="86"/>
    <s v="86"/>
    <s v="Granty"/>
    <x v="54"/>
    <s v="8677"/>
    <m/>
    <s v="8677 - "/>
    <s v="50115     Zdravotnické prostředky"/>
    <x v="0"/>
    <x v="0"/>
    <n v="274.50648999999999"/>
    <n v="0"/>
  </r>
  <r>
    <s v="86"/>
    <s v="86"/>
    <s v="Granty"/>
    <x v="54"/>
    <s v="8677"/>
    <m/>
    <s v="8677 - "/>
    <s v="50115020     diagnostika laboratorní-LEK (sk.Z_501)"/>
    <x v="10"/>
    <x v="0"/>
    <n v="244.55649"/>
    <n v="0"/>
  </r>
  <r>
    <s v="86"/>
    <s v="86"/>
    <s v="Granty"/>
    <x v="54"/>
    <s v="8677"/>
    <m/>
    <s v="8677 - "/>
    <s v="50115040     laboratorní materiál (sk.Z_505)"/>
    <x v="11"/>
    <x v="0"/>
    <n v="28.556000000000001"/>
    <n v="0"/>
  </r>
  <r>
    <s v="86"/>
    <s v="86"/>
    <s v="Granty"/>
    <x v="54"/>
    <s v="8677"/>
    <m/>
    <s v="8677 - "/>
    <s v="50115067     ostatní ZPr - rukavice (sk.Z_532)"/>
    <x v="15"/>
    <x v="0"/>
    <n v="1.3939999999999999"/>
    <n v="0"/>
  </r>
  <r>
    <s v="86"/>
    <s v="86"/>
    <s v="Granty"/>
    <x v="54"/>
    <s v="8678"/>
    <m/>
    <s v="8678 - "/>
    <s v="50115     Zdravotnické prostředky"/>
    <x v="0"/>
    <x v="0"/>
    <n v="21.904059999999998"/>
    <n v="0"/>
  </r>
  <r>
    <s v="86"/>
    <s v="86"/>
    <s v="Granty"/>
    <x v="54"/>
    <s v="8678"/>
    <m/>
    <s v="8678 - "/>
    <s v="50115020     diagnostika laboratorní-LEK (sk.Z_501)"/>
    <x v="10"/>
    <x v="0"/>
    <n v="21.763059999999999"/>
    <n v="0"/>
  </r>
  <r>
    <s v="86"/>
    <s v="86"/>
    <s v="Granty"/>
    <x v="54"/>
    <s v="8678"/>
    <m/>
    <s v="8678 - "/>
    <s v="50115060     ostatní ZPr - mimo níže uvedené (sk.Z_503)"/>
    <x v="1"/>
    <x v="0"/>
    <n v="0.14099999999999999"/>
    <n v="0"/>
  </r>
  <r>
    <s v="86"/>
    <s v="86"/>
    <s v="Granty"/>
    <x v="54"/>
    <s v="8681"/>
    <s v="Prof.MUDr. Martin Petřek, CSc. - OKB"/>
    <s v="8681 - Prof.MUDr. Martin Petřek, CSc. - OKB"/>
    <s v="50115     Zdravotnické prostředky"/>
    <x v="0"/>
    <x v="0"/>
    <n v="554.12"/>
    <n v="0"/>
  </r>
  <r>
    <s v="86"/>
    <s v="86"/>
    <s v="Granty"/>
    <x v="54"/>
    <s v="8681"/>
    <s v="Prof.MUDr. Martin Petřek, CSc. - OKB"/>
    <s v="8681 - Prof.MUDr. Martin Petřek, CSc. - OKB"/>
    <s v="50115     Zdravotnické prostředky"/>
    <x v="0"/>
    <x v="1"/>
    <n v="554.25319999999999"/>
    <n v="0"/>
  </r>
  <r>
    <s v="86"/>
    <s v="86"/>
    <s v="Granty"/>
    <x v="54"/>
    <s v="8681"/>
    <s v="Prof.MUDr. Martin Petřek, CSc. - OKB"/>
    <s v="8681 - Prof.MUDr. Martin Petřek, CSc. - OKB"/>
    <s v="50115     Zdravotnické prostředky"/>
    <x v="0"/>
    <x v="2"/>
    <n v="185.85599999999999"/>
    <n v="0"/>
  </r>
  <r>
    <s v="86"/>
    <s v="86"/>
    <s v="Granty"/>
    <x v="54"/>
    <s v="8681"/>
    <s v="Prof.MUDr. Martin Petřek, CSc. - OKB"/>
    <s v="8681 - Prof.MUDr. Martin Petřek, CSc. - OKB"/>
    <s v="50115020     diagnostika laboratorní-LEK (sk.Z_501)"/>
    <x v="10"/>
    <x v="0"/>
    <n v="550.20991000000004"/>
    <n v="0"/>
  </r>
  <r>
    <s v="86"/>
    <s v="86"/>
    <s v="Granty"/>
    <x v="54"/>
    <s v="8681"/>
    <s v="Prof.MUDr. Martin Petřek, CSc. - OKB"/>
    <s v="8681 - Prof.MUDr. Martin Petřek, CSc. - OKB"/>
    <s v="50115020     diagnostika laboratorní-LEK (sk.Z_501)"/>
    <x v="10"/>
    <x v="1"/>
    <n v="543.34384"/>
    <n v="0"/>
  </r>
  <r>
    <s v="86"/>
    <s v="86"/>
    <s v="Granty"/>
    <x v="54"/>
    <s v="8681"/>
    <s v="Prof.MUDr. Martin Petřek, CSc. - OKB"/>
    <s v="8681 - Prof.MUDr. Martin Petřek, CSc. - OKB"/>
    <s v="50115020     diagnostika laboratorní-LEK (sk.Z_501)"/>
    <x v="10"/>
    <x v="2"/>
    <n v="185.85599999999999"/>
    <n v="0"/>
  </r>
  <r>
    <s v="86"/>
    <s v="86"/>
    <s v="Granty"/>
    <x v="54"/>
    <s v="8681"/>
    <s v="Prof.MUDr. Martin Petřek, CSc. - OKB"/>
    <s v="8681 - Prof.MUDr. Martin Petřek, CSc. - OKB"/>
    <s v="50115040     laboratorní materiál (sk.Z_505)"/>
    <x v="11"/>
    <x v="0"/>
    <n v="1.1335"/>
    <n v="0"/>
  </r>
  <r>
    <s v="86"/>
    <s v="86"/>
    <s v="Granty"/>
    <x v="54"/>
    <s v="8681"/>
    <s v="Prof.MUDr. Martin Petřek, CSc. - OKB"/>
    <s v="8681 - Prof.MUDr. Martin Petřek, CSc. - OKB"/>
    <s v="50115060     ostatní ZPr - mimo níže uvedené (sk.Z_503)"/>
    <x v="1"/>
    <x v="0"/>
    <n v="2.7765900000000001"/>
    <n v="0"/>
  </r>
  <r>
    <s v="86"/>
    <s v="86"/>
    <s v="Granty"/>
    <x v="54"/>
    <s v="8681"/>
    <s v="Prof.MUDr. Martin Petřek, CSc. - OKB"/>
    <s v="8681 - Prof.MUDr. Martin Petřek, CSc. - OKB"/>
    <s v="50115060     ostatní ZPr - mimo níže uvedené (sk.Z_503)"/>
    <x v="1"/>
    <x v="1"/>
    <n v="10.90936"/>
    <n v="0"/>
  </r>
  <r>
    <s v="86"/>
    <s v="86"/>
    <s v="Granty"/>
    <x v="54"/>
    <s v="8682"/>
    <s v="Prof.MUDr. Martin Petřek, CSc. - OKB"/>
    <s v="8682 - Prof.MUDr. Martin Petřek, CSc. - OKB"/>
    <s v="50115     Zdravotnické prostředky"/>
    <x v="0"/>
    <x v="0"/>
    <n v="119.66243999999998"/>
    <n v="0"/>
  </r>
  <r>
    <s v="86"/>
    <s v="86"/>
    <s v="Granty"/>
    <x v="54"/>
    <s v="8682"/>
    <s v="Prof.MUDr. Martin Petřek, CSc. - OKB"/>
    <s v="8682 - Prof.MUDr. Martin Petřek, CSc. - OKB"/>
    <s v="50115     Zdravotnické prostředky"/>
    <x v="0"/>
    <x v="1"/>
    <n v="111.67662"/>
    <n v="0"/>
  </r>
  <r>
    <s v="86"/>
    <s v="86"/>
    <s v="Granty"/>
    <x v="54"/>
    <s v="8682"/>
    <s v="Prof.MUDr. Martin Petřek, CSc. - OKB"/>
    <s v="8682 - Prof.MUDr. Martin Petřek, CSc. - OKB"/>
    <s v="50115020     diagnostika laboratorní-LEK (sk.Z_501)"/>
    <x v="10"/>
    <x v="0"/>
    <n v="76.458110000000005"/>
    <n v="0"/>
  </r>
  <r>
    <s v="86"/>
    <s v="86"/>
    <s v="Granty"/>
    <x v="54"/>
    <s v="8682"/>
    <s v="Prof.MUDr. Martin Petřek, CSc. - OKB"/>
    <s v="8682 - Prof.MUDr. Martin Petřek, CSc. - OKB"/>
    <s v="50115020     diagnostika laboratorní-LEK (sk.Z_501)"/>
    <x v="10"/>
    <x v="1"/>
    <n v="55.084850000000003"/>
    <n v="0"/>
  </r>
  <r>
    <s v="86"/>
    <s v="86"/>
    <s v="Granty"/>
    <x v="54"/>
    <s v="8682"/>
    <s v="Prof.MUDr. Martin Petřek, CSc. - OKB"/>
    <s v="8682 - Prof.MUDr. Martin Petřek, CSc. - OKB"/>
    <s v="50115040     laboratorní materiál (sk.Z_505)"/>
    <x v="11"/>
    <x v="0"/>
    <n v="35.174570000000003"/>
    <n v="0"/>
  </r>
  <r>
    <s v="86"/>
    <s v="86"/>
    <s v="Granty"/>
    <x v="54"/>
    <s v="8682"/>
    <s v="Prof.MUDr. Martin Petřek, CSc. - OKB"/>
    <s v="8682 - Prof.MUDr. Martin Petřek, CSc. - OKB"/>
    <s v="50115040     laboratorní materiál (sk.Z_505)"/>
    <x v="11"/>
    <x v="1"/>
    <n v="32.5473"/>
    <n v="0"/>
  </r>
  <r>
    <s v="86"/>
    <s v="86"/>
    <s v="Granty"/>
    <x v="54"/>
    <s v="8682"/>
    <s v="Prof.MUDr. Martin Petřek, CSc. - OKB"/>
    <s v="8682 - Prof.MUDr. Martin Petřek, CSc. - OKB"/>
    <s v="50115050     obvazový materiál (sk.Z_502)"/>
    <x v="12"/>
    <x v="0"/>
    <n v="0.71275999999999995"/>
    <n v="0"/>
  </r>
  <r>
    <s v="86"/>
    <s v="86"/>
    <s v="Granty"/>
    <x v="54"/>
    <s v="8682"/>
    <s v="Prof.MUDr. Martin Petřek, CSc. - OKB"/>
    <s v="8682 - Prof.MUDr. Martin Petřek, CSc. - OKB"/>
    <s v="50115050     obvazový materiál (sk.Z_502)"/>
    <x v="12"/>
    <x v="1"/>
    <n v="0.91693000000000002"/>
    <n v="0"/>
  </r>
  <r>
    <s v="86"/>
    <s v="86"/>
    <s v="Granty"/>
    <x v="54"/>
    <s v="8682"/>
    <s v="Prof.MUDr. Martin Petřek, CSc. - OKB"/>
    <s v="8682 - Prof.MUDr. Martin Petřek, CSc. - OKB"/>
    <s v="50115060     ostatní ZPr - mimo níže uvedené (sk.Z_503)"/>
    <x v="1"/>
    <x v="0"/>
    <n v="4.8789999999999996"/>
    <n v="0"/>
  </r>
  <r>
    <s v="86"/>
    <s v="86"/>
    <s v="Granty"/>
    <x v="54"/>
    <s v="8682"/>
    <s v="Prof.MUDr. Martin Petřek, CSc. - OKB"/>
    <s v="8682 - Prof.MUDr. Martin Petřek, CSc. - OKB"/>
    <s v="50115060     ostatní ZPr - mimo níže uvedené (sk.Z_503)"/>
    <x v="1"/>
    <x v="1"/>
    <n v="22.401540000000001"/>
    <n v="0"/>
  </r>
  <r>
    <s v="86"/>
    <s v="86"/>
    <s v="Granty"/>
    <x v="54"/>
    <s v="8682"/>
    <s v="Prof.MUDr. Martin Petřek, CSc. - OKB"/>
    <s v="8682 - Prof.MUDr. Martin Petřek, CSc. - OKB"/>
    <s v="50115067     ostatní ZPr - rukavice (sk.Z_532)"/>
    <x v="15"/>
    <x v="0"/>
    <n v="2.4380000000000002"/>
    <n v="0"/>
  </r>
  <r>
    <s v="86"/>
    <s v="86"/>
    <s v="Granty"/>
    <x v="54"/>
    <s v="8682"/>
    <s v="Prof.MUDr. Martin Petřek, CSc. - OKB"/>
    <s v="8682 - Prof.MUDr. Martin Petřek, CSc. - OKB"/>
    <s v="50115067     ostatní ZPr - rukavice (sk.Z_532)"/>
    <x v="15"/>
    <x v="1"/>
    <n v="0.72599999999999998"/>
    <n v="0"/>
  </r>
  <r>
    <s v="86"/>
    <s v="86"/>
    <s v="Granty"/>
    <x v="54"/>
    <s v="8683"/>
    <s v="Prof.MUDr. Vítězslav Kolek, DrSc. - PLIC"/>
    <s v="8683 - Prof.MUDr. Vítězslav Kolek, DrSc. - PLIC"/>
    <s v="50113     Léky a léčiva"/>
    <x v="2"/>
    <x v="0"/>
    <n v="9.6939999999000007E-2"/>
    <n v="0"/>
  </r>
  <r>
    <s v="86"/>
    <s v="86"/>
    <s v="Granty"/>
    <x v="54"/>
    <s v="8683"/>
    <s v="Prof.MUDr. Vítězslav Kolek, DrSc. - PLIC"/>
    <s v="8683 - Prof.MUDr. Vítězslav Kolek, DrSc. - PLIC"/>
    <s v="50113001     léky - paušál+TISS (LEK)"/>
    <x v="3"/>
    <x v="0"/>
    <n v="9.6939999999000007E-2"/>
    <n v="0"/>
  </r>
  <r>
    <s v="86"/>
    <s v="86"/>
    <s v="Granty"/>
    <x v="54"/>
    <s v="8683"/>
    <s v="Prof.MUDr. Vítězslav Kolek, DrSc. - PLIC"/>
    <s v="8683 - Prof.MUDr. Vítězslav Kolek, DrSc. - PLIC"/>
    <s v="50115     Zdravotnické prostředky"/>
    <x v="0"/>
    <x v="0"/>
    <n v="80.19149999999901"/>
    <n v="0"/>
  </r>
  <r>
    <s v="86"/>
    <s v="86"/>
    <s v="Granty"/>
    <x v="54"/>
    <s v="8683"/>
    <s v="Prof.MUDr. Vítězslav Kolek, DrSc. - PLIC"/>
    <s v="8683 - Prof.MUDr. Vítězslav Kolek, DrSc. - PLIC"/>
    <s v="50115     Zdravotnické prostředky"/>
    <x v="0"/>
    <x v="1"/>
    <n v="79.852540000000005"/>
    <n v="0"/>
  </r>
  <r>
    <s v="86"/>
    <s v="86"/>
    <s v="Granty"/>
    <x v="54"/>
    <s v="8683"/>
    <s v="Prof.MUDr. Vítězslav Kolek, DrSc. - PLIC"/>
    <s v="8683 - Prof.MUDr. Vítězslav Kolek, DrSc. - PLIC"/>
    <s v="50115     Zdravotnické prostředky"/>
    <x v="0"/>
    <x v="2"/>
    <n v="52.087679999999999"/>
    <n v="0"/>
  </r>
  <r>
    <s v="86"/>
    <s v="86"/>
    <s v="Granty"/>
    <x v="54"/>
    <s v="8683"/>
    <s v="Prof.MUDr. Vítězslav Kolek, DrSc. - PLIC"/>
    <s v="8683 - Prof.MUDr. Vítězslav Kolek, DrSc. - PLIC"/>
    <s v="50115020     diagnostika laboratorní-LEK (sk.Z_501)"/>
    <x v="10"/>
    <x v="0"/>
    <n v="53.605499999998997"/>
    <n v="0"/>
  </r>
  <r>
    <s v="86"/>
    <s v="86"/>
    <s v="Granty"/>
    <x v="54"/>
    <s v="8683"/>
    <s v="Prof.MUDr. Vítězslav Kolek, DrSc. - PLIC"/>
    <s v="8683 - Prof.MUDr. Vítězslav Kolek, DrSc. - PLIC"/>
    <s v="50115020     diagnostika laboratorní-LEK (sk.Z_501)"/>
    <x v="10"/>
    <x v="1"/>
    <n v="28.28847"/>
    <n v="0"/>
  </r>
  <r>
    <s v="86"/>
    <s v="86"/>
    <s v="Granty"/>
    <x v="54"/>
    <s v="8683"/>
    <s v="Prof.MUDr. Vítězslav Kolek, DrSc. - PLIC"/>
    <s v="8683 - Prof.MUDr. Vítězslav Kolek, DrSc. - PLIC"/>
    <s v="50115020     diagnostika laboratorní-LEK (sk.Z_501)"/>
    <x v="10"/>
    <x v="2"/>
    <n v="11.896719999999998"/>
    <n v="0"/>
  </r>
  <r>
    <s v="86"/>
    <s v="86"/>
    <s v="Granty"/>
    <x v="54"/>
    <s v="8683"/>
    <s v="Prof.MUDr. Vítězslav Kolek, DrSc. - PLIC"/>
    <s v="8683 - Prof.MUDr. Vítězslav Kolek, DrSc. - PLIC"/>
    <s v="50115040     laboratorní materiál (sk.Z_505)"/>
    <x v="11"/>
    <x v="0"/>
    <n v="0.44800000000000001"/>
    <n v="0"/>
  </r>
  <r>
    <s v="86"/>
    <s v="86"/>
    <s v="Granty"/>
    <x v="54"/>
    <s v="8683"/>
    <s v="Prof.MUDr. Vítězslav Kolek, DrSc. - PLIC"/>
    <s v="8683 - Prof.MUDr. Vítězslav Kolek, DrSc. - PLIC"/>
    <s v="50115050     obvazový materiál (sk.Z_502)"/>
    <x v="12"/>
    <x v="2"/>
    <n v="11.73058"/>
    <n v="0"/>
  </r>
  <r>
    <s v="86"/>
    <s v="86"/>
    <s v="Granty"/>
    <x v="54"/>
    <s v="8683"/>
    <s v="Prof.MUDr. Vítězslav Kolek, DrSc. - PLIC"/>
    <s v="8683 - Prof.MUDr. Vítězslav Kolek, DrSc. - PLIC"/>
    <s v="50115060     ostatní ZPr - mimo níže uvedené (sk.Z_503)"/>
    <x v="1"/>
    <x v="0"/>
    <n v="22.393000000000001"/>
    <n v="0"/>
  </r>
  <r>
    <s v="86"/>
    <s v="86"/>
    <s v="Granty"/>
    <x v="54"/>
    <s v="8683"/>
    <s v="Prof.MUDr. Vítězslav Kolek, DrSc. - PLIC"/>
    <s v="8683 - Prof.MUDr. Vítězslav Kolek, DrSc. - PLIC"/>
    <s v="50115060     ostatní ZPr - mimo níže uvedené (sk.Z_503)"/>
    <x v="1"/>
    <x v="1"/>
    <n v="30.979040000000001"/>
    <n v="0"/>
  </r>
  <r>
    <s v="86"/>
    <s v="86"/>
    <s v="Granty"/>
    <x v="54"/>
    <s v="8683"/>
    <s v="Prof.MUDr. Vítězslav Kolek, DrSc. - PLIC"/>
    <s v="8683 - Prof.MUDr. Vítězslav Kolek, DrSc. - PLIC"/>
    <s v="50115060     ostatní ZPr - mimo níže uvedené (sk.Z_503)"/>
    <x v="1"/>
    <x v="2"/>
    <n v="19.124379999999999"/>
    <n v="0"/>
  </r>
  <r>
    <s v="86"/>
    <s v="86"/>
    <s v="Granty"/>
    <x v="54"/>
    <s v="8683"/>
    <s v="Prof.MUDr. Vítězslav Kolek, DrSc. - PLIC"/>
    <s v="8683 - Prof.MUDr. Vítězslav Kolek, DrSc. - PLIC"/>
    <s v="50115063     ostatní ZPr - vaky, sety (sk.Z_528)"/>
    <x v="13"/>
    <x v="2"/>
    <n v="0.81599999999999995"/>
    <n v="0"/>
  </r>
  <r>
    <s v="86"/>
    <s v="86"/>
    <s v="Granty"/>
    <x v="54"/>
    <s v="8683"/>
    <s v="Prof.MUDr. Vítězslav Kolek, DrSc. - PLIC"/>
    <s v="8683 - Prof.MUDr. Vítězslav Kolek, DrSc. - PLIC"/>
    <s v="50115065     ostatní ZPr - vpichovací materiál (sk.Z_530)"/>
    <x v="14"/>
    <x v="0"/>
    <n v="2.9649999999999999"/>
    <n v="0"/>
  </r>
  <r>
    <s v="86"/>
    <s v="86"/>
    <s v="Granty"/>
    <x v="54"/>
    <s v="8683"/>
    <s v="Prof.MUDr. Vítězslav Kolek, DrSc. - PLIC"/>
    <s v="8683 - Prof.MUDr. Vítězslav Kolek, DrSc. - PLIC"/>
    <s v="50115065     ostatní ZPr - vpichovací materiál (sk.Z_530)"/>
    <x v="14"/>
    <x v="1"/>
    <n v="6.4749999999999996"/>
    <n v="0"/>
  </r>
  <r>
    <s v="86"/>
    <s v="86"/>
    <s v="Granty"/>
    <x v="54"/>
    <s v="8683"/>
    <s v="Prof.MUDr. Vítězslav Kolek, DrSc. - PLIC"/>
    <s v="8683 - Prof.MUDr. Vítězslav Kolek, DrSc. - PLIC"/>
    <s v="50115067     ostatní ZPr - rukavice (sk.Z_532)"/>
    <x v="15"/>
    <x v="0"/>
    <n v="0.78"/>
    <n v="0"/>
  </r>
  <r>
    <s v="86"/>
    <s v="86"/>
    <s v="Granty"/>
    <x v="54"/>
    <s v="8683"/>
    <s v="Prof.MUDr. Vítězslav Kolek, DrSc. - PLIC"/>
    <s v="8683 - Prof.MUDr. Vítězslav Kolek, DrSc. - PLIC"/>
    <s v="50115067     ostatní ZPr - rukavice (sk.Z_532)"/>
    <x v="15"/>
    <x v="1"/>
    <n v="4.8280000000000003"/>
    <n v="0"/>
  </r>
  <r>
    <s v="86"/>
    <s v="86"/>
    <s v="Granty"/>
    <x v="54"/>
    <s v="8683"/>
    <s v="Prof.MUDr. Vítězslav Kolek, DrSc. - PLIC"/>
    <s v="8683 - Prof.MUDr. Vítězslav Kolek, DrSc. - PLIC"/>
    <s v="50115067     ostatní ZPr - rukavice (sk.Z_532)"/>
    <x v="15"/>
    <x v="2"/>
    <n v="8.52"/>
    <n v="0"/>
  </r>
  <r>
    <s v="86"/>
    <s v="86"/>
    <s v="Granty"/>
    <x v="54"/>
    <s v="8683"/>
    <s v="Prof.MUDr. Vítězslav Kolek, DrSc. - PLIC"/>
    <s v="8683 - Prof.MUDr. Vítězslav Kolek, DrSc. - PLIC"/>
    <s v="50115070     ostatní ZPr - katetry (sk.Z_513)"/>
    <x v="16"/>
    <x v="1"/>
    <n v="9.2820300000000007"/>
    <n v="0"/>
  </r>
  <r>
    <s v="86"/>
    <s v="86"/>
    <s v="Granty"/>
    <x v="54"/>
    <s v="8684"/>
    <s v="Prof.MUDr. Josef Zadražil, CSc - 3.IK"/>
    <s v="8684 - Prof.MUDr. Josef Zadražil, CSc - 3.IK"/>
    <s v="50115     Zdravotnické prostředky"/>
    <x v="0"/>
    <x v="0"/>
    <n v="122.15846000000001"/>
    <n v="0"/>
  </r>
  <r>
    <s v="86"/>
    <s v="86"/>
    <s v="Granty"/>
    <x v="54"/>
    <s v="8684"/>
    <s v="Prof.MUDr. Josef Zadražil, CSc - 3.IK"/>
    <s v="8684 - Prof.MUDr. Josef Zadražil, CSc - 3.IK"/>
    <s v="50115     Zdravotnické prostředky"/>
    <x v="0"/>
    <x v="1"/>
    <n v="122.94452"/>
    <n v="0"/>
  </r>
  <r>
    <s v="86"/>
    <s v="86"/>
    <s v="Granty"/>
    <x v="54"/>
    <s v="8684"/>
    <s v="Prof.MUDr. Josef Zadražil, CSc - 3.IK"/>
    <s v="8684 - Prof.MUDr. Josef Zadražil, CSc - 3.IK"/>
    <s v="50115     Zdravotnické prostředky"/>
    <x v="0"/>
    <x v="2"/>
    <n v="86.519220000000004"/>
    <n v="0"/>
  </r>
  <r>
    <s v="86"/>
    <s v="86"/>
    <s v="Granty"/>
    <x v="54"/>
    <s v="8684"/>
    <s v="Prof.MUDr. Josef Zadražil, CSc - 3.IK"/>
    <s v="8684 - Prof.MUDr. Josef Zadražil, CSc - 3.IK"/>
    <s v="50115040     laboratorní materiál (sk.Z_505)"/>
    <x v="11"/>
    <x v="0"/>
    <n v="14.314"/>
    <n v="0"/>
  </r>
  <r>
    <s v="86"/>
    <s v="86"/>
    <s v="Granty"/>
    <x v="54"/>
    <s v="8684"/>
    <s v="Prof.MUDr. Josef Zadražil, CSc - 3.IK"/>
    <s v="8684 - Prof.MUDr. Josef Zadražil, CSc - 3.IK"/>
    <s v="50115040     laboratorní materiál (sk.Z_505)"/>
    <x v="11"/>
    <x v="1"/>
    <n v="7.8650000000000002"/>
    <n v="0"/>
  </r>
  <r>
    <s v="86"/>
    <s v="86"/>
    <s v="Granty"/>
    <x v="54"/>
    <s v="8684"/>
    <s v="Prof.MUDr. Josef Zadražil, CSc - 3.IK"/>
    <s v="8684 - Prof.MUDr. Josef Zadražil, CSc - 3.IK"/>
    <s v="50115040     laboratorní materiál (sk.Z_505)"/>
    <x v="11"/>
    <x v="2"/>
    <n v="13.17666"/>
    <n v="0"/>
  </r>
  <r>
    <s v="86"/>
    <s v="86"/>
    <s v="Granty"/>
    <x v="54"/>
    <s v="8684"/>
    <s v="Prof.MUDr. Josef Zadražil, CSc - 3.IK"/>
    <s v="8684 - Prof.MUDr. Josef Zadražil, CSc - 3.IK"/>
    <s v="50115050     obvazový materiál (sk.Z_502)"/>
    <x v="12"/>
    <x v="0"/>
    <n v="3.6972"/>
    <n v="0"/>
  </r>
  <r>
    <s v="86"/>
    <s v="86"/>
    <s v="Granty"/>
    <x v="54"/>
    <s v="8684"/>
    <s v="Prof.MUDr. Josef Zadražil, CSc - 3.IK"/>
    <s v="8684 - Prof.MUDr. Josef Zadražil, CSc - 3.IK"/>
    <s v="50115050     obvazový materiál (sk.Z_502)"/>
    <x v="12"/>
    <x v="1"/>
    <n v="5.6383400000000004"/>
    <n v="0"/>
  </r>
  <r>
    <s v="86"/>
    <s v="86"/>
    <s v="Granty"/>
    <x v="54"/>
    <s v="8684"/>
    <s v="Prof.MUDr. Josef Zadražil, CSc - 3.IK"/>
    <s v="8684 - Prof.MUDr. Josef Zadražil, CSc - 3.IK"/>
    <s v="50115050     obvazový materiál (sk.Z_502)"/>
    <x v="12"/>
    <x v="2"/>
    <n v="7.6637000000000004"/>
    <n v="0"/>
  </r>
  <r>
    <s v="86"/>
    <s v="86"/>
    <s v="Granty"/>
    <x v="54"/>
    <s v="8684"/>
    <s v="Prof.MUDr. Josef Zadražil, CSc - 3.IK"/>
    <s v="8684 - Prof.MUDr. Josef Zadražil, CSc - 3.IK"/>
    <s v="50115060     ostatní ZPr - mimo níže uvedené (sk.Z_503)"/>
    <x v="1"/>
    <x v="0"/>
    <n v="65.948239999999998"/>
    <n v="0"/>
  </r>
  <r>
    <s v="86"/>
    <s v="86"/>
    <s v="Granty"/>
    <x v="54"/>
    <s v="8684"/>
    <s v="Prof.MUDr. Josef Zadražil, CSc - 3.IK"/>
    <s v="8684 - Prof.MUDr. Josef Zadražil, CSc - 3.IK"/>
    <s v="50115060     ostatní ZPr - mimo níže uvedené (sk.Z_503)"/>
    <x v="1"/>
    <x v="1"/>
    <n v="58.068980000000003"/>
    <n v="0"/>
  </r>
  <r>
    <s v="86"/>
    <s v="86"/>
    <s v="Granty"/>
    <x v="54"/>
    <s v="8684"/>
    <s v="Prof.MUDr. Josef Zadražil, CSc - 3.IK"/>
    <s v="8684 - Prof.MUDr. Josef Zadražil, CSc - 3.IK"/>
    <s v="50115060     ostatní ZPr - mimo níže uvedené (sk.Z_503)"/>
    <x v="1"/>
    <x v="2"/>
    <n v="38.110059999999997"/>
    <n v="0"/>
  </r>
  <r>
    <s v="86"/>
    <s v="86"/>
    <s v="Granty"/>
    <x v="54"/>
    <s v="8684"/>
    <s v="Prof.MUDr. Josef Zadražil, CSc - 3.IK"/>
    <s v="8684 - Prof.MUDr. Josef Zadražil, CSc - 3.IK"/>
    <s v="50115063     ostatní ZPr - vaky, sety (sk.Z_528)"/>
    <x v="13"/>
    <x v="1"/>
    <n v="4.085"/>
    <n v="0"/>
  </r>
  <r>
    <s v="86"/>
    <s v="86"/>
    <s v="Granty"/>
    <x v="54"/>
    <s v="8684"/>
    <s v="Prof.MUDr. Josef Zadražil, CSc - 3.IK"/>
    <s v="8684 - Prof.MUDr. Josef Zadražil, CSc - 3.IK"/>
    <s v="50115065     ostatní ZPr - vpichovací materiál (sk.Z_530)"/>
    <x v="14"/>
    <x v="0"/>
    <n v="28.100020000000001"/>
    <n v="0"/>
  </r>
  <r>
    <s v="86"/>
    <s v="86"/>
    <s v="Granty"/>
    <x v="54"/>
    <s v="8684"/>
    <s v="Prof.MUDr. Josef Zadražil, CSc - 3.IK"/>
    <s v="8684 - Prof.MUDr. Josef Zadražil, CSc - 3.IK"/>
    <s v="50115065     ostatní ZPr - vpichovací materiál (sk.Z_530)"/>
    <x v="14"/>
    <x v="1"/>
    <n v="34.507199999999997"/>
    <n v="0"/>
  </r>
  <r>
    <s v="86"/>
    <s v="86"/>
    <s v="Granty"/>
    <x v="54"/>
    <s v="8684"/>
    <s v="Prof.MUDr. Josef Zadražil, CSc - 3.IK"/>
    <s v="8684 - Prof.MUDr. Josef Zadražil, CSc - 3.IK"/>
    <s v="50115065     ostatní ZPr - vpichovací materiál (sk.Z_530)"/>
    <x v="14"/>
    <x v="2"/>
    <n v="19.0488"/>
    <n v="0"/>
  </r>
  <r>
    <s v="86"/>
    <s v="86"/>
    <s v="Granty"/>
    <x v="54"/>
    <s v="8684"/>
    <s v="Prof.MUDr. Josef Zadražil, CSc - 3.IK"/>
    <s v="8684 - Prof.MUDr. Josef Zadražil, CSc - 3.IK"/>
    <s v="50115067     ostatní ZPr - rukavice (sk.Z_532)"/>
    <x v="15"/>
    <x v="0"/>
    <n v="10.099"/>
    <n v="0"/>
  </r>
  <r>
    <s v="86"/>
    <s v="86"/>
    <s v="Granty"/>
    <x v="54"/>
    <s v="8684"/>
    <s v="Prof.MUDr. Josef Zadražil, CSc - 3.IK"/>
    <s v="8684 - Prof.MUDr. Josef Zadražil, CSc - 3.IK"/>
    <s v="50115067     ostatní ZPr - rukavice (sk.Z_532)"/>
    <x v="15"/>
    <x v="1"/>
    <n v="12.78"/>
    <n v="0"/>
  </r>
  <r>
    <s v="86"/>
    <s v="86"/>
    <s v="Granty"/>
    <x v="54"/>
    <s v="8684"/>
    <s v="Prof.MUDr. Josef Zadražil, CSc - 3.IK"/>
    <s v="8684 - Prof.MUDr. Josef Zadražil, CSc - 3.IK"/>
    <s v="50115067     ostatní ZPr - rukavice (sk.Z_532)"/>
    <x v="15"/>
    <x v="2"/>
    <n v="8.52"/>
    <n v="0"/>
  </r>
  <r>
    <s v="86"/>
    <s v="86"/>
    <s v="Granty"/>
    <x v="54"/>
    <s v="8685"/>
    <s v="MUDr. Karel Cwiertka, Ph.D. - ONKOL"/>
    <s v="8685 - MUDr. Karel Cwiertka, Ph.D. - ONKOL"/>
    <s v="50115     Zdravotnické prostředky"/>
    <x v="0"/>
    <x v="0"/>
    <n v="111.32411"/>
    <n v="0"/>
  </r>
  <r>
    <s v="86"/>
    <s v="86"/>
    <s v="Granty"/>
    <x v="54"/>
    <s v="8685"/>
    <s v="MUDr. Karel Cwiertka, Ph.D. - ONKOL"/>
    <s v="8685 - MUDr. Karel Cwiertka, Ph.D. - ONKOL"/>
    <s v="50115     Zdravotnické prostředky"/>
    <x v="0"/>
    <x v="1"/>
    <n v="147.72309000000001"/>
    <n v="0"/>
  </r>
  <r>
    <s v="86"/>
    <s v="86"/>
    <s v="Granty"/>
    <x v="54"/>
    <s v="8685"/>
    <s v="MUDr. Karel Cwiertka, Ph.D. - ONKOL"/>
    <s v="8685 - MUDr. Karel Cwiertka, Ph.D. - ONKOL"/>
    <s v="50115     Zdravotnické prostředky"/>
    <x v="0"/>
    <x v="2"/>
    <n v="17.204440000000002"/>
    <n v="0"/>
  </r>
  <r>
    <s v="86"/>
    <s v="86"/>
    <s v="Granty"/>
    <x v="54"/>
    <s v="8685"/>
    <s v="MUDr. Karel Cwiertka, Ph.D. - ONKOL"/>
    <s v="8685 - MUDr. Karel Cwiertka, Ph.D. - ONKOL"/>
    <s v="50115020     diagnostika laboratorní-LEK (sk.Z_501)"/>
    <x v="10"/>
    <x v="0"/>
    <n v="65.381619999999998"/>
    <n v="0"/>
  </r>
  <r>
    <s v="86"/>
    <s v="86"/>
    <s v="Granty"/>
    <x v="54"/>
    <s v="8685"/>
    <s v="MUDr. Karel Cwiertka, Ph.D. - ONKOL"/>
    <s v="8685 - MUDr. Karel Cwiertka, Ph.D. - ONKOL"/>
    <s v="50115020     diagnostika laboratorní-LEK (sk.Z_501)"/>
    <x v="10"/>
    <x v="1"/>
    <n v="131.81522000000001"/>
    <n v="0"/>
  </r>
  <r>
    <s v="86"/>
    <s v="86"/>
    <s v="Granty"/>
    <x v="54"/>
    <s v="8685"/>
    <s v="MUDr. Karel Cwiertka, Ph.D. - ONKOL"/>
    <s v="8685 - MUDr. Karel Cwiertka, Ph.D. - ONKOL"/>
    <s v="50115020     diagnostika laboratorní-LEK (sk.Z_501)"/>
    <x v="10"/>
    <x v="2"/>
    <n v="17.204440000000002"/>
    <n v="0"/>
  </r>
  <r>
    <s v="86"/>
    <s v="86"/>
    <s v="Granty"/>
    <x v="54"/>
    <s v="8685"/>
    <s v="MUDr. Karel Cwiertka, Ph.D. - ONKOL"/>
    <s v="8685 - MUDr. Karel Cwiertka, Ph.D. - ONKOL"/>
    <s v="50115040     laboratorní materiál (sk.Z_505)"/>
    <x v="11"/>
    <x v="0"/>
    <n v="32.968870000000003"/>
    <n v="0"/>
  </r>
  <r>
    <s v="86"/>
    <s v="86"/>
    <s v="Granty"/>
    <x v="54"/>
    <s v="8685"/>
    <s v="MUDr. Karel Cwiertka, Ph.D. - ONKOL"/>
    <s v="8685 - MUDr. Karel Cwiertka, Ph.D. - ONKOL"/>
    <s v="50115060     ostatní ZPr - mimo níže uvedené (sk.Z_503)"/>
    <x v="1"/>
    <x v="0"/>
    <n v="12.97362"/>
    <n v="0"/>
  </r>
  <r>
    <s v="86"/>
    <s v="86"/>
    <s v="Granty"/>
    <x v="54"/>
    <s v="8685"/>
    <s v="MUDr. Karel Cwiertka, Ph.D. - ONKOL"/>
    <s v="8685 - MUDr. Karel Cwiertka, Ph.D. - ONKOL"/>
    <s v="50115060     ostatní ZPr - mimo níže uvedené (sk.Z_503)"/>
    <x v="1"/>
    <x v="1"/>
    <n v="15.907870000000001"/>
    <n v="0"/>
  </r>
  <r>
    <s v="86"/>
    <s v="86"/>
    <s v="Granty"/>
    <x v="54"/>
    <s v="8686"/>
    <s v="Doc.MUDr. Radovan Pilka, Ph. D. - PORGYN"/>
    <s v="8686 - Doc.MUDr. Radovan Pilka, Ph. D. - PORGYN"/>
    <s v="50115     Zdravotnické prostředky"/>
    <x v="0"/>
    <x v="0"/>
    <n v="205.77484999999905"/>
    <n v="0"/>
  </r>
  <r>
    <s v="86"/>
    <s v="86"/>
    <s v="Granty"/>
    <x v="54"/>
    <s v="8686"/>
    <s v="Doc.MUDr. Radovan Pilka, Ph. D. - PORGYN"/>
    <s v="8686 - Doc.MUDr. Radovan Pilka, Ph. D. - PORGYN"/>
    <s v="50115     Zdravotnické prostředky"/>
    <x v="0"/>
    <x v="1"/>
    <n v="197.54734999999999"/>
    <n v="0"/>
  </r>
  <r>
    <s v="86"/>
    <s v="86"/>
    <s v="Granty"/>
    <x v="54"/>
    <s v="8686"/>
    <s v="Doc.MUDr. Radovan Pilka, Ph. D. - PORGYN"/>
    <s v="8686 - Doc.MUDr. Radovan Pilka, Ph. D. - PORGYN"/>
    <s v="50115     Zdravotnické prostředky"/>
    <x v="0"/>
    <x v="2"/>
    <n v="7.5969999999999995"/>
    <n v="0"/>
  </r>
  <r>
    <s v="86"/>
    <s v="86"/>
    <s v="Granty"/>
    <x v="54"/>
    <s v="8686"/>
    <s v="Doc.MUDr. Radovan Pilka, Ph. D. - PORGYN"/>
    <s v="8686 - Doc.MUDr. Radovan Pilka, Ph. D. - PORGYN"/>
    <s v="50115040     laboratorní materiál (sk.Z_505)"/>
    <x v="11"/>
    <x v="0"/>
    <n v="0.90024000000000004"/>
    <n v="0"/>
  </r>
  <r>
    <s v="86"/>
    <s v="86"/>
    <s v="Granty"/>
    <x v="54"/>
    <s v="8686"/>
    <s v="Doc.MUDr. Radovan Pilka, Ph. D. - PORGYN"/>
    <s v="8686 - Doc.MUDr. Radovan Pilka, Ph. D. - PORGYN"/>
    <s v="50115050     obvazový materiál (sk.Z_502)"/>
    <x v="12"/>
    <x v="0"/>
    <n v="6.212859999999"/>
    <n v="0"/>
  </r>
  <r>
    <s v="86"/>
    <s v="86"/>
    <s v="Granty"/>
    <x v="54"/>
    <s v="8686"/>
    <s v="Doc.MUDr. Radovan Pilka, Ph. D. - PORGYN"/>
    <s v="8686 - Doc.MUDr. Radovan Pilka, Ph. D. - PORGYN"/>
    <s v="50115050     obvazový materiál (sk.Z_502)"/>
    <x v="12"/>
    <x v="1"/>
    <n v="3.0331100000000002"/>
    <n v="0"/>
  </r>
  <r>
    <s v="86"/>
    <s v="86"/>
    <s v="Granty"/>
    <x v="54"/>
    <s v="8686"/>
    <s v="Doc.MUDr. Radovan Pilka, Ph. D. - PORGYN"/>
    <s v="8686 - Doc.MUDr. Radovan Pilka, Ph. D. - PORGYN"/>
    <s v="50115050     obvazový materiál (sk.Z_502)"/>
    <x v="12"/>
    <x v="2"/>
    <n v="0.27600000000000002"/>
    <n v="0"/>
  </r>
  <r>
    <s v="86"/>
    <s v="86"/>
    <s v="Granty"/>
    <x v="54"/>
    <s v="8686"/>
    <s v="Doc.MUDr. Radovan Pilka, Ph. D. - PORGYN"/>
    <s v="8686 - Doc.MUDr. Radovan Pilka, Ph. D. - PORGYN"/>
    <s v="50115060     ostatní ZPr - mimo níže uvedené (sk.Z_503)"/>
    <x v="1"/>
    <x v="0"/>
    <n v="102.01925000000001"/>
    <n v="0"/>
  </r>
  <r>
    <s v="86"/>
    <s v="86"/>
    <s v="Granty"/>
    <x v="54"/>
    <s v="8686"/>
    <s v="Doc.MUDr. Radovan Pilka, Ph. D. - PORGYN"/>
    <s v="8686 - Doc.MUDr. Radovan Pilka, Ph. D. - PORGYN"/>
    <s v="50115060     ostatní ZPr - mimo níže uvedené (sk.Z_503)"/>
    <x v="1"/>
    <x v="1"/>
    <n v="47.931239999999995"/>
    <n v="0"/>
  </r>
  <r>
    <s v="86"/>
    <s v="86"/>
    <s v="Granty"/>
    <x v="54"/>
    <s v="8686"/>
    <s v="Doc.MUDr. Radovan Pilka, Ph. D. - PORGYN"/>
    <s v="8686 - Doc.MUDr. Radovan Pilka, Ph. D. - PORGYN"/>
    <s v="50115060     ostatní ZPr - mimo níže uvedené (sk.Z_503)"/>
    <x v="1"/>
    <x v="2"/>
    <n v="4.9449999999999994"/>
    <n v="0"/>
  </r>
  <r>
    <s v="86"/>
    <s v="86"/>
    <s v="Granty"/>
    <x v="54"/>
    <s v="8686"/>
    <s v="Doc.MUDr. Radovan Pilka, Ph. D. - PORGYN"/>
    <s v="8686 - Doc.MUDr. Radovan Pilka, Ph. D. - PORGYN"/>
    <s v="50115065     ostatní ZPr - vpichovací materiál (sk.Z_530)"/>
    <x v="14"/>
    <x v="0"/>
    <n v="0.124"/>
    <n v="0"/>
  </r>
  <r>
    <s v="86"/>
    <s v="86"/>
    <s v="Granty"/>
    <x v="54"/>
    <s v="8686"/>
    <s v="Doc.MUDr. Radovan Pilka, Ph. D. - PORGYN"/>
    <s v="8686 - Doc.MUDr. Radovan Pilka, Ph. D. - PORGYN"/>
    <s v="50115065     ostatní ZPr - vpichovací materiál (sk.Z_530)"/>
    <x v="14"/>
    <x v="1"/>
    <n v="7.3002000000000002"/>
    <n v="0"/>
  </r>
  <r>
    <s v="86"/>
    <s v="86"/>
    <s v="Granty"/>
    <x v="54"/>
    <s v="8686"/>
    <s v="Doc.MUDr. Radovan Pilka, Ph. D. - PORGYN"/>
    <s v="8686 - Doc.MUDr. Radovan Pilka, Ph. D. - PORGYN"/>
    <s v="50115065     ostatní ZPr - vpichovací materiál (sk.Z_530)"/>
    <x v="14"/>
    <x v="2"/>
    <n v="1.6659999999999999"/>
    <n v="0"/>
  </r>
  <r>
    <s v="86"/>
    <s v="86"/>
    <s v="Granty"/>
    <x v="54"/>
    <s v="8686"/>
    <s v="Doc.MUDr. Radovan Pilka, Ph. D. - PORGYN"/>
    <s v="8686 - Doc.MUDr. Radovan Pilka, Ph. D. - PORGYN"/>
    <s v="50115067     ostatní ZPr - rukavice (sk.Z_532)"/>
    <x v="15"/>
    <x v="0"/>
    <n v="0.74699999999900002"/>
    <n v="0"/>
  </r>
  <r>
    <s v="86"/>
    <s v="86"/>
    <s v="Granty"/>
    <x v="54"/>
    <s v="8686"/>
    <s v="Doc.MUDr. Radovan Pilka, Ph. D. - PORGYN"/>
    <s v="8686 - Doc.MUDr. Radovan Pilka, Ph. D. - PORGYN"/>
    <s v="50115067     ostatní ZPr - rukavice (sk.Z_532)"/>
    <x v="15"/>
    <x v="1"/>
    <n v="2.94"/>
    <n v="0"/>
  </r>
  <r>
    <s v="86"/>
    <s v="86"/>
    <s v="Granty"/>
    <x v="54"/>
    <s v="8686"/>
    <s v="Doc.MUDr. Radovan Pilka, Ph. D. - PORGYN"/>
    <s v="8686 - Doc.MUDr. Radovan Pilka, Ph. D. - PORGYN"/>
    <s v="50115067     ostatní ZPr - rukavice (sk.Z_532)"/>
    <x v="15"/>
    <x v="2"/>
    <n v="0.71"/>
    <n v="0"/>
  </r>
  <r>
    <s v="86"/>
    <s v="86"/>
    <s v="Granty"/>
    <x v="54"/>
    <s v="8686"/>
    <s v="Doc.MUDr. Radovan Pilka, Ph. D. - PORGYN"/>
    <s v="8686 - Doc.MUDr. Radovan Pilka, Ph. D. - PORGYN"/>
    <s v="50115080     ostatní ZPr - staplery, extraktory (sk.Z_523)"/>
    <x v="30"/>
    <x v="0"/>
    <n v="95.771500000000003"/>
    <n v="0"/>
  </r>
  <r>
    <s v="86"/>
    <s v="86"/>
    <s v="Granty"/>
    <x v="54"/>
    <s v="8686"/>
    <s v="Doc.MUDr. Radovan Pilka, Ph. D. - PORGYN"/>
    <s v="8686 - Doc.MUDr. Radovan Pilka, Ph. D. - PORGYN"/>
    <s v="50115080     ostatní ZPr - staplery, extraktory (sk.Z_523)"/>
    <x v="30"/>
    <x v="1"/>
    <n v="136.34280000000001"/>
    <n v="0"/>
  </r>
  <r>
    <s v="86"/>
    <s v="86"/>
    <s v="Granty"/>
    <x v="54"/>
    <s v="8687"/>
    <s v="MUDr. Ivona Grygárková - PLIC"/>
    <s v="8687 - MUDr. Ivona Grygárková - PLIC"/>
    <s v="50115     Zdravotnické prostředky"/>
    <x v="0"/>
    <x v="0"/>
    <n v="55.000439999999998"/>
    <n v="0"/>
  </r>
  <r>
    <s v="86"/>
    <s v="86"/>
    <s v="Granty"/>
    <x v="54"/>
    <s v="8687"/>
    <s v="MUDr. Ivona Grygárková - PLIC"/>
    <s v="8687 - MUDr. Ivona Grygárková - PLIC"/>
    <s v="50115     Zdravotnické prostředky"/>
    <x v="0"/>
    <x v="1"/>
    <n v="55.226120000000002"/>
    <n v="0"/>
  </r>
  <r>
    <s v="86"/>
    <s v="86"/>
    <s v="Granty"/>
    <x v="54"/>
    <s v="8687"/>
    <s v="MUDr. Ivona Grygárková - PLIC"/>
    <s v="8687 - MUDr. Ivona Grygárková - PLIC"/>
    <s v="50115     Zdravotnické prostředky"/>
    <x v="0"/>
    <x v="2"/>
    <n v="54.785049999999998"/>
    <n v="0"/>
  </r>
  <r>
    <s v="86"/>
    <s v="86"/>
    <s v="Granty"/>
    <x v="54"/>
    <s v="8687"/>
    <s v="MUDr. Ivona Grygárková - PLIC"/>
    <s v="8687 - MUDr. Ivona Grygárková - PLIC"/>
    <s v="50115040     laboratorní materiál (sk.Z_505)"/>
    <x v="11"/>
    <x v="0"/>
    <n v="2.9986999999999999"/>
    <n v="0"/>
  </r>
  <r>
    <s v="86"/>
    <s v="86"/>
    <s v="Granty"/>
    <x v="54"/>
    <s v="8687"/>
    <s v="MUDr. Ivona Grygárková - PLIC"/>
    <s v="8687 - MUDr. Ivona Grygárková - PLIC"/>
    <s v="50115040     laboratorní materiál (sk.Z_505)"/>
    <x v="11"/>
    <x v="1"/>
    <n v="1.4039999999999999"/>
    <n v="0"/>
  </r>
  <r>
    <s v="86"/>
    <s v="86"/>
    <s v="Granty"/>
    <x v="54"/>
    <s v="8687"/>
    <s v="MUDr. Ivona Grygárková - PLIC"/>
    <s v="8687 - MUDr. Ivona Grygárková - PLIC"/>
    <s v="50115050     obvazový materiál (sk.Z_502)"/>
    <x v="12"/>
    <x v="0"/>
    <n v="5.2046799999999998"/>
    <n v="0"/>
  </r>
  <r>
    <s v="86"/>
    <s v="86"/>
    <s v="Granty"/>
    <x v="54"/>
    <s v="8687"/>
    <s v="MUDr. Ivona Grygárková - PLIC"/>
    <s v="8687 - MUDr. Ivona Grygárková - PLIC"/>
    <s v="50115050     obvazový materiál (sk.Z_502)"/>
    <x v="12"/>
    <x v="1"/>
    <n v="3.92049"/>
    <n v="0"/>
  </r>
  <r>
    <s v="86"/>
    <s v="86"/>
    <s v="Granty"/>
    <x v="54"/>
    <s v="8687"/>
    <s v="MUDr. Ivona Grygárková - PLIC"/>
    <s v="8687 - MUDr. Ivona Grygárková - PLIC"/>
    <s v="50115050     obvazový materiál (sk.Z_502)"/>
    <x v="12"/>
    <x v="2"/>
    <n v="2.06"/>
    <n v="0"/>
  </r>
  <r>
    <s v="86"/>
    <s v="86"/>
    <s v="Granty"/>
    <x v="54"/>
    <s v="8687"/>
    <s v="MUDr. Ivona Grygárková - PLIC"/>
    <s v="8687 - MUDr. Ivona Grygárková - PLIC"/>
    <s v="50115060     ostatní ZPr - mimo níže uvedené (sk.Z_503)"/>
    <x v="1"/>
    <x v="0"/>
    <n v="39.189059999999998"/>
    <n v="0"/>
  </r>
  <r>
    <s v="86"/>
    <s v="86"/>
    <s v="Granty"/>
    <x v="54"/>
    <s v="8687"/>
    <s v="MUDr. Ivona Grygárková - PLIC"/>
    <s v="8687 - MUDr. Ivona Grygárková - PLIC"/>
    <s v="50115060     ostatní ZPr - mimo níže uvedené (sk.Z_503)"/>
    <x v="1"/>
    <x v="1"/>
    <n v="26.930599999999998"/>
    <n v="0"/>
  </r>
  <r>
    <s v="86"/>
    <s v="86"/>
    <s v="Granty"/>
    <x v="54"/>
    <s v="8687"/>
    <s v="MUDr. Ivona Grygárková - PLIC"/>
    <s v="8687 - MUDr. Ivona Grygárková - PLIC"/>
    <s v="50115060     ostatní ZPr - mimo níže uvedené (sk.Z_503)"/>
    <x v="1"/>
    <x v="2"/>
    <n v="11.048389999999999"/>
    <n v="0"/>
  </r>
  <r>
    <s v="86"/>
    <s v="86"/>
    <s v="Granty"/>
    <x v="54"/>
    <s v="8687"/>
    <s v="MUDr. Ivona Grygárková - PLIC"/>
    <s v="8687 - MUDr. Ivona Grygárková - PLIC"/>
    <s v="50115063     ostatní ZPr - vaky, sety (sk.Z_528)"/>
    <x v="13"/>
    <x v="0"/>
    <n v="2.4510000000000001"/>
    <n v="0"/>
  </r>
  <r>
    <s v="86"/>
    <s v="86"/>
    <s v="Granty"/>
    <x v="54"/>
    <s v="8687"/>
    <s v="MUDr. Ivona Grygárková - PLIC"/>
    <s v="8687 - MUDr. Ivona Grygárková - PLIC"/>
    <s v="50115063     ostatní ZPr - vaky, sety (sk.Z_528)"/>
    <x v="13"/>
    <x v="1"/>
    <n v="4.085"/>
    <n v="0"/>
  </r>
  <r>
    <s v="86"/>
    <s v="86"/>
    <s v="Granty"/>
    <x v="54"/>
    <s v="8687"/>
    <s v="MUDr. Ivona Grygárková - PLIC"/>
    <s v="8687 - MUDr. Ivona Grygárková - PLIC"/>
    <s v="50115065     ostatní ZPr - vpichovací materiál (sk.Z_530)"/>
    <x v="14"/>
    <x v="0"/>
    <n v="0.31"/>
    <n v="0"/>
  </r>
  <r>
    <s v="86"/>
    <s v="86"/>
    <s v="Granty"/>
    <x v="54"/>
    <s v="8687"/>
    <s v="MUDr. Ivona Grygárková - PLIC"/>
    <s v="8687 - MUDr. Ivona Grygárková - PLIC"/>
    <s v="50115065     ostatní ZPr - vpichovací materiál (sk.Z_530)"/>
    <x v="14"/>
    <x v="1"/>
    <n v="3.3559999999999999"/>
    <n v="0"/>
  </r>
  <r>
    <s v="86"/>
    <s v="86"/>
    <s v="Granty"/>
    <x v="54"/>
    <s v="8687"/>
    <s v="MUDr. Ivona Grygárková - PLIC"/>
    <s v="8687 - MUDr. Ivona Grygárková - PLIC"/>
    <s v="50115067     ostatní ZPr - rukavice (sk.Z_532)"/>
    <x v="15"/>
    <x v="0"/>
    <n v="4.8469999999999995"/>
    <n v="0"/>
  </r>
  <r>
    <s v="86"/>
    <s v="86"/>
    <s v="Granty"/>
    <x v="54"/>
    <s v="8687"/>
    <s v="MUDr. Ivona Grygárková - PLIC"/>
    <s v="8687 - MUDr. Ivona Grygárková - PLIC"/>
    <s v="50115067     ostatní ZPr - rukavice (sk.Z_532)"/>
    <x v="15"/>
    <x v="1"/>
    <n v="6.2479999999999993"/>
    <n v="0"/>
  </r>
  <r>
    <s v="86"/>
    <s v="86"/>
    <s v="Granty"/>
    <x v="54"/>
    <s v="8687"/>
    <s v="MUDr. Ivona Grygárková - PLIC"/>
    <s v="8687 - MUDr. Ivona Grygárková - PLIC"/>
    <s v="50115067     ostatní ZPr - rukavice (sk.Z_532)"/>
    <x v="15"/>
    <x v="2"/>
    <n v="8.52"/>
    <n v="0"/>
  </r>
  <r>
    <s v="86"/>
    <s v="86"/>
    <s v="Granty"/>
    <x v="54"/>
    <s v="8687"/>
    <s v="MUDr. Ivona Grygárková - PLIC"/>
    <s v="8687 - MUDr. Ivona Grygárková - PLIC"/>
    <s v="50115070     ostatní ZPr - katetry (sk.Z_513)"/>
    <x v="16"/>
    <x v="1"/>
    <n v="9.2820300000000007"/>
    <n v="0"/>
  </r>
  <r>
    <s v="86"/>
    <s v="86"/>
    <s v="Granty"/>
    <x v="54"/>
    <s v="8687"/>
    <s v="MUDr. Ivona Grygárková - PLIC"/>
    <s v="8687 - MUDr. Ivona Grygárková - PLIC"/>
    <s v="50115070     ostatní ZPr - katetry (sk.Z_513)"/>
    <x v="16"/>
    <x v="2"/>
    <n v="18.564060000000001"/>
    <n v="0"/>
  </r>
  <r>
    <s v="86"/>
    <s v="86"/>
    <s v="Granty"/>
    <x v="54"/>
    <s v="8687"/>
    <s v="MUDr. Ivona Grygárková - PLIC"/>
    <s v="8687 - MUDr. Ivona Grygárková - PLIC"/>
    <s v="50115079     ostatní ZPr - intenzivní péče (sk.Z_542)"/>
    <x v="18"/>
    <x v="2"/>
    <n v="14.592599999999999"/>
    <n v="0"/>
  </r>
  <r>
    <s v="86"/>
    <s v="86"/>
    <s v="Granty"/>
    <x v="54"/>
    <s v="8688"/>
    <s v="Prof. MUDr. Jiří Ehrmann, Ph. D. - PATOL"/>
    <s v="8688 - Prof. MUDr. Jiří Ehrmann, Ph. D. - PATOL"/>
    <s v="50115     Zdravotnické prostředky"/>
    <x v="0"/>
    <x v="0"/>
    <n v="114.15965999999999"/>
    <n v="0"/>
  </r>
  <r>
    <s v="86"/>
    <s v="86"/>
    <s v="Granty"/>
    <x v="54"/>
    <s v="8688"/>
    <s v="Prof. MUDr. Jiří Ehrmann, Ph. D. - PATOL"/>
    <s v="8688 - Prof. MUDr. Jiří Ehrmann, Ph. D. - PATOL"/>
    <s v="50115     Zdravotnické prostředky"/>
    <x v="0"/>
    <x v="1"/>
    <n v="119.38300000000001"/>
    <n v="0"/>
  </r>
  <r>
    <s v="86"/>
    <s v="86"/>
    <s v="Granty"/>
    <x v="54"/>
    <s v="8688"/>
    <s v="Prof. MUDr. Jiří Ehrmann, Ph. D. - PATOL"/>
    <s v="8688 - Prof. MUDr. Jiří Ehrmann, Ph. D. - PATOL"/>
    <s v="50115     Zdravotnické prostředky"/>
    <x v="0"/>
    <x v="2"/>
    <n v="39.518300000000004"/>
    <n v="0"/>
  </r>
  <r>
    <s v="86"/>
    <s v="86"/>
    <s v="Granty"/>
    <x v="54"/>
    <s v="8688"/>
    <s v="Prof. MUDr. Jiří Ehrmann, Ph. D. - PATOL"/>
    <s v="8688 - Prof. MUDr. Jiří Ehrmann, Ph. D. - PATOL"/>
    <s v="50115020     diagnostika laboratorní-LEK (sk.Z_501)"/>
    <x v="10"/>
    <x v="0"/>
    <n v="48.116860000000003"/>
    <n v="0"/>
  </r>
  <r>
    <s v="86"/>
    <s v="86"/>
    <s v="Granty"/>
    <x v="54"/>
    <s v="8688"/>
    <s v="Prof. MUDr. Jiří Ehrmann, Ph. D. - PATOL"/>
    <s v="8688 - Prof. MUDr. Jiří Ehrmann, Ph. D. - PATOL"/>
    <s v="50115020     diagnostika laboratorní-LEK (sk.Z_501)"/>
    <x v="10"/>
    <x v="1"/>
    <n v="56.164499999999997"/>
    <n v="0"/>
  </r>
  <r>
    <s v="86"/>
    <s v="86"/>
    <s v="Granty"/>
    <x v="54"/>
    <s v="8688"/>
    <s v="Prof. MUDr. Jiří Ehrmann, Ph. D. - PATOL"/>
    <s v="8688 - Prof. MUDr. Jiří Ehrmann, Ph. D. - PATOL"/>
    <s v="50115020     diagnostika laboratorní-LEK (sk.Z_501)"/>
    <x v="10"/>
    <x v="2"/>
    <n v="35.488999999999997"/>
    <n v="0"/>
  </r>
  <r>
    <s v="86"/>
    <s v="86"/>
    <s v="Granty"/>
    <x v="54"/>
    <s v="8688"/>
    <s v="Prof. MUDr. Jiří Ehrmann, Ph. D. - PATOL"/>
    <s v="8688 - Prof. MUDr. Jiří Ehrmann, Ph. D. - PATOL"/>
    <s v="50115040     laboratorní materiál (sk.Z_505)"/>
    <x v="11"/>
    <x v="0"/>
    <n v="6.2203999999999997"/>
    <n v="0"/>
  </r>
  <r>
    <s v="86"/>
    <s v="86"/>
    <s v="Granty"/>
    <x v="54"/>
    <s v="8688"/>
    <s v="Prof. MUDr. Jiří Ehrmann, Ph. D. - PATOL"/>
    <s v="8688 - Prof. MUDr. Jiří Ehrmann, Ph. D. - PATOL"/>
    <s v="50115040     laboratorní materiál (sk.Z_505)"/>
    <x v="11"/>
    <x v="2"/>
    <n v="4.0293000000000001"/>
    <n v="0"/>
  </r>
  <r>
    <s v="86"/>
    <s v="86"/>
    <s v="Granty"/>
    <x v="54"/>
    <s v="8688"/>
    <s v="Prof. MUDr. Jiří Ehrmann, Ph. D. - PATOL"/>
    <s v="8688 - Prof. MUDr. Jiří Ehrmann, Ph. D. - PATOL"/>
    <s v="50115065     ostatní ZPr - vpichovací materiál (sk.Z_530)"/>
    <x v="14"/>
    <x v="0"/>
    <n v="59.822400000000002"/>
    <n v="0"/>
  </r>
  <r>
    <s v="86"/>
    <s v="86"/>
    <s v="Granty"/>
    <x v="54"/>
    <s v="8688"/>
    <s v="Prof. MUDr. Jiří Ehrmann, Ph. D. - PATOL"/>
    <s v="8688 - Prof. MUDr. Jiří Ehrmann, Ph. D. - PATOL"/>
    <s v="50115065     ostatní ZPr - vpichovací materiál (sk.Z_530)"/>
    <x v="14"/>
    <x v="1"/>
    <n v="63.218499999999999"/>
    <n v="0"/>
  </r>
  <r>
    <s v="86"/>
    <s v="86"/>
    <s v="Granty"/>
    <x v="54"/>
    <s v="8689"/>
    <s v="Prof.MUDr. Petr Hluštík, Ph.D. - NEUROL"/>
    <s v="8689 - Prof.MUDr. Petr Hluštík, Ph.D. - NEUROL"/>
    <s v="50115     Zdravotnické prostředky"/>
    <x v="0"/>
    <x v="0"/>
    <n v="48.085000000000001"/>
    <n v="0"/>
  </r>
  <r>
    <s v="86"/>
    <s v="86"/>
    <s v="Granty"/>
    <x v="54"/>
    <s v="8689"/>
    <s v="Prof.MUDr. Petr Hluštík, Ph.D. - NEUROL"/>
    <s v="8689 - Prof.MUDr. Petr Hluštík, Ph.D. - NEUROL"/>
    <s v="50115     Zdravotnické prostředky"/>
    <x v="0"/>
    <x v="1"/>
    <n v="25.167999999999999"/>
    <n v="0"/>
  </r>
  <r>
    <s v="86"/>
    <s v="86"/>
    <s v="Granty"/>
    <x v="54"/>
    <s v="8689"/>
    <s v="Prof.MUDr. Petr Hluštík, Ph.D. - NEUROL"/>
    <s v="8689 - Prof.MUDr. Petr Hluštík, Ph.D. - NEUROL"/>
    <s v="50115     Zdravotnické prostředky"/>
    <x v="0"/>
    <x v="2"/>
    <n v="24.539000000000001"/>
    <n v="0"/>
  </r>
  <r>
    <s v="86"/>
    <s v="86"/>
    <s v="Granty"/>
    <x v="54"/>
    <s v="8689"/>
    <s v="Prof.MUDr. Petr Hluštík, Ph.D. - NEUROL"/>
    <s v="8689 - Prof.MUDr. Petr Hluštík, Ph.D. - NEUROL"/>
    <s v="50115060     ostatní ZPr - mimo níže uvedené (sk.Z_503)"/>
    <x v="1"/>
    <x v="0"/>
    <n v="48.085000000000001"/>
    <n v="0"/>
  </r>
  <r>
    <s v="86"/>
    <s v="86"/>
    <s v="Granty"/>
    <x v="54"/>
    <s v="8689"/>
    <s v="Prof.MUDr. Petr Hluštík, Ph.D. - NEUROL"/>
    <s v="8689 - Prof.MUDr. Petr Hluštík, Ph.D. - NEUROL"/>
    <s v="50115060     ostatní ZPr - mimo níže uvedené (sk.Z_503)"/>
    <x v="1"/>
    <x v="1"/>
    <n v="25.167999999999999"/>
    <n v="0"/>
  </r>
  <r>
    <s v="86"/>
    <s v="86"/>
    <s v="Granty"/>
    <x v="54"/>
    <s v="8689"/>
    <s v="Prof.MUDr. Petr Hluštík, Ph.D. - NEUROL"/>
    <s v="8689 - Prof.MUDr. Petr Hluštík, Ph.D. - NEUROL"/>
    <s v="50115060     ostatní ZPr - mimo níže uvedené (sk.Z_503)"/>
    <x v="1"/>
    <x v="2"/>
    <n v="24.539000000000001"/>
    <n v="0"/>
  </r>
  <r>
    <s v="86"/>
    <s v="86"/>
    <s v="Granty"/>
    <x v="54"/>
    <s v="8690"/>
    <s v="Doc.MUDr. Tomáš Papajík, CSc. - HOK"/>
    <s v="8690 - Doc.MUDr. Tomáš Papajík, CSc. - HOK"/>
    <s v="50113     Léky a léčiva"/>
    <x v="2"/>
    <x v="0"/>
    <n v="0.42281000000000002"/>
    <n v="0"/>
  </r>
  <r>
    <s v="86"/>
    <s v="86"/>
    <s v="Granty"/>
    <x v="54"/>
    <s v="8690"/>
    <s v="Doc.MUDr. Tomáš Papajík, CSc. - HOK"/>
    <s v="8690 - Doc.MUDr. Tomáš Papajík, CSc. - HOK"/>
    <s v="50113001     léky - paušál+TISS (LEK)"/>
    <x v="3"/>
    <x v="0"/>
    <n v="0.42281000000000002"/>
    <n v="0"/>
  </r>
  <r>
    <s v="86"/>
    <s v="86"/>
    <s v="Granty"/>
    <x v="54"/>
    <s v="8690"/>
    <s v="Doc.MUDr. Tomáš Papajík, CSc. - HOK"/>
    <s v="8690 - Doc.MUDr. Tomáš Papajík, CSc. - HOK"/>
    <s v="50115     Zdravotnické prostředky"/>
    <x v="0"/>
    <x v="0"/>
    <n v="306.08170000000001"/>
    <n v="0"/>
  </r>
  <r>
    <s v="86"/>
    <s v="86"/>
    <s v="Granty"/>
    <x v="54"/>
    <s v="8690"/>
    <s v="Doc.MUDr. Tomáš Papajík, CSc. - HOK"/>
    <s v="8690 - Doc.MUDr. Tomáš Papajík, CSc. - HOK"/>
    <s v="50115     Zdravotnické prostředky"/>
    <x v="0"/>
    <x v="1"/>
    <n v="370.99580000000003"/>
    <n v="0"/>
  </r>
  <r>
    <s v="86"/>
    <s v="86"/>
    <s v="Granty"/>
    <x v="54"/>
    <s v="8690"/>
    <s v="Doc.MUDr. Tomáš Papajík, CSc. - HOK"/>
    <s v="8690 - Doc.MUDr. Tomáš Papajík, CSc. - HOK"/>
    <s v="50115     Zdravotnické prostředky"/>
    <x v="0"/>
    <x v="2"/>
    <n v="254.11261999999999"/>
    <n v="0"/>
  </r>
  <r>
    <s v="86"/>
    <s v="86"/>
    <s v="Granty"/>
    <x v="54"/>
    <s v="8690"/>
    <s v="Doc.MUDr. Tomáš Papajík, CSc. - HOK"/>
    <s v="8690 - Doc.MUDr. Tomáš Papajík, CSc. - HOK"/>
    <s v="50115020     diagnostika laboratorní-LEK (sk.Z_501)"/>
    <x v="10"/>
    <x v="0"/>
    <n v="306.08170000000001"/>
    <n v="0"/>
  </r>
  <r>
    <s v="86"/>
    <s v="86"/>
    <s v="Granty"/>
    <x v="54"/>
    <s v="8690"/>
    <s v="Doc.MUDr. Tomáš Papajík, CSc. - HOK"/>
    <s v="8690 - Doc.MUDr. Tomáš Papajík, CSc. - HOK"/>
    <s v="50115020     diagnostika laboratorní-LEK (sk.Z_501)"/>
    <x v="10"/>
    <x v="1"/>
    <n v="345.7201"/>
    <n v="0"/>
  </r>
  <r>
    <s v="86"/>
    <s v="86"/>
    <s v="Granty"/>
    <x v="54"/>
    <s v="8690"/>
    <s v="Doc.MUDr. Tomáš Papajík, CSc. - HOK"/>
    <s v="8690 - Doc.MUDr. Tomáš Papajík, CSc. - HOK"/>
    <s v="50115020     diagnostika laboratorní-LEK (sk.Z_501)"/>
    <x v="10"/>
    <x v="2"/>
    <n v="254.11261999999999"/>
    <n v="0"/>
  </r>
  <r>
    <s v="86"/>
    <s v="86"/>
    <s v="Granty"/>
    <x v="54"/>
    <s v="8690"/>
    <s v="Doc.MUDr. Tomáš Papajík, CSc. - HOK"/>
    <s v="8690 - Doc.MUDr. Tomáš Papajík, CSc. - HOK"/>
    <s v="50115040     laboratorní materiál (sk.Z_505)"/>
    <x v="11"/>
    <x v="1"/>
    <n v="25.275700000000001"/>
    <n v="0"/>
  </r>
  <r>
    <s v="86"/>
    <s v="86"/>
    <s v="Granty"/>
    <x v="54"/>
    <s v="8691"/>
    <s v="MUDr. Ondřej Kalita, Ph.D. - NCHIR"/>
    <s v="8691 - MUDr. Ondřej Kalita, Ph.D. - NCHIR"/>
    <s v="50113     Léky a léčiva"/>
    <x v="2"/>
    <x v="2"/>
    <n v="6.2210000000000001E-2"/>
    <n v="0"/>
  </r>
  <r>
    <s v="86"/>
    <s v="86"/>
    <s v="Granty"/>
    <x v="54"/>
    <s v="8691"/>
    <s v="MUDr. Ondřej Kalita, Ph.D. - NCHIR"/>
    <s v="8691 - MUDr. Ondřej Kalita, Ph.D. - NCHIR"/>
    <s v="50113001     léky - paušál+TISS (LEK)"/>
    <x v="3"/>
    <x v="2"/>
    <n v="6.2210000000000001E-2"/>
    <n v="0"/>
  </r>
  <r>
    <s v="86"/>
    <s v="86"/>
    <s v="Granty"/>
    <x v="54"/>
    <s v="8691"/>
    <s v="MUDr. Ondřej Kalita, Ph.D. - NCHIR"/>
    <s v="8691 - MUDr. Ondřej Kalita, Ph.D. - NCHIR"/>
    <s v="50115     Zdravotnické prostředky"/>
    <x v="0"/>
    <x v="0"/>
    <n v="2.7349999999999999"/>
    <n v="0"/>
  </r>
  <r>
    <s v="86"/>
    <s v="86"/>
    <s v="Granty"/>
    <x v="54"/>
    <s v="8691"/>
    <s v="MUDr. Ondřej Kalita, Ph.D. - NCHIR"/>
    <s v="8691 - MUDr. Ondřej Kalita, Ph.D. - NCHIR"/>
    <s v="50115060     ostatní ZPr - mimo níže uvedené (sk.Z_503)"/>
    <x v="1"/>
    <x v="0"/>
    <n v="2.7349999999999999"/>
    <n v="0"/>
  </r>
  <r>
    <s v="86"/>
    <s v="86"/>
    <s v="Granty"/>
    <x v="54"/>
    <s v="8692"/>
    <m/>
    <s v="8692 - "/>
    <s v="50115     Zdravotnické prostředky"/>
    <x v="0"/>
    <x v="0"/>
    <n v="70.277770000000004"/>
    <n v="0"/>
  </r>
  <r>
    <s v="86"/>
    <s v="86"/>
    <s v="Granty"/>
    <x v="54"/>
    <s v="8692"/>
    <m/>
    <s v="8692 - "/>
    <s v="50115     Zdravotnické prostředky"/>
    <x v="0"/>
    <x v="1"/>
    <n v="32.850999999999999"/>
    <n v="0"/>
  </r>
  <r>
    <s v="86"/>
    <s v="86"/>
    <s v="Granty"/>
    <x v="54"/>
    <s v="8692"/>
    <m/>
    <s v="8692 - "/>
    <s v="50115060     ostatní ZPr - mimo níže uvedené (sk.Z_503)"/>
    <x v="1"/>
    <x v="0"/>
    <n v="70.277770000000004"/>
    <n v="0"/>
  </r>
  <r>
    <s v="86"/>
    <s v="86"/>
    <s v="Granty"/>
    <x v="54"/>
    <s v="8692"/>
    <m/>
    <s v="8692 - "/>
    <s v="50115060     ostatní ZPr - mimo níže uvedené (sk.Z_503)"/>
    <x v="1"/>
    <x v="1"/>
    <n v="32.850999999999999"/>
    <n v="0"/>
  </r>
  <r>
    <s v="86"/>
    <s v="86"/>
    <s v="Granty"/>
    <x v="54"/>
    <s v="8693"/>
    <s v="Prof.MUDr. Karel Indrák, DrSc. - HOK"/>
    <s v="8693 - Prof.MUDr. Karel Indrák, DrSc. - HOK"/>
    <s v="50115     Zdravotnické prostředky"/>
    <x v="0"/>
    <x v="0"/>
    <n v="196.32352"/>
    <n v="0"/>
  </r>
  <r>
    <s v="86"/>
    <s v="86"/>
    <s v="Granty"/>
    <x v="54"/>
    <s v="8693"/>
    <s v="Prof.MUDr. Karel Indrák, DrSc. - HOK"/>
    <s v="8693 - Prof.MUDr. Karel Indrák, DrSc. - HOK"/>
    <s v="50115     Zdravotnické prostředky"/>
    <x v="0"/>
    <x v="1"/>
    <n v="195.04198"/>
    <n v="0"/>
  </r>
  <r>
    <s v="86"/>
    <s v="86"/>
    <s v="Granty"/>
    <x v="54"/>
    <s v="8693"/>
    <s v="Prof.MUDr. Karel Indrák, DrSc. - HOK"/>
    <s v="8693 - Prof.MUDr. Karel Indrák, DrSc. - HOK"/>
    <s v="50115     Zdravotnické prostředky"/>
    <x v="0"/>
    <x v="2"/>
    <n v="194.64666"/>
    <n v="0"/>
  </r>
  <r>
    <s v="86"/>
    <s v="86"/>
    <s v="Granty"/>
    <x v="54"/>
    <s v="8693"/>
    <s v="Prof.MUDr. Karel Indrák, DrSc. - HOK"/>
    <s v="8693 - Prof.MUDr. Karel Indrák, DrSc. - HOK"/>
    <s v="50115020     diagnostika laboratorní-LEK (sk.Z_501)"/>
    <x v="10"/>
    <x v="0"/>
    <n v="87.892700000000005"/>
    <n v="0"/>
  </r>
  <r>
    <s v="86"/>
    <s v="86"/>
    <s v="Granty"/>
    <x v="54"/>
    <s v="8693"/>
    <s v="Prof.MUDr. Karel Indrák, DrSc. - HOK"/>
    <s v="8693 - Prof.MUDr. Karel Indrák, DrSc. - HOK"/>
    <s v="50115020     diagnostika laboratorní-LEK (sk.Z_501)"/>
    <x v="10"/>
    <x v="1"/>
    <n v="195.04198"/>
    <n v="0"/>
  </r>
  <r>
    <s v="86"/>
    <s v="86"/>
    <s v="Granty"/>
    <x v="54"/>
    <s v="8693"/>
    <s v="Prof.MUDr. Karel Indrák, DrSc. - HOK"/>
    <s v="8693 - Prof.MUDr. Karel Indrák, DrSc. - HOK"/>
    <s v="50115020     diagnostika laboratorní-LEK (sk.Z_501)"/>
    <x v="10"/>
    <x v="2"/>
    <n v="194.64666"/>
    <n v="0"/>
  </r>
  <r>
    <s v="86"/>
    <s v="86"/>
    <s v="Granty"/>
    <x v="54"/>
    <s v="8693"/>
    <s v="Prof.MUDr. Karel Indrák, DrSc. - HOK"/>
    <s v="8693 - Prof.MUDr. Karel Indrák, DrSc. - HOK"/>
    <s v="50115040     laboratorní materiál (sk.Z_505)"/>
    <x v="11"/>
    <x v="0"/>
    <n v="77.137"/>
    <n v="0"/>
  </r>
  <r>
    <s v="86"/>
    <s v="86"/>
    <s v="Granty"/>
    <x v="54"/>
    <s v="8693"/>
    <s v="Prof.MUDr. Karel Indrák, DrSc. - HOK"/>
    <s v="8693 - Prof.MUDr. Karel Indrák, DrSc. - HOK"/>
    <s v="50115060     ostatní ZPr - mimo níže uvedené (sk.Z_503)"/>
    <x v="1"/>
    <x v="0"/>
    <n v="31.29382"/>
    <n v="0"/>
  </r>
  <r>
    <s v="86"/>
    <s v="86"/>
    <s v="Granty"/>
    <x v="54"/>
    <s v="8694"/>
    <s v="Doc.MUDr.Petr Utíkal, Ph.D. - 2. CHIR"/>
    <s v="8694 - Doc.MUDr.Petr Utíkal, Ph.D. - 2. CHIR"/>
    <s v="50115     Zdravotnické prostředky"/>
    <x v="0"/>
    <x v="0"/>
    <n v="55"/>
    <n v="0"/>
  </r>
  <r>
    <s v="86"/>
    <s v="86"/>
    <s v="Granty"/>
    <x v="54"/>
    <s v="8694"/>
    <s v="Doc.MUDr.Petr Utíkal, Ph.D. - 2. CHIR"/>
    <s v="8694 - Doc.MUDr.Petr Utíkal, Ph.D. - 2. CHIR"/>
    <s v="50115     Zdravotnické prostředky"/>
    <x v="0"/>
    <x v="1"/>
    <n v="40"/>
    <n v="0"/>
  </r>
  <r>
    <s v="86"/>
    <s v="86"/>
    <s v="Granty"/>
    <x v="54"/>
    <s v="8694"/>
    <s v="Doc.MUDr.Petr Utíkal, Ph.D. - 2. CHIR"/>
    <s v="8694 - Doc.MUDr.Petr Utíkal, Ph.D. - 2. CHIR"/>
    <s v="50115     Zdravotnické prostředky"/>
    <x v="0"/>
    <x v="2"/>
    <n v="40"/>
    <n v="0"/>
  </r>
  <r>
    <s v="86"/>
    <s v="86"/>
    <s v="Granty"/>
    <x v="54"/>
    <s v="8694"/>
    <s v="Doc.MUDr.Petr Utíkal, Ph.D. - 2. CHIR"/>
    <s v="8694 - Doc.MUDr.Petr Utíkal, Ph.D. - 2. CHIR"/>
    <s v="50115021     diagnostika laboratorní-skl.ZPr(sk.Z_501)"/>
    <x v="41"/>
    <x v="0"/>
    <n v="40"/>
    <n v="0"/>
  </r>
  <r>
    <s v="86"/>
    <s v="86"/>
    <s v="Granty"/>
    <x v="54"/>
    <s v="8694"/>
    <s v="Doc.MUDr.Petr Utíkal, Ph.D. - 2. CHIR"/>
    <s v="8694 - Doc.MUDr.Petr Utíkal, Ph.D. - 2. CHIR"/>
    <s v="50115021     diagnostika laboratorní-skl.ZPr(sk.Z_501)"/>
    <x v="41"/>
    <x v="1"/>
    <n v="35.86"/>
    <n v="0"/>
  </r>
  <r>
    <s v="86"/>
    <s v="86"/>
    <s v="Granty"/>
    <x v="54"/>
    <s v="8694"/>
    <s v="Doc.MUDr.Petr Utíkal, Ph.D. - 2. CHIR"/>
    <s v="8694 - Doc.MUDr.Petr Utíkal, Ph.D. - 2. CHIR"/>
    <s v="50115021     diagnostika laboratorní-skl.ZPr(sk.Z_501)"/>
    <x v="41"/>
    <x v="2"/>
    <n v="40"/>
    <n v="0"/>
  </r>
  <r>
    <s v="86"/>
    <s v="86"/>
    <s v="Granty"/>
    <x v="54"/>
    <s v="8694"/>
    <s v="Doc.MUDr.Petr Utíkal, Ph.D. - 2. CHIR"/>
    <s v="8694 - Doc.MUDr.Petr Utíkal, Ph.D. - 2. CHIR"/>
    <s v="50115050     obvazový materiál (sk.Z_502)"/>
    <x v="12"/>
    <x v="1"/>
    <n v="4.1399999999999997"/>
    <n v="0"/>
  </r>
  <r>
    <s v="86"/>
    <s v="86"/>
    <s v="Granty"/>
    <x v="54"/>
    <s v="8694"/>
    <s v="Doc.MUDr.Petr Utíkal, Ph.D. - 2. CHIR"/>
    <s v="8694 - Doc.MUDr.Petr Utíkal, Ph.D. - 2. CHIR"/>
    <s v="50115060     ostatní ZPr - mimo níže uvedené (sk.Z_503)"/>
    <x v="1"/>
    <x v="0"/>
    <n v="15"/>
    <n v="0"/>
  </r>
  <r>
    <s v="86"/>
    <s v="86"/>
    <s v="Granty"/>
    <x v="54"/>
    <s v="8695"/>
    <m/>
    <s v="8695 - "/>
    <s v="50115     Zdravotnické prostředky"/>
    <x v="0"/>
    <x v="0"/>
    <n v="184.54698000000002"/>
    <n v="0"/>
  </r>
  <r>
    <s v="86"/>
    <s v="86"/>
    <s v="Granty"/>
    <x v="54"/>
    <s v="8695"/>
    <m/>
    <s v="8695 - "/>
    <s v="50115     Zdravotnické prostředky"/>
    <x v="0"/>
    <x v="1"/>
    <n v="171.77737000000002"/>
    <n v="0"/>
  </r>
  <r>
    <s v="86"/>
    <s v="86"/>
    <s v="Granty"/>
    <x v="54"/>
    <s v="8695"/>
    <m/>
    <s v="8695 - "/>
    <s v="50115020     diagnostika laboratorní-LEK (sk.Z_501)"/>
    <x v="10"/>
    <x v="0"/>
    <n v="114.35704"/>
    <n v="0"/>
  </r>
  <r>
    <s v="86"/>
    <s v="86"/>
    <s v="Granty"/>
    <x v="54"/>
    <s v="8695"/>
    <m/>
    <s v="8695 - "/>
    <s v="50115020     diagnostika laboratorní-LEK (sk.Z_501)"/>
    <x v="10"/>
    <x v="1"/>
    <n v="105.56489000000002"/>
    <n v="0"/>
  </r>
  <r>
    <s v="86"/>
    <s v="86"/>
    <s v="Granty"/>
    <x v="54"/>
    <s v="8695"/>
    <m/>
    <s v="8695 - "/>
    <s v="50115040     laboratorní materiál (sk.Z_505)"/>
    <x v="11"/>
    <x v="0"/>
    <n v="23.562429999999999"/>
    <n v="0"/>
  </r>
  <r>
    <s v="86"/>
    <s v="86"/>
    <s v="Granty"/>
    <x v="54"/>
    <s v="8695"/>
    <m/>
    <s v="8695 - "/>
    <s v="50115040     laboratorní materiál (sk.Z_505)"/>
    <x v="11"/>
    <x v="1"/>
    <n v="21.554040000000001"/>
    <n v="0"/>
  </r>
  <r>
    <s v="86"/>
    <s v="86"/>
    <s v="Granty"/>
    <x v="54"/>
    <s v="8695"/>
    <m/>
    <s v="8695 - "/>
    <s v="50115060     ostatní ZPr - mimo níže uvedené (sk.Z_503)"/>
    <x v="1"/>
    <x v="0"/>
    <n v="46.627510000000001"/>
    <n v="0"/>
  </r>
  <r>
    <s v="86"/>
    <s v="86"/>
    <s v="Granty"/>
    <x v="54"/>
    <s v="8695"/>
    <m/>
    <s v="8695 - "/>
    <s v="50115060     ostatní ZPr - mimo níže uvedené (sk.Z_503)"/>
    <x v="1"/>
    <x v="1"/>
    <n v="44.380380000000002"/>
    <n v="0"/>
  </r>
  <r>
    <s v="86"/>
    <s v="86"/>
    <s v="Granty"/>
    <x v="54"/>
    <s v="8695"/>
    <m/>
    <s v="8695 - "/>
    <s v="50115065     ostatní ZPr - vpichovací materiál (sk.Z_530)"/>
    <x v="14"/>
    <x v="1"/>
    <n v="0.27805999999999997"/>
    <n v="0"/>
  </r>
  <r>
    <s v="86"/>
    <s v="86"/>
    <s v="Granty"/>
    <x v="54"/>
    <s v="8696"/>
    <s v="MUDr. Jan Gregar - 2. IK"/>
    <s v="8696 - MUDr. Jan Gregar - 2. IK"/>
    <s v="50115     Zdravotnické prostředky"/>
    <x v="0"/>
    <x v="0"/>
    <n v="510.24200000000002"/>
    <n v="0"/>
  </r>
  <r>
    <s v="86"/>
    <s v="86"/>
    <s v="Granty"/>
    <x v="54"/>
    <s v="8696"/>
    <s v="MUDr. Jan Gregar - 2. IK"/>
    <s v="8696 - MUDr. Jan Gregar - 2. IK"/>
    <s v="50115     Zdravotnické prostředky"/>
    <x v="0"/>
    <x v="1"/>
    <n v="77.896270000000001"/>
    <n v="0"/>
  </r>
  <r>
    <s v="86"/>
    <s v="86"/>
    <s v="Granty"/>
    <x v="54"/>
    <s v="8696"/>
    <s v="MUDr. Jan Gregar - 2. IK"/>
    <s v="8696 - MUDr. Jan Gregar - 2. IK"/>
    <s v="50115     Zdravotnické prostředky"/>
    <x v="0"/>
    <x v="2"/>
    <n v="18.622"/>
    <n v="0"/>
  </r>
  <r>
    <s v="86"/>
    <s v="86"/>
    <s v="Granty"/>
    <x v="54"/>
    <s v="8696"/>
    <s v="MUDr. Jan Gregar - 2. IK"/>
    <s v="8696 - MUDr. Jan Gregar - 2. IK"/>
    <s v="50115020     diagnostika laboratorní-LEK (sk.Z_501)"/>
    <x v="10"/>
    <x v="1"/>
    <n v="7.4655000000000005"/>
    <n v="0"/>
  </r>
  <r>
    <s v="86"/>
    <s v="86"/>
    <s v="Granty"/>
    <x v="54"/>
    <s v="8696"/>
    <s v="MUDr. Jan Gregar - 2. IK"/>
    <s v="8696 - MUDr. Jan Gregar - 2. IK"/>
    <s v="50115040     laboratorní materiál (sk.Z_505)"/>
    <x v="11"/>
    <x v="1"/>
    <n v="21.30977"/>
    <n v="0"/>
  </r>
  <r>
    <s v="86"/>
    <s v="86"/>
    <s v="Granty"/>
    <x v="54"/>
    <s v="8696"/>
    <s v="MUDr. Jan Gregar - 2. IK"/>
    <s v="8696 - MUDr. Jan Gregar - 2. IK"/>
    <s v="50115060     ostatní ZPr - mimo níže uvedené (sk.Z_503)"/>
    <x v="1"/>
    <x v="0"/>
    <n v="42.757999999999996"/>
    <n v="0"/>
  </r>
  <r>
    <s v="86"/>
    <s v="86"/>
    <s v="Granty"/>
    <x v="54"/>
    <s v="8696"/>
    <s v="MUDr. Jan Gregar - 2. IK"/>
    <s v="8696 - MUDr. Jan Gregar - 2. IK"/>
    <s v="50115060     ostatní ZPr - mimo níže uvedené (sk.Z_503)"/>
    <x v="1"/>
    <x v="1"/>
    <n v="10.635899999999999"/>
    <n v="0"/>
  </r>
  <r>
    <s v="86"/>
    <s v="86"/>
    <s v="Granty"/>
    <x v="54"/>
    <s v="8696"/>
    <s v="MUDr. Jan Gregar - 2. IK"/>
    <s v="8696 - MUDr. Jan Gregar - 2. IK"/>
    <s v="50115070     ostatní ZPr - katetry (sk.Z_513)"/>
    <x v="16"/>
    <x v="0"/>
    <n v="467.48399999999998"/>
    <n v="0"/>
  </r>
  <r>
    <s v="86"/>
    <s v="86"/>
    <s v="Granty"/>
    <x v="54"/>
    <s v="8696"/>
    <s v="MUDr. Jan Gregar - 2. IK"/>
    <s v="8696 - MUDr. Jan Gregar - 2. IK"/>
    <s v="50115070     ostatní ZPr - katetry (sk.Z_513)"/>
    <x v="16"/>
    <x v="1"/>
    <n v="38.485100000000003"/>
    <n v="0"/>
  </r>
  <r>
    <s v="86"/>
    <s v="86"/>
    <s v="Granty"/>
    <x v="54"/>
    <s v="8696"/>
    <s v="MUDr. Jan Gregar - 2. IK"/>
    <s v="8696 - MUDr. Jan Gregar - 2. IK"/>
    <s v="50115080     ostatní ZPr - staplery, extraktory (sk.Z_523)"/>
    <x v="30"/>
    <x v="2"/>
    <n v="18.622"/>
    <n v="0"/>
  </r>
  <r>
    <s v="86"/>
    <s v="86"/>
    <s v="Granty"/>
    <x v="54"/>
    <s v="8697"/>
    <s v="Prof.MUDr. Pavel Horák, CSc. - 3.IK"/>
    <s v="8697 - Prof.MUDr. Pavel Horák, CSc. - 3.IK"/>
    <s v="50115     Zdravotnické prostředky"/>
    <x v="0"/>
    <x v="0"/>
    <n v="50.349890000000002"/>
    <n v="0"/>
  </r>
  <r>
    <s v="86"/>
    <s v="86"/>
    <s v="Granty"/>
    <x v="54"/>
    <s v="8697"/>
    <s v="Prof.MUDr. Pavel Horák, CSc. - 3.IK"/>
    <s v="8697 - Prof.MUDr. Pavel Horák, CSc. - 3.IK"/>
    <s v="50115     Zdravotnické prostředky"/>
    <x v="0"/>
    <x v="1"/>
    <n v="52.768039999999999"/>
    <n v="0"/>
  </r>
  <r>
    <s v="86"/>
    <s v="86"/>
    <s v="Granty"/>
    <x v="54"/>
    <s v="8697"/>
    <s v="Prof.MUDr. Pavel Horák, CSc. - 3.IK"/>
    <s v="8697 - Prof.MUDr. Pavel Horák, CSc. - 3.IK"/>
    <s v="50115     Zdravotnické prostředky"/>
    <x v="0"/>
    <x v="2"/>
    <n v="49.899259999999998"/>
    <n v="0"/>
  </r>
  <r>
    <s v="86"/>
    <s v="86"/>
    <s v="Granty"/>
    <x v="54"/>
    <s v="8697"/>
    <s v="Prof.MUDr. Pavel Horák, CSc. - 3.IK"/>
    <s v="8697 - Prof.MUDr. Pavel Horák, CSc. - 3.IK"/>
    <s v="50115020     diagnostika laboratorní-LEK (sk.Z_501)"/>
    <x v="10"/>
    <x v="0"/>
    <n v="37.541919999999998"/>
    <n v="0"/>
  </r>
  <r>
    <s v="86"/>
    <s v="86"/>
    <s v="Granty"/>
    <x v="54"/>
    <s v="8697"/>
    <s v="Prof.MUDr. Pavel Horák, CSc. - 3.IK"/>
    <s v="8697 - Prof.MUDr. Pavel Horák, CSc. - 3.IK"/>
    <s v="50115020     diagnostika laboratorní-LEK (sk.Z_501)"/>
    <x v="10"/>
    <x v="1"/>
    <n v="39.125039999999998"/>
    <n v="0"/>
  </r>
  <r>
    <s v="86"/>
    <s v="86"/>
    <s v="Granty"/>
    <x v="54"/>
    <s v="8697"/>
    <s v="Prof.MUDr. Pavel Horák, CSc. - 3.IK"/>
    <s v="8697 - Prof.MUDr. Pavel Horák, CSc. - 3.IK"/>
    <s v="50115020     diagnostika laboratorní-LEK (sk.Z_501)"/>
    <x v="10"/>
    <x v="2"/>
    <n v="33.034260000000003"/>
    <n v="0"/>
  </r>
  <r>
    <s v="86"/>
    <s v="86"/>
    <s v="Granty"/>
    <x v="54"/>
    <s v="8697"/>
    <s v="Prof.MUDr. Pavel Horák, CSc. - 3.IK"/>
    <s v="8697 - Prof.MUDr. Pavel Horák, CSc. - 3.IK"/>
    <s v="50115040     laboratorní materiál (sk.Z_505)"/>
    <x v="11"/>
    <x v="0"/>
    <n v="12.807970000000001"/>
    <n v="0"/>
  </r>
  <r>
    <s v="86"/>
    <s v="86"/>
    <s v="Granty"/>
    <x v="54"/>
    <s v="8697"/>
    <s v="Prof.MUDr. Pavel Horák, CSc. - 3.IK"/>
    <s v="8697 - Prof.MUDr. Pavel Horák, CSc. - 3.IK"/>
    <s v="50115040     laboratorní materiál (sk.Z_505)"/>
    <x v="11"/>
    <x v="1"/>
    <n v="13.643000000000001"/>
    <n v="0"/>
  </r>
  <r>
    <s v="86"/>
    <s v="86"/>
    <s v="Granty"/>
    <x v="54"/>
    <s v="8697"/>
    <s v="Prof.MUDr. Pavel Horák, CSc. - 3.IK"/>
    <s v="8697 - Prof.MUDr. Pavel Horák, CSc. - 3.IK"/>
    <s v="50115040     laboratorní materiál (sk.Z_505)"/>
    <x v="11"/>
    <x v="2"/>
    <n v="16.865000000000002"/>
    <n v="0"/>
  </r>
  <r>
    <s v="86"/>
    <s v="86"/>
    <s v="Granty"/>
    <x v="54"/>
    <s v="8698"/>
    <s v="MUDr. Dušan Klos, Ph. D. - I.CHIR"/>
    <s v="8698 - MUDr. Dušan Klos, Ph. D. - I.CHIR"/>
    <s v="50115     Zdravotnické prostředky"/>
    <x v="0"/>
    <x v="0"/>
    <n v="39.503950000000003"/>
    <n v="0"/>
  </r>
  <r>
    <s v="86"/>
    <s v="86"/>
    <s v="Granty"/>
    <x v="54"/>
    <s v="8698"/>
    <s v="MUDr. Dušan Klos, Ph. D. - I.CHIR"/>
    <s v="8698 - MUDr. Dušan Klos, Ph. D. - I.CHIR"/>
    <s v="50115     Zdravotnické prostředky"/>
    <x v="0"/>
    <x v="1"/>
    <n v="39.945349999999998"/>
    <n v="0"/>
  </r>
  <r>
    <s v="86"/>
    <s v="86"/>
    <s v="Granty"/>
    <x v="54"/>
    <s v="8698"/>
    <s v="MUDr. Dušan Klos, Ph. D. - I.CHIR"/>
    <s v="8698 - MUDr. Dušan Klos, Ph. D. - I.CHIR"/>
    <s v="50115     Zdravotnické prostředky"/>
    <x v="0"/>
    <x v="2"/>
    <n v="36.213850000000001"/>
    <n v="0"/>
  </r>
  <r>
    <s v="86"/>
    <s v="86"/>
    <s v="Granty"/>
    <x v="54"/>
    <s v="8698"/>
    <s v="MUDr. Dušan Klos, Ph. D. - I.CHIR"/>
    <s v="8698 - MUDr. Dušan Klos, Ph. D. - I.CHIR"/>
    <s v="50115040     laboratorní materiál (sk.Z_505)"/>
    <x v="11"/>
    <x v="0"/>
    <n v="23.652899999999999"/>
    <n v="0"/>
  </r>
  <r>
    <s v="86"/>
    <s v="86"/>
    <s v="Granty"/>
    <x v="54"/>
    <s v="8698"/>
    <s v="MUDr. Dušan Klos, Ph. D. - I.CHIR"/>
    <s v="8698 - MUDr. Dušan Klos, Ph. D. - I.CHIR"/>
    <s v="50115040     laboratorní materiál (sk.Z_505)"/>
    <x v="11"/>
    <x v="1"/>
    <n v="37.103119999999997"/>
    <n v="0"/>
  </r>
  <r>
    <s v="86"/>
    <s v="86"/>
    <s v="Granty"/>
    <x v="54"/>
    <s v="8698"/>
    <s v="MUDr. Dušan Klos, Ph. D. - I.CHIR"/>
    <s v="8698 - MUDr. Dušan Klos, Ph. D. - I.CHIR"/>
    <s v="50115060     ostatní ZPr - mimo níže uvedené (sk.Z_503)"/>
    <x v="1"/>
    <x v="0"/>
    <n v="15.851050000000001"/>
    <n v="0"/>
  </r>
  <r>
    <s v="86"/>
    <s v="86"/>
    <s v="Granty"/>
    <x v="54"/>
    <s v="8698"/>
    <s v="MUDr. Dušan Klos, Ph. D. - I.CHIR"/>
    <s v="8698 - MUDr. Dušan Klos, Ph. D. - I.CHIR"/>
    <s v="50115060     ostatní ZPr - mimo níže uvedené (sk.Z_503)"/>
    <x v="1"/>
    <x v="1"/>
    <n v="2.8422299999999998"/>
    <n v="0"/>
  </r>
  <r>
    <s v="86"/>
    <s v="86"/>
    <s v="Granty"/>
    <x v="54"/>
    <s v="8698"/>
    <s v="MUDr. Dušan Klos, Ph. D. - I.CHIR"/>
    <s v="8698 - MUDr. Dušan Klos, Ph. D. - I.CHIR"/>
    <s v="50115060     ostatní ZPr - mimo níže uvedené (sk.Z_503)"/>
    <x v="1"/>
    <x v="2"/>
    <n v="19.13785"/>
    <n v="0"/>
  </r>
  <r>
    <s v="86"/>
    <s v="86"/>
    <s v="Granty"/>
    <x v="54"/>
    <s v="8698"/>
    <s v="MUDr. Dušan Klos, Ph. D. - I.CHIR"/>
    <s v="8698 - MUDr. Dušan Klos, Ph. D. - I.CHIR"/>
    <s v="50115065     ostatní ZPr - vpichovací materiál (sk.Z_530)"/>
    <x v="14"/>
    <x v="2"/>
    <n v="0.64300000000000002"/>
    <n v="0"/>
  </r>
  <r>
    <s v="86"/>
    <s v="86"/>
    <s v="Granty"/>
    <x v="54"/>
    <s v="8698"/>
    <s v="MUDr. Dušan Klos, Ph. D. - I.CHIR"/>
    <s v="8698 - MUDr. Dušan Klos, Ph. D. - I.CHIR"/>
    <s v="50115080     ostatní ZPr - staplery, extraktory (sk.Z_523)"/>
    <x v="30"/>
    <x v="2"/>
    <n v="16.433"/>
    <n v="0"/>
  </r>
  <r>
    <s v="86"/>
    <s v="86"/>
    <s v="Granty"/>
    <x v="54"/>
    <s v="8699"/>
    <s v="Granty - pomocné středisko"/>
    <s v="8699 - Granty - pomocné středisko"/>
    <s v="50113     Léky a léčiva"/>
    <x v="2"/>
    <x v="2"/>
    <n v="0"/>
    <n v="581.99998166841101"/>
  </r>
  <r>
    <s v="86"/>
    <s v="86"/>
    <s v="Granty"/>
    <x v="54"/>
    <s v="8699"/>
    <s v="Granty - pomocné středisko"/>
    <s v="8699 - Granty - pomocné středisko"/>
    <s v="50113001     léky - paušál+TISS (LEK)"/>
    <x v="3"/>
    <x v="2"/>
    <n v="0"/>
    <n v="294.99999070821502"/>
  </r>
  <r>
    <s v="86"/>
    <s v="86"/>
    <s v="Granty"/>
    <x v="54"/>
    <s v="8699"/>
    <s v="Granty - pomocné středisko"/>
    <s v="8699 - Granty - pomocné středisko"/>
    <s v="50113003     léky ostatní - faktury (VaV)"/>
    <x v="63"/>
    <x v="2"/>
    <n v="0"/>
    <n v="286.99999096019599"/>
  </r>
  <r>
    <s v="86"/>
    <s v="86"/>
    <s v="Granty"/>
    <x v="54"/>
    <s v="8699"/>
    <s v="Granty - pomocné středisko"/>
    <s v="8699 - Granty - pomocné středisko"/>
    <s v="50115     Zdravotnické prostředky"/>
    <x v="0"/>
    <x v="2"/>
    <n v="0"/>
    <n v="9499.9997007730199"/>
  </r>
  <r>
    <s v="86"/>
    <s v="86"/>
    <s v="Granty"/>
    <x v="54"/>
    <s v="8699"/>
    <s v="Granty - pomocné středisko"/>
    <s v="8699 - Granty - pomocné středisko"/>
    <s v="50115011     implant.umělé těl.náhr.-ostat.nákl.PZT(s.Z_515)"/>
    <x v="26"/>
    <x v="2"/>
    <n v="0"/>
    <n v="499.99998425121203"/>
  </r>
  <r>
    <s v="86"/>
    <s v="86"/>
    <s v="Granty"/>
    <x v="54"/>
    <s v="8699"/>
    <s v="Granty - pomocné středisko"/>
    <s v="8699 - Granty - pomocné středisko"/>
    <s v="50115020     diagnostika laboratorní-LEK (sk.Z_501)"/>
    <x v="10"/>
    <x v="2"/>
    <n v="0"/>
    <n v="6999.9997795169602"/>
  </r>
  <r>
    <s v="86"/>
    <s v="86"/>
    <s v="Granty"/>
    <x v="54"/>
    <s v="8699"/>
    <s v="Granty - pomocné středisko"/>
    <s v="8699 - Granty - pomocné středisko"/>
    <s v="50115040     laboratorní materiál (sk.Z_505)"/>
    <x v="11"/>
    <x v="2"/>
    <n v="0"/>
    <n v="499.99998425121203"/>
  </r>
  <r>
    <s v="86"/>
    <s v="86"/>
    <s v="Granty"/>
    <x v="54"/>
    <s v="8699"/>
    <s v="Granty - pomocné středisko"/>
    <s v="8699 - Granty - pomocné středisko"/>
    <s v="50115060     ostatní ZPr - mimo níže uvedené (sk.Z_503)"/>
    <x v="1"/>
    <x v="2"/>
    <n v="0"/>
    <n v="1499.9999527536299"/>
  </r>
  <r>
    <s v="89"/>
    <s v="89"/>
    <s v="pomocná střediska"/>
    <x v="55"/>
    <s v="8988"/>
    <s v="pomocné středisko"/>
    <s v="8988 - pomocné středisko"/>
    <s v="50113     Léky a léčiva"/>
    <x v="2"/>
    <x v="0"/>
    <n v="166.08891000000099"/>
    <n v="-132487.74802098799"/>
  </r>
  <r>
    <s v="89"/>
    <s v="89"/>
    <s v="pomocná střediska"/>
    <x v="55"/>
    <s v="8988"/>
    <s v="pomocné středisko"/>
    <s v="8988 - pomocné středisko"/>
    <s v="50113     Léky a léčiva"/>
    <x v="2"/>
    <x v="1"/>
    <n v="-166.08891000000099"/>
    <n v="-118805.280949283"/>
  </r>
  <r>
    <s v="89"/>
    <s v="89"/>
    <s v="pomocná střediska"/>
    <x v="55"/>
    <s v="8988"/>
    <s v="pomocné středisko"/>
    <s v="8988 - pomocné středisko"/>
    <s v="50113     Léky a léčiva"/>
    <x v="2"/>
    <x v="2"/>
    <n v="-47224.033289999999"/>
    <n v="-200642.56901757701"/>
  </r>
  <r>
    <s v="89"/>
    <s v="89"/>
    <s v="pomocná střediska"/>
    <x v="55"/>
    <s v="8988"/>
    <s v="pomocné středisko"/>
    <s v="8988 - pomocné středisko"/>
    <s v="50113001     léky - paušál+TISS (LEK)"/>
    <x v="3"/>
    <x v="0"/>
    <n v="166.08891000000099"/>
    <n v="-5696.0540409032201"/>
  </r>
  <r>
    <s v="89"/>
    <s v="89"/>
    <s v="pomocná střediska"/>
    <x v="55"/>
    <s v="8988"/>
    <s v="pomocné středisko"/>
    <s v="8988 - pomocné středisko"/>
    <s v="50113001     léky - paušál+TISS (LEK)"/>
    <x v="3"/>
    <x v="1"/>
    <n v="-166.08891000000099"/>
    <n v="-17520.9340235727"/>
  </r>
  <r>
    <s v="89"/>
    <s v="89"/>
    <s v="pomocná střediska"/>
    <x v="55"/>
    <s v="8988"/>
    <s v="pomocné středisko"/>
    <s v="8988 - pomocné středisko"/>
    <s v="50113001     léky - paušál+TISS (LEK)"/>
    <x v="3"/>
    <x v="2"/>
    <n v="0"/>
    <n v="-1689.9817351598199"/>
  </r>
  <r>
    <s v="89"/>
    <s v="89"/>
    <s v="pomocná střediska"/>
    <x v="55"/>
    <s v="8988"/>
    <s v="pomocné středisko"/>
    <s v="8988 - pomocné středisko"/>
    <s v="50113005     léky - radiofarmaka (KNM)"/>
    <x v="58"/>
    <x v="1"/>
    <n v="0"/>
    <n v="2500"/>
  </r>
  <r>
    <s v="89"/>
    <s v="89"/>
    <s v="pomocná střediska"/>
    <x v="55"/>
    <s v="8988"/>
    <s v="pomocné středisko"/>
    <s v="8988 - pomocné středisko"/>
    <s v="50113005     léky - radiofarmaka (KNM)"/>
    <x v="58"/>
    <x v="2"/>
    <n v="0"/>
    <n v="2869.5651270069502"/>
  </r>
  <r>
    <s v="89"/>
    <s v="89"/>
    <s v="pomocná střediska"/>
    <x v="55"/>
    <s v="8988"/>
    <s v="pomocné středisko"/>
    <s v="8988 - pomocné středisko"/>
    <s v="50113006     léky - enterální výživa (LEK)"/>
    <x v="4"/>
    <x v="0"/>
    <n v="0"/>
    <n v="-1103.9707252926501"/>
  </r>
  <r>
    <s v="89"/>
    <s v="89"/>
    <s v="pomocná střediska"/>
    <x v="55"/>
    <s v="8988"/>
    <s v="pomocné středisko"/>
    <s v="8988 - pomocné středisko"/>
    <s v="50113006     léky - enterální výživa (LEK)"/>
    <x v="4"/>
    <x v="1"/>
    <n v="0"/>
    <n v="-409"/>
  </r>
  <r>
    <s v="89"/>
    <s v="89"/>
    <s v="pomocná střediska"/>
    <x v="55"/>
    <s v="8988"/>
    <s v="pomocné středisko"/>
    <s v="8988 - pomocné středisko"/>
    <s v="50113006     léky - enterální výživa (LEK)"/>
    <x v="4"/>
    <x v="2"/>
    <n v="0"/>
    <n v="-421.99999782666703"/>
  </r>
  <r>
    <s v="89"/>
    <s v="89"/>
    <s v="pomocná střediska"/>
    <x v="55"/>
    <s v="8988"/>
    <s v="pomocné středisko"/>
    <s v="8988 - pomocné středisko"/>
    <s v="50113007     léky - krev.deriváty ZUL (LEK)"/>
    <x v="45"/>
    <x v="0"/>
    <n v="0"/>
    <n v="-242.973104466595"/>
  </r>
  <r>
    <s v="89"/>
    <s v="89"/>
    <s v="pomocná střediska"/>
    <x v="55"/>
    <s v="8988"/>
    <s v="pomocné středisko"/>
    <s v="8988 - pomocné středisko"/>
    <s v="50113007     léky - krev.deriváty ZUL (LEK)"/>
    <x v="45"/>
    <x v="1"/>
    <n v="0"/>
    <n v="-90"/>
  </r>
  <r>
    <s v="89"/>
    <s v="89"/>
    <s v="pomocná střediska"/>
    <x v="55"/>
    <s v="8988"/>
    <s v="pomocné středisko"/>
    <s v="8988 - pomocné středisko"/>
    <s v="50113008     léky - krev.deriváty ZUL (TO)"/>
    <x v="5"/>
    <x v="0"/>
    <n v="0"/>
    <n v="1701.0042969885501"/>
  </r>
  <r>
    <s v="89"/>
    <s v="89"/>
    <s v="pomocná střediska"/>
    <x v="55"/>
    <s v="8988"/>
    <s v="pomocné středisko"/>
    <s v="8988 - pomocné středisko"/>
    <s v="50113008     léky - krev.deriváty ZUL (TO)"/>
    <x v="5"/>
    <x v="1"/>
    <n v="0"/>
    <n v="-4000"/>
  </r>
  <r>
    <s v="89"/>
    <s v="89"/>
    <s v="pomocná střediska"/>
    <x v="55"/>
    <s v="8988"/>
    <s v="pomocné středisko"/>
    <s v="8988 - pomocné středisko"/>
    <s v="50113008     léky - krev.deriváty ZUL (TO)"/>
    <x v="5"/>
    <x v="2"/>
    <n v="0"/>
    <n v="-6939.9998030771503"/>
  </r>
  <r>
    <s v="89"/>
    <s v="89"/>
    <s v="pomocná střediska"/>
    <x v="55"/>
    <s v="8988"/>
    <s v="pomocné středisko"/>
    <s v="8988 - pomocné středisko"/>
    <s v="50113009     léky - RTG diagnostika ZUL (LEK)"/>
    <x v="22"/>
    <x v="0"/>
    <n v="0"/>
    <n v="250.59748875352599"/>
  </r>
  <r>
    <s v="89"/>
    <s v="89"/>
    <s v="pomocná střediska"/>
    <x v="55"/>
    <s v="8988"/>
    <s v="pomocné středisko"/>
    <s v="8988 - pomocné středisko"/>
    <s v="50113009     léky - RTG diagnostika ZUL (LEK)"/>
    <x v="22"/>
    <x v="1"/>
    <n v="0"/>
    <n v="531.61191440979906"/>
  </r>
  <r>
    <s v="89"/>
    <s v="89"/>
    <s v="pomocná střediska"/>
    <x v="55"/>
    <s v="8988"/>
    <s v="pomocné středisko"/>
    <s v="8988 - pomocné středisko"/>
    <s v="50113009     léky - RTG diagnostika ZUL (LEK)"/>
    <x v="22"/>
    <x v="2"/>
    <n v="0"/>
    <n v="-1139"/>
  </r>
  <r>
    <s v="89"/>
    <s v="89"/>
    <s v="pomocná střediska"/>
    <x v="55"/>
    <s v="8988"/>
    <s v="pomocné středisko"/>
    <s v="8988 - pomocné středisko"/>
    <s v="50113010     léky - botox (LEK)"/>
    <x v="55"/>
    <x v="0"/>
    <n v="0"/>
    <n v="956.00840262941097"/>
  </r>
  <r>
    <s v="89"/>
    <s v="89"/>
    <s v="pomocná střediska"/>
    <x v="55"/>
    <s v="8988"/>
    <s v="pomocné středisko"/>
    <s v="8988 - pomocné středisko"/>
    <s v="50113011     léky - hemofilici ZUL (TO)"/>
    <x v="6"/>
    <x v="0"/>
    <n v="0"/>
    <n v="1171.0063752896399"/>
  </r>
  <r>
    <s v="89"/>
    <s v="89"/>
    <s v="pomocná střediska"/>
    <x v="55"/>
    <s v="8988"/>
    <s v="pomocné středisko"/>
    <s v="8988 - pomocné středisko"/>
    <s v="50113011     léky - hemofilici ZUL (TO)"/>
    <x v="6"/>
    <x v="1"/>
    <n v="0"/>
    <n v="387"/>
  </r>
  <r>
    <s v="89"/>
    <s v="89"/>
    <s v="pomocná střediska"/>
    <x v="55"/>
    <s v="8988"/>
    <s v="pomocné středisko"/>
    <s v="8988 - pomocné středisko"/>
    <s v="50113011     léky - hemofilici ZUL (TO)"/>
    <x v="6"/>
    <x v="2"/>
    <n v="0"/>
    <n v="-885.99997209314699"/>
  </r>
  <r>
    <s v="89"/>
    <s v="89"/>
    <s v="pomocná střediska"/>
    <x v="55"/>
    <s v="8988"/>
    <s v="pomocné středisko"/>
    <s v="8988 - pomocné středisko"/>
    <s v="50113012     léky - trombolýza (LEK)"/>
    <x v="19"/>
    <x v="0"/>
    <n v="0"/>
    <n v="-283.26585719461502"/>
  </r>
  <r>
    <s v="89"/>
    <s v="89"/>
    <s v="pomocná střediska"/>
    <x v="55"/>
    <s v="8988"/>
    <s v="pomocné středisko"/>
    <s v="8988 - pomocné středisko"/>
    <s v="50113012     léky - trombolýza (LEK)"/>
    <x v="19"/>
    <x v="2"/>
    <n v="0"/>
    <n v="-21.999999307052999"/>
  </r>
  <r>
    <s v="89"/>
    <s v="89"/>
    <s v="pomocná střediska"/>
    <x v="55"/>
    <s v="8988"/>
    <s v="pomocné středisko"/>
    <s v="8988 - pomocné středisko"/>
    <s v="50113013     léky (paušál) - antibiotika (LEK)"/>
    <x v="7"/>
    <x v="0"/>
    <n v="0"/>
    <n v="-1256.20984829791"/>
  </r>
  <r>
    <s v="89"/>
    <s v="89"/>
    <s v="pomocná střediska"/>
    <x v="55"/>
    <s v="8988"/>
    <s v="pomocné středisko"/>
    <s v="8988 - pomocné středisko"/>
    <s v="50113013     léky (paušál) - antibiotika (LEK)"/>
    <x v="7"/>
    <x v="1"/>
    <n v="0"/>
    <n v="-3778"/>
  </r>
  <r>
    <s v="89"/>
    <s v="89"/>
    <s v="pomocná střediska"/>
    <x v="55"/>
    <s v="8988"/>
    <s v="pomocné středisko"/>
    <s v="8988 - pomocné středisko"/>
    <s v="50113013     léky (paušál) - antibiotika (LEK)"/>
    <x v="7"/>
    <x v="2"/>
    <n v="0"/>
    <n v="-644.999986550534"/>
  </r>
  <r>
    <s v="89"/>
    <s v="89"/>
    <s v="pomocná střediska"/>
    <x v="55"/>
    <s v="8988"/>
    <s v="pomocné středisko"/>
    <s v="8988 - pomocné středisko"/>
    <s v="50113014     léky (paušál) - antimykotika (LEK)"/>
    <x v="8"/>
    <x v="0"/>
    <n v="0"/>
    <n v="831.19724398651795"/>
  </r>
  <r>
    <s v="89"/>
    <s v="89"/>
    <s v="pomocná střediska"/>
    <x v="55"/>
    <s v="8988"/>
    <s v="pomocné středisko"/>
    <s v="8988 - pomocné středisko"/>
    <s v="50113014     léky (paušál) - antimykotika (LEK)"/>
    <x v="8"/>
    <x v="1"/>
    <n v="0"/>
    <n v="-7632.7272756818202"/>
  </r>
  <r>
    <s v="89"/>
    <s v="89"/>
    <s v="pomocná střediska"/>
    <x v="55"/>
    <s v="8988"/>
    <s v="pomocné středisko"/>
    <s v="8988 - pomocné středisko"/>
    <s v="50113014     léky (paušál) - antimykotika (LEK)"/>
    <x v="8"/>
    <x v="2"/>
    <n v="0"/>
    <n v="-1474.99996721102"/>
  </r>
  <r>
    <s v="89"/>
    <s v="89"/>
    <s v="pomocná střediska"/>
    <x v="55"/>
    <s v="8988"/>
    <s v="pomocné středisko"/>
    <s v="8988 - pomocné středisko"/>
    <s v="50113016     léky - spotřeba v centrech (LEK)"/>
    <x v="39"/>
    <x v="0"/>
    <n v="0"/>
    <n v="-18815"/>
  </r>
  <r>
    <s v="89"/>
    <s v="89"/>
    <s v="pomocná střediska"/>
    <x v="55"/>
    <s v="8988"/>
    <s v="pomocné středisko"/>
    <s v="8988 - pomocné středisko"/>
    <s v="50113016     léky - spotřeba v centrech (LEK)"/>
    <x v="39"/>
    <x v="1"/>
    <n v="0"/>
    <n v="-68793.231564438305"/>
  </r>
  <r>
    <s v="89"/>
    <s v="89"/>
    <s v="pomocná střediska"/>
    <x v="55"/>
    <s v="8988"/>
    <s v="pomocné středisko"/>
    <s v="8988 - pomocné středisko"/>
    <s v="50113016     léky - spotřeba v centrech (LEK)"/>
    <x v="39"/>
    <x v="2"/>
    <n v="0"/>
    <n v="-129194.152683359"/>
  </r>
  <r>
    <s v="89"/>
    <s v="89"/>
    <s v="pomocná střediska"/>
    <x v="55"/>
    <s v="8988"/>
    <s v="pomocné středisko"/>
    <s v="8988 - pomocné středisko"/>
    <s v="50113017     léky - dle §16 (LEK)"/>
    <x v="40"/>
    <x v="2"/>
    <n v="0"/>
    <n v="-3708"/>
  </r>
  <r>
    <s v="89"/>
    <s v="89"/>
    <s v="pomocná střediska"/>
    <x v="55"/>
    <s v="8988"/>
    <s v="pomocné středisko"/>
    <s v="8988 - pomocné středisko"/>
    <s v="50113300     léky - finanční bonusy"/>
    <x v="62"/>
    <x v="0"/>
    <n v="0"/>
    <n v="-110000.08825248"/>
  </r>
  <r>
    <s v="89"/>
    <s v="89"/>
    <s v="pomocná střediska"/>
    <x v="55"/>
    <s v="8988"/>
    <s v="pomocné středisko"/>
    <s v="8988 - pomocné středisko"/>
    <s v="50113300     léky - finanční bonusy"/>
    <x v="62"/>
    <x v="1"/>
    <n v="0"/>
    <n v="-19999.9999999996"/>
  </r>
  <r>
    <s v="89"/>
    <s v="89"/>
    <s v="pomocná střediska"/>
    <x v="55"/>
    <s v="8988"/>
    <s v="pomocné středisko"/>
    <s v="8988 - pomocné středisko"/>
    <s v="50113300     léky - finanční bonusy"/>
    <x v="62"/>
    <x v="2"/>
    <n v="-47224.033289999999"/>
    <n v="-57391"/>
  </r>
  <r>
    <s v="89"/>
    <s v="89"/>
    <s v="pomocná střediska"/>
    <x v="55"/>
    <s v="8988"/>
    <s v="pomocné středisko"/>
    <s v="8988 - pomocné středisko"/>
    <s v="50115     Zdravotnické prostředky"/>
    <x v="0"/>
    <x v="0"/>
    <n v="737.968200000004"/>
    <n v="-132186.643856632"/>
  </r>
  <r>
    <s v="89"/>
    <s v="89"/>
    <s v="pomocná střediska"/>
    <x v="55"/>
    <s v="8988"/>
    <s v="pomocné středisko"/>
    <s v="8988 - pomocné středisko"/>
    <s v="50115     Zdravotnické prostředky"/>
    <x v="0"/>
    <x v="1"/>
    <n v="-737.968200000004"/>
    <n v="-99098.985631948104"/>
  </r>
  <r>
    <s v="89"/>
    <s v="89"/>
    <s v="pomocná střediska"/>
    <x v="55"/>
    <s v="8988"/>
    <s v="pomocné středisko"/>
    <s v="8988 - pomocné středisko"/>
    <s v="50115     Zdravotnické prostředky"/>
    <x v="0"/>
    <x v="2"/>
    <n v="-69354.961179999998"/>
    <n v="-106276.588023545"/>
  </r>
  <r>
    <s v="89"/>
    <s v="89"/>
    <s v="pomocná střediska"/>
    <x v="55"/>
    <s v="8988"/>
    <s v="pomocné středisko"/>
    <s v="8988 - pomocné středisko"/>
    <s v="50115001     implant.umělé těl.náhr.-kardiostim. (sk.Z_517)"/>
    <x v="23"/>
    <x v="0"/>
    <n v="0"/>
    <n v="-1000"/>
  </r>
  <r>
    <s v="89"/>
    <s v="89"/>
    <s v="pomocná střediska"/>
    <x v="55"/>
    <s v="8988"/>
    <s v="pomocné středisko"/>
    <s v="8988 - pomocné středisko"/>
    <s v="50115001     implant.umělé těl.náhr.-kardiostim. (sk.Z_517)"/>
    <x v="23"/>
    <x v="1"/>
    <n v="0"/>
    <n v="2970.3275002369501"/>
  </r>
  <r>
    <s v="89"/>
    <s v="89"/>
    <s v="pomocná střediska"/>
    <x v="55"/>
    <s v="8988"/>
    <s v="pomocné středisko"/>
    <s v="8988 - pomocné středisko"/>
    <s v="50115002     implant.umělé těl.náhr.-defibr.,kardiov.(Z_516)"/>
    <x v="24"/>
    <x v="0"/>
    <n v="0"/>
    <n v="-17200"/>
  </r>
  <r>
    <s v="89"/>
    <s v="89"/>
    <s v="pomocná střediska"/>
    <x v="55"/>
    <s v="8988"/>
    <s v="pomocné středisko"/>
    <s v="8988 - pomocné středisko"/>
    <s v="50115002     implant.umělé těl.náhr.-defibr.,kardiov.(Z_516)"/>
    <x v="24"/>
    <x v="1"/>
    <n v="0"/>
    <n v="32900.0773559929"/>
  </r>
  <r>
    <s v="89"/>
    <s v="89"/>
    <s v="pomocná střediska"/>
    <x v="55"/>
    <s v="8988"/>
    <s v="pomocné středisko"/>
    <s v="8988 - pomocné středisko"/>
    <s v="50115002     implant.umělé těl.náhr.-defibr.,kardiov.(Z_516)"/>
    <x v="24"/>
    <x v="2"/>
    <n v="0"/>
    <n v="-4000"/>
  </r>
  <r>
    <s v="89"/>
    <s v="89"/>
    <s v="pomocná střediska"/>
    <x v="55"/>
    <s v="8988"/>
    <s v="pomocné středisko"/>
    <s v="8988 - pomocné středisko"/>
    <s v="50115003     implant.umělé těl.náhr.-TEP (sk.Z_518)"/>
    <x v="47"/>
    <x v="1"/>
    <n v="0"/>
    <n v="-4000"/>
  </r>
  <r>
    <s v="89"/>
    <s v="89"/>
    <s v="pomocná střediska"/>
    <x v="55"/>
    <s v="8988"/>
    <s v="pomocné středisko"/>
    <s v="8988 - pomocné středisko"/>
    <s v="50115003     implant.umělé těl.náhr.-TEP (sk.Z_518)"/>
    <x v="47"/>
    <x v="2"/>
    <n v="0"/>
    <n v="-5436.1697132961299"/>
  </r>
  <r>
    <s v="89"/>
    <s v="89"/>
    <s v="pomocná střediska"/>
    <x v="55"/>
    <s v="8988"/>
    <s v="pomocné středisko"/>
    <s v="8988 - pomocné středisko"/>
    <s v="50115004     implant.umělé těl.náhr.-kovové (s.Z_506)"/>
    <x v="25"/>
    <x v="0"/>
    <n v="0"/>
    <n v="-1157.03419874051"/>
  </r>
  <r>
    <s v="89"/>
    <s v="89"/>
    <s v="pomocná střediska"/>
    <x v="55"/>
    <s v="8988"/>
    <s v="pomocné středisko"/>
    <s v="8988 - pomocné středisko"/>
    <s v="50115004     implant.umělé těl.náhr.-kovové (s.Z_506)"/>
    <x v="25"/>
    <x v="1"/>
    <n v="0"/>
    <n v="-1316.43051877639"/>
  </r>
  <r>
    <s v="89"/>
    <s v="89"/>
    <s v="pomocná střediska"/>
    <x v="55"/>
    <s v="8988"/>
    <s v="pomocné středisko"/>
    <s v="8988 - pomocné středisko"/>
    <s v="50115004     implant.umělé těl.náhr.-kovové (s.Z_506)"/>
    <x v="25"/>
    <x v="2"/>
    <n v="0"/>
    <n v="567.26086956521704"/>
  </r>
  <r>
    <s v="89"/>
    <s v="89"/>
    <s v="pomocná střediska"/>
    <x v="55"/>
    <s v="8988"/>
    <s v="pomocné středisko"/>
    <s v="8988 - pomocné středisko"/>
    <s v="50115005     implant.umělé těl.náhr.-neuromodulace-ostatní.(s.Z_511)"/>
    <x v="48"/>
    <x v="0"/>
    <n v="0"/>
    <n v="-6921"/>
  </r>
  <r>
    <s v="89"/>
    <s v="89"/>
    <s v="pomocná střediska"/>
    <x v="55"/>
    <s v="8988"/>
    <s v="pomocné středisko"/>
    <s v="8988 - pomocné středisko"/>
    <s v="50115006     implant.umělé těl.náhr.-neuromod.-DBS(s.Z_508)"/>
    <x v="49"/>
    <x v="0"/>
    <n v="0"/>
    <n v="-4215"/>
  </r>
  <r>
    <s v="89"/>
    <s v="89"/>
    <s v="pomocná střediska"/>
    <x v="55"/>
    <s v="8988"/>
    <s v="pomocné středisko"/>
    <s v="8988 - pomocné středisko"/>
    <s v="50115006     implant.umělé těl.náhr.-neuromod.-DBS(s.Z_508)"/>
    <x v="49"/>
    <x v="2"/>
    <n v="0"/>
    <n v="-500"/>
  </r>
  <r>
    <s v="89"/>
    <s v="89"/>
    <s v="pomocná střediska"/>
    <x v="55"/>
    <s v="8988"/>
    <s v="pomocné středisko"/>
    <s v="8988 - pomocné středisko"/>
    <s v="50115007     implant.dentální - samoplátci (sk.Z_526)"/>
    <x v="59"/>
    <x v="0"/>
    <n v="0"/>
    <n v="595.000386368715"/>
  </r>
  <r>
    <s v="89"/>
    <s v="89"/>
    <s v="pomocná střediska"/>
    <x v="55"/>
    <s v="8988"/>
    <s v="pomocné středisko"/>
    <s v="8988 - pomocné středisko"/>
    <s v="50115008     implant.-plastická, estetická chirurgie (sk.Z_521)"/>
    <x v="60"/>
    <x v="0"/>
    <n v="0"/>
    <n v="-64.000041558986993"/>
  </r>
  <r>
    <s v="89"/>
    <s v="89"/>
    <s v="pomocná střediska"/>
    <x v="55"/>
    <s v="8988"/>
    <s v="pomocné středisko"/>
    <s v="8988 - pomocné středisko"/>
    <s v="50115008     implant.-plastická, estetická chirurgie (sk.Z_521)"/>
    <x v="60"/>
    <x v="2"/>
    <n v="0"/>
    <n v="164.99999234608899"/>
  </r>
  <r>
    <s v="89"/>
    <s v="89"/>
    <s v="pomocná střediska"/>
    <x v="55"/>
    <s v="8988"/>
    <s v="pomocné středisko"/>
    <s v="8988 - pomocné středisko"/>
    <s v="50115009     implant.umělé těl.náhr.-chlopně (bal.TAVI) (sk.Z_524)"/>
    <x v="32"/>
    <x v="0"/>
    <n v="0"/>
    <n v="-1037"/>
  </r>
  <r>
    <s v="89"/>
    <s v="89"/>
    <s v="pomocná střediska"/>
    <x v="55"/>
    <s v="8988"/>
    <s v="pomocné středisko"/>
    <s v="8988 - pomocné středisko"/>
    <s v="50115009     implant.umělé těl.náhr.-chlopně (bal.TAVI) (sk.Z_524)"/>
    <x v="32"/>
    <x v="1"/>
    <n v="0"/>
    <n v="-742"/>
  </r>
  <r>
    <s v="89"/>
    <s v="89"/>
    <s v="pomocná střediska"/>
    <x v="55"/>
    <s v="8988"/>
    <s v="pomocné středisko"/>
    <s v="8988 - pomocné středisko"/>
    <s v="50115009     implant.umělé těl.náhr.-chlopně (bal.TAVI) (sk.Z_524)"/>
    <x v="32"/>
    <x v="2"/>
    <n v="0"/>
    <n v="-16438"/>
  </r>
  <r>
    <s v="89"/>
    <s v="89"/>
    <s v="pomocná střediska"/>
    <x v="55"/>
    <s v="8988"/>
    <s v="pomocné středisko"/>
    <s v="8988 - pomocné středisko"/>
    <s v="50115010     RTG materiál, filmy a chemikálie (sk.Z_504)"/>
    <x v="57"/>
    <x v="0"/>
    <n v="0"/>
    <n v="-443.54060096387798"/>
  </r>
  <r>
    <s v="89"/>
    <s v="89"/>
    <s v="pomocná střediska"/>
    <x v="55"/>
    <s v="8988"/>
    <s v="pomocné středisko"/>
    <s v="8988 - pomocné středisko"/>
    <s v="50115010     RTG materiál, filmy a chemikálie (sk.Z_504)"/>
    <x v="57"/>
    <x v="1"/>
    <n v="0"/>
    <n v="49.999973078015998"/>
  </r>
  <r>
    <s v="89"/>
    <s v="89"/>
    <s v="pomocná střediska"/>
    <x v="55"/>
    <s v="8988"/>
    <s v="pomocné středisko"/>
    <s v="8988 - pomocné středisko"/>
    <s v="50115011     implant.umělé těl.náhr.-ostat.nákl.PZT(s.Z_515)"/>
    <x v="26"/>
    <x v="1"/>
    <n v="0"/>
    <n v="-5563.99947448288"/>
  </r>
  <r>
    <s v="89"/>
    <s v="89"/>
    <s v="pomocná střediska"/>
    <x v="55"/>
    <s v="8988"/>
    <s v="pomocné středisko"/>
    <s v="8988 - pomocné středisko"/>
    <s v="50115011     implant.umělé těl.náhr.-ostat.nákl.PZT(s.Z_515)"/>
    <x v="26"/>
    <x v="2"/>
    <n v="0"/>
    <n v="-4439.52336448598"/>
  </r>
  <r>
    <s v="89"/>
    <s v="89"/>
    <s v="pomocná střediska"/>
    <x v="55"/>
    <s v="8988"/>
    <s v="pomocné středisko"/>
    <s v="8988 - pomocné středisko"/>
    <s v="50115020     diagnostika laboratorní-LEK (sk.Z_501)"/>
    <x v="10"/>
    <x v="0"/>
    <n v="737.968200000004"/>
    <n v="13622.7178807163"/>
  </r>
  <r>
    <s v="89"/>
    <s v="89"/>
    <s v="pomocná střediska"/>
    <x v="55"/>
    <s v="8988"/>
    <s v="pomocné středisko"/>
    <s v="8988 - pomocné středisko"/>
    <s v="50115020     diagnostika laboratorní-LEK (sk.Z_501)"/>
    <x v="10"/>
    <x v="1"/>
    <n v="-737.968200000004"/>
    <n v="-6870.2942497556896"/>
  </r>
  <r>
    <s v="89"/>
    <s v="89"/>
    <s v="pomocná střediska"/>
    <x v="55"/>
    <s v="8988"/>
    <s v="pomocné středisko"/>
    <s v="8988 - pomocné středisko"/>
    <s v="50115020     diagnostika laboratorní-LEK (sk.Z_501)"/>
    <x v="10"/>
    <x v="2"/>
    <n v="0"/>
    <n v="576.54217662111398"/>
  </r>
  <r>
    <s v="89"/>
    <s v="89"/>
    <s v="pomocná střediska"/>
    <x v="55"/>
    <s v="8988"/>
    <s v="pomocné středisko"/>
    <s v="8988 - pomocné středisko"/>
    <s v="50115021     diagnostika laboratorní-skl.ZPr(sk.Z_501)"/>
    <x v="41"/>
    <x v="0"/>
    <n v="0"/>
    <n v="-220.000142859021"/>
  </r>
  <r>
    <s v="89"/>
    <s v="89"/>
    <s v="pomocná střediska"/>
    <x v="55"/>
    <s v="8988"/>
    <s v="pomocné středisko"/>
    <s v="8988 - pomocné středisko"/>
    <s v="50115021     diagnostika laboratorní-skl.ZPr(sk.Z_501)"/>
    <x v="41"/>
    <x v="1"/>
    <n v="0"/>
    <n v="-138.999975770215"/>
  </r>
  <r>
    <s v="89"/>
    <s v="89"/>
    <s v="pomocná střediska"/>
    <x v="55"/>
    <s v="8988"/>
    <s v="pomocné středisko"/>
    <s v="8988 - pomocné středisko"/>
    <s v="50115021     diagnostika laboratorní-skl.ZPr(sk.Z_501)"/>
    <x v="41"/>
    <x v="2"/>
    <n v="0"/>
    <n v="-120"/>
  </r>
  <r>
    <s v="89"/>
    <s v="89"/>
    <s v="pomocná střediska"/>
    <x v="55"/>
    <s v="8988"/>
    <s v="pomocné středisko"/>
    <s v="8988 - pomocné středisko"/>
    <s v="50115040     laboratorní materiál (sk.Z_505)"/>
    <x v="11"/>
    <x v="0"/>
    <n v="0"/>
    <n v="-1187.0970933579399"/>
  </r>
  <r>
    <s v="89"/>
    <s v="89"/>
    <s v="pomocná střediska"/>
    <x v="55"/>
    <s v="8988"/>
    <s v="pomocné středisko"/>
    <s v="8988 - pomocné středisko"/>
    <s v="50115040     laboratorní materiál (sk.Z_505)"/>
    <x v="11"/>
    <x v="1"/>
    <n v="0"/>
    <n v="-784.86065705032695"/>
  </r>
  <r>
    <s v="89"/>
    <s v="89"/>
    <s v="pomocná střediska"/>
    <x v="55"/>
    <s v="8988"/>
    <s v="pomocné středisko"/>
    <s v="8988 - pomocné středisko"/>
    <s v="50115040     laboratorní materiál (sk.Z_505)"/>
    <x v="11"/>
    <x v="2"/>
    <n v="0"/>
    <n v="-317"/>
  </r>
  <r>
    <s v="89"/>
    <s v="89"/>
    <s v="pomocná střediska"/>
    <x v="55"/>
    <s v="8988"/>
    <s v="pomocné středisko"/>
    <s v="8988 - pomocné středisko"/>
    <s v="50115050     obvazový materiál (sk.Z_502)"/>
    <x v="12"/>
    <x v="0"/>
    <n v="0"/>
    <n v="-437.30755352461398"/>
  </r>
  <r>
    <s v="89"/>
    <s v="89"/>
    <s v="pomocná střediska"/>
    <x v="55"/>
    <s v="8988"/>
    <s v="pomocné středisko"/>
    <s v="8988 - pomocné středisko"/>
    <s v="50115050     obvazový materiál (sk.Z_502)"/>
    <x v="12"/>
    <x v="1"/>
    <n v="0"/>
    <n v="311.05827253105798"/>
  </r>
  <r>
    <s v="89"/>
    <s v="89"/>
    <s v="pomocná střediska"/>
    <x v="55"/>
    <s v="8988"/>
    <s v="pomocné středisko"/>
    <s v="8988 - pomocné středisko"/>
    <s v="50115050     obvazový materiál (sk.Z_502)"/>
    <x v="12"/>
    <x v="2"/>
    <n v="0"/>
    <n v="1274.7520117044601"/>
  </r>
  <r>
    <s v="89"/>
    <s v="89"/>
    <s v="pomocná střediska"/>
    <x v="55"/>
    <s v="8988"/>
    <s v="pomocné středisko"/>
    <s v="8988 - pomocné středisko"/>
    <s v="50115051     nadstandard ZUM (hrazeno pac.) (sk.Z_520)"/>
    <x v="53"/>
    <x v="0"/>
    <n v="0"/>
    <n v="-22.500014610581001"/>
  </r>
  <r>
    <s v="89"/>
    <s v="89"/>
    <s v="pomocná střediska"/>
    <x v="55"/>
    <s v="8988"/>
    <s v="pomocné středisko"/>
    <s v="8988 - pomocné středisko"/>
    <s v="50115060     ostatní ZPr - mimo níže uvedené (sk.Z_503)"/>
    <x v="1"/>
    <x v="0"/>
    <n v="0"/>
    <n v="-1747.2501955702601"/>
  </r>
  <r>
    <s v="89"/>
    <s v="89"/>
    <s v="pomocná střediska"/>
    <x v="55"/>
    <s v="8988"/>
    <s v="pomocné středisko"/>
    <s v="8988 - pomocné středisko"/>
    <s v="50115060     ostatní ZPr - mimo níže uvedené (sk.Z_503)"/>
    <x v="1"/>
    <x v="1"/>
    <n v="0"/>
    <n v="-7628.0545737634702"/>
  </r>
  <r>
    <s v="89"/>
    <s v="89"/>
    <s v="pomocná střediska"/>
    <x v="55"/>
    <s v="8988"/>
    <s v="pomocné středisko"/>
    <s v="8988 - pomocné středisko"/>
    <s v="50115060     ostatní ZPr - mimo níže uvedené (sk.Z_503)"/>
    <x v="1"/>
    <x v="2"/>
    <n v="0"/>
    <n v="10130.580181425499"/>
  </r>
  <r>
    <s v="89"/>
    <s v="89"/>
    <s v="pomocná střediska"/>
    <x v="55"/>
    <s v="8988"/>
    <s v="pomocné středisko"/>
    <s v="8988 - pomocné středisko"/>
    <s v="50115061     ostatní ZPr - robotické centrum (sk.Z_512)"/>
    <x v="43"/>
    <x v="0"/>
    <n v="0"/>
    <n v="5120.0033247187503"/>
  </r>
  <r>
    <s v="89"/>
    <s v="89"/>
    <s v="pomocná střediska"/>
    <x v="55"/>
    <s v="8988"/>
    <s v="pomocné středisko"/>
    <s v="8988 - pomocné středisko"/>
    <s v="50115061     ostatní ZPr - robotické centrum (sk.Z_512)"/>
    <x v="43"/>
    <x v="2"/>
    <n v="0"/>
    <n v="70"/>
  </r>
  <r>
    <s v="89"/>
    <s v="89"/>
    <s v="pomocná střediska"/>
    <x v="55"/>
    <s v="8988"/>
    <s v="pomocné středisko"/>
    <s v="8988 - pomocné středisko"/>
    <s v="50115062     ostatní ZPr - materiál pro hemodialýzu (sk.Z_525)"/>
    <x v="20"/>
    <x v="0"/>
    <n v="0"/>
    <n v="398.50019383371699"/>
  </r>
  <r>
    <s v="89"/>
    <s v="89"/>
    <s v="pomocná střediska"/>
    <x v="55"/>
    <s v="8988"/>
    <s v="pomocné středisko"/>
    <s v="8988 - pomocné středisko"/>
    <s v="50115062     ostatní ZPr - materiál pro hemodialýzu (sk.Z_525)"/>
    <x v="20"/>
    <x v="1"/>
    <n v="0"/>
    <n v="1808.52677490931"/>
  </r>
  <r>
    <s v="89"/>
    <s v="89"/>
    <s v="pomocná střediska"/>
    <x v="55"/>
    <s v="8988"/>
    <s v="pomocné středisko"/>
    <s v="8988 - pomocné středisko"/>
    <s v="50115062     ostatní ZPr - materiál pro hemodialýzu (sk.Z_525)"/>
    <x v="20"/>
    <x v="2"/>
    <n v="0"/>
    <n v="-1309.99995905315"/>
  </r>
  <r>
    <s v="89"/>
    <s v="89"/>
    <s v="pomocná střediska"/>
    <x v="55"/>
    <s v="8988"/>
    <s v="pomocné středisko"/>
    <s v="8988 - pomocné středisko"/>
    <s v="50115063     ostatní ZPr - vaky, sety (sk.Z_528)"/>
    <x v="13"/>
    <x v="0"/>
    <n v="0"/>
    <n v="-315.37310612768499"/>
  </r>
  <r>
    <s v="89"/>
    <s v="89"/>
    <s v="pomocná střediska"/>
    <x v="55"/>
    <s v="8988"/>
    <s v="pomocné středisko"/>
    <s v="8988 - pomocné středisko"/>
    <s v="50115063     ostatní ZPr - vaky, sety (sk.Z_528)"/>
    <x v="13"/>
    <x v="1"/>
    <n v="0"/>
    <n v="-1151.2999526173101"/>
  </r>
  <r>
    <s v="89"/>
    <s v="89"/>
    <s v="pomocná střediska"/>
    <x v="55"/>
    <s v="8988"/>
    <s v="pomocné středisko"/>
    <s v="8988 - pomocné středisko"/>
    <s v="50115063     ostatní ZPr - vaky, sety (sk.Z_528)"/>
    <x v="13"/>
    <x v="2"/>
    <n v="0"/>
    <n v="-928.33333333333303"/>
  </r>
  <r>
    <s v="89"/>
    <s v="89"/>
    <s v="pomocná střediska"/>
    <x v="55"/>
    <s v="8988"/>
    <s v="pomocné středisko"/>
    <s v="8988 - pomocné středisko"/>
    <s v="50115064     ostatní ZPr - šicí materiál (sk.Z_529)"/>
    <x v="21"/>
    <x v="0"/>
    <n v="0"/>
    <n v="239.19183194680301"/>
  </r>
  <r>
    <s v="89"/>
    <s v="89"/>
    <s v="pomocná střediska"/>
    <x v="55"/>
    <s v="8988"/>
    <s v="pomocné středisko"/>
    <s v="8988 - pomocné středisko"/>
    <s v="50115064     ostatní ZPr - šicí materiál (sk.Z_529)"/>
    <x v="21"/>
    <x v="1"/>
    <n v="0"/>
    <n v="-119.499994077164"/>
  </r>
  <r>
    <s v="89"/>
    <s v="89"/>
    <s v="pomocná střediska"/>
    <x v="55"/>
    <s v="8988"/>
    <s v="pomocné středisko"/>
    <s v="8988 - pomocné středisko"/>
    <s v="50115064     ostatní ZPr - šicí materiál (sk.Z_529)"/>
    <x v="21"/>
    <x v="2"/>
    <n v="0"/>
    <n v="-279"/>
  </r>
  <r>
    <s v="89"/>
    <s v="89"/>
    <s v="pomocná střediska"/>
    <x v="55"/>
    <s v="8988"/>
    <s v="pomocné středisko"/>
    <s v="8988 - pomocné středisko"/>
    <s v="50115065     ostatní ZPr - vpichovací materiál (sk.Z_530)"/>
    <x v="14"/>
    <x v="0"/>
    <n v="0"/>
    <n v="-186.25532579877901"/>
  </r>
  <r>
    <s v="89"/>
    <s v="89"/>
    <s v="pomocná střediska"/>
    <x v="55"/>
    <s v="8988"/>
    <s v="pomocné středisko"/>
    <s v="8988 - pomocné středisko"/>
    <s v="50115065     ostatní ZPr - vpichovací materiál (sk.Z_530)"/>
    <x v="14"/>
    <x v="1"/>
    <n v="0"/>
    <n v="-942.49995584794704"/>
  </r>
  <r>
    <s v="89"/>
    <s v="89"/>
    <s v="pomocná střediska"/>
    <x v="55"/>
    <s v="8988"/>
    <s v="pomocné středisko"/>
    <s v="8988 - pomocné středisko"/>
    <s v="50115065     ostatní ZPr - vpichovací materiál (sk.Z_530)"/>
    <x v="14"/>
    <x v="2"/>
    <n v="0"/>
    <n v="-200.416666666667"/>
  </r>
  <r>
    <s v="89"/>
    <s v="89"/>
    <s v="pomocná střediska"/>
    <x v="55"/>
    <s v="8988"/>
    <s v="pomocné středisko"/>
    <s v="8988 - pomocné středisko"/>
    <s v="50115066     ostatní ZPr - šicí materiál - robot (sk.Z_531)"/>
    <x v="44"/>
    <x v="0"/>
    <n v="0"/>
    <n v="16.999998051921999"/>
  </r>
  <r>
    <s v="89"/>
    <s v="89"/>
    <s v="pomocná střediska"/>
    <x v="55"/>
    <s v="8988"/>
    <s v="pomocné středisko"/>
    <s v="8988 - pomocné středisko"/>
    <s v="50115066     ostatní ZPr - šicí materiál - robot (sk.Z_531)"/>
    <x v="44"/>
    <x v="1"/>
    <n v="0"/>
    <n v="-7.9999956924819999"/>
  </r>
  <r>
    <s v="89"/>
    <s v="89"/>
    <s v="pomocná střediska"/>
    <x v="55"/>
    <s v="8988"/>
    <s v="pomocné středisko"/>
    <s v="8988 - pomocné středisko"/>
    <s v="50115066     ostatní ZPr - šicí materiál - robot (sk.Z_531)"/>
    <x v="44"/>
    <x v="2"/>
    <n v="0"/>
    <n v="-70"/>
  </r>
  <r>
    <s v="89"/>
    <s v="89"/>
    <s v="pomocná střediska"/>
    <x v="55"/>
    <s v="8988"/>
    <s v="pomocné středisko"/>
    <s v="8988 - pomocné středisko"/>
    <s v="50115067     ostatní ZPr - rukavice (sk.Z_532)"/>
    <x v="15"/>
    <x v="0"/>
    <n v="0"/>
    <n v="-258.239388253931"/>
  </r>
  <r>
    <s v="89"/>
    <s v="89"/>
    <s v="pomocná střediska"/>
    <x v="55"/>
    <s v="8988"/>
    <s v="pomocné středisko"/>
    <s v="8988 - pomocné středisko"/>
    <s v="50115067     ostatní ZPr - rukavice (sk.Z_532)"/>
    <x v="15"/>
    <x v="1"/>
    <n v="0"/>
    <n v="-522.60959169721605"/>
  </r>
  <r>
    <s v="89"/>
    <s v="89"/>
    <s v="pomocná střediska"/>
    <x v="55"/>
    <s v="8988"/>
    <s v="pomocné středisko"/>
    <s v="8988 - pomocné středisko"/>
    <s v="50115067     ostatní ZPr - rukavice (sk.Z_532)"/>
    <x v="15"/>
    <x v="2"/>
    <n v="0"/>
    <n v="-335.80021459227402"/>
  </r>
  <r>
    <s v="89"/>
    <s v="89"/>
    <s v="pomocná střediska"/>
    <x v="55"/>
    <s v="8988"/>
    <s v="pomocné středisko"/>
    <s v="8988 - pomocné středisko"/>
    <s v="50115068     ostatní ZPr - čidla (sk.Z_522)"/>
    <x v="46"/>
    <x v="1"/>
    <n v="0"/>
    <n v="-454"/>
  </r>
  <r>
    <s v="89"/>
    <s v="89"/>
    <s v="pomocná střediska"/>
    <x v="55"/>
    <s v="8988"/>
    <s v="pomocné středisko"/>
    <s v="8988 - pomocné středisko"/>
    <s v="50115069     ostatní ZPr - porty (sk.Z_534)"/>
    <x v="52"/>
    <x v="2"/>
    <n v="0"/>
    <n v="-160"/>
  </r>
  <r>
    <s v="89"/>
    <s v="89"/>
    <s v="pomocná střediska"/>
    <x v="55"/>
    <s v="8988"/>
    <s v="pomocné středisko"/>
    <s v="8988 - pomocné středisko"/>
    <s v="50115070     ostatní ZPr - katetry (sk.Z_513)"/>
    <x v="16"/>
    <x v="0"/>
    <n v="0"/>
    <n v="-3353.85719953033"/>
  </r>
  <r>
    <s v="89"/>
    <s v="89"/>
    <s v="pomocná střediska"/>
    <x v="55"/>
    <s v="8988"/>
    <s v="pomocné středisko"/>
    <s v="8988 - pomocné středisko"/>
    <s v="50115070     ostatní ZPr - katetry (sk.Z_513)"/>
    <x v="16"/>
    <x v="1"/>
    <n v="0"/>
    <n v="-22097.1703760499"/>
  </r>
  <r>
    <s v="89"/>
    <s v="89"/>
    <s v="pomocná střediska"/>
    <x v="55"/>
    <s v="8988"/>
    <s v="pomocné středisko"/>
    <s v="8988 - pomocné středisko"/>
    <s v="50115070     ostatní ZPr - katetry (sk.Z_513)"/>
    <x v="16"/>
    <x v="2"/>
    <n v="0"/>
    <n v="-209.48"/>
  </r>
  <r>
    <s v="89"/>
    <s v="89"/>
    <s v="pomocná střediska"/>
    <x v="55"/>
    <s v="8988"/>
    <s v="pomocné středisko"/>
    <s v="8988 - pomocné středisko"/>
    <s v="50115071     ostatní ZPr - katetry ablační (sk.Z_514)"/>
    <x v="28"/>
    <x v="0"/>
    <n v="0"/>
    <n v="-1099.8518518518499"/>
  </r>
  <r>
    <s v="89"/>
    <s v="89"/>
    <s v="pomocná střediska"/>
    <x v="55"/>
    <s v="8988"/>
    <s v="pomocné středisko"/>
    <s v="8988 - pomocné středisko"/>
    <s v="50115071     ostatní ZPr - katetry ablační (sk.Z_514)"/>
    <x v="28"/>
    <x v="1"/>
    <n v="0"/>
    <n v="-3999.8230144822601"/>
  </r>
  <r>
    <s v="89"/>
    <s v="89"/>
    <s v="pomocná střediska"/>
    <x v="55"/>
    <s v="8988"/>
    <s v="pomocné středisko"/>
    <s v="8988 - pomocné středisko"/>
    <s v="50115071     ostatní ZPr - katetry ablační (sk.Z_514)"/>
    <x v="28"/>
    <x v="2"/>
    <n v="0"/>
    <n v="-6140"/>
  </r>
  <r>
    <s v="89"/>
    <s v="89"/>
    <s v="pomocná střediska"/>
    <x v="55"/>
    <s v="8988"/>
    <s v="pomocné středisko"/>
    <s v="8988 - pomocné středisko"/>
    <s v="50115072     ostatní ZPr - katetry diagnostické (sk.Z_535)"/>
    <x v="33"/>
    <x v="2"/>
    <n v="0"/>
    <n v="-4150"/>
  </r>
  <r>
    <s v="89"/>
    <s v="89"/>
    <s v="pomocná střediska"/>
    <x v="55"/>
    <s v="8988"/>
    <s v="pomocné středisko"/>
    <s v="8988 - pomocné středisko"/>
    <s v="50115073     ostatní ZPr - katetry PCI (sk.Z_536)"/>
    <x v="29"/>
    <x v="2"/>
    <n v="0"/>
    <n v="-10015"/>
  </r>
  <r>
    <s v="89"/>
    <s v="89"/>
    <s v="pomocná střediska"/>
    <x v="55"/>
    <s v="8988"/>
    <s v="pomocné středisko"/>
    <s v="8988 - pomocné středisko"/>
    <s v="50115074     ostatní ZPr - katetry zaváděcí (sk.Z_537)"/>
    <x v="34"/>
    <x v="2"/>
    <n v="0"/>
    <n v="-3860"/>
  </r>
  <r>
    <s v="89"/>
    <s v="89"/>
    <s v="pomocná střediska"/>
    <x v="55"/>
    <s v="8988"/>
    <s v="pomocné středisko"/>
    <s v="8988 - pomocné středisko"/>
    <s v="50115076     ostatní ZPr - stenty kovové (sk.Z_539)"/>
    <x v="36"/>
    <x v="2"/>
    <n v="0"/>
    <n v="-1090"/>
  </r>
  <r>
    <s v="89"/>
    <s v="89"/>
    <s v="pomocná střediska"/>
    <x v="55"/>
    <s v="8988"/>
    <s v="pomocné středisko"/>
    <s v="8988 - pomocné středisko"/>
    <s v="50115077     ostatní ZPr - stenty lékové (sk.Z_540)"/>
    <x v="37"/>
    <x v="2"/>
    <n v="0"/>
    <n v="2300"/>
  </r>
  <r>
    <s v="89"/>
    <s v="89"/>
    <s v="pomocná střediska"/>
    <x v="55"/>
    <s v="8988"/>
    <s v="pomocné středisko"/>
    <s v="8988 - pomocné středisko"/>
    <s v="50115078     ostatní ZPr - stenty absorbční (sk.Z_541)"/>
    <x v="38"/>
    <x v="2"/>
    <n v="0"/>
    <n v="0"/>
  </r>
  <r>
    <s v="89"/>
    <s v="89"/>
    <s v="pomocná střediska"/>
    <x v="55"/>
    <s v="8988"/>
    <s v="pomocné středisko"/>
    <s v="8988 - pomocné středisko"/>
    <s v="50115080     ostatní ZPr - staplery, extraktory (sk.Z_523)"/>
    <x v="30"/>
    <x v="0"/>
    <n v="0"/>
    <n v="-894.25055789365103"/>
  </r>
  <r>
    <s v="89"/>
    <s v="89"/>
    <s v="pomocná střediska"/>
    <x v="55"/>
    <s v="8988"/>
    <s v="pomocné středisko"/>
    <s v="8988 - pomocné středisko"/>
    <s v="50115080     ostatní ZPr - staplery, extraktory (sk.Z_523)"/>
    <x v="30"/>
    <x v="1"/>
    <n v="0"/>
    <n v="-723.128491401053"/>
  </r>
  <r>
    <s v="89"/>
    <s v="89"/>
    <s v="pomocná střediska"/>
    <x v="55"/>
    <s v="8988"/>
    <s v="pomocné středisko"/>
    <s v="8988 - pomocné středisko"/>
    <s v="50115080     ostatní ZPr - staplery, extraktory (sk.Z_523)"/>
    <x v="30"/>
    <x v="2"/>
    <n v="0"/>
    <n v="260"/>
  </r>
  <r>
    <s v="89"/>
    <s v="89"/>
    <s v="pomocná střediska"/>
    <x v="55"/>
    <s v="8988"/>
    <s v="pomocné středisko"/>
    <s v="8988 - pomocné středisko"/>
    <s v="50115082     ostatní ZPr - katetry extrakční (sk.Z_543)"/>
    <x v="31"/>
    <x v="2"/>
    <n v="0"/>
    <n v="-1800"/>
  </r>
  <r>
    <s v="89"/>
    <s v="89"/>
    <s v="pomocná střediska"/>
    <x v="55"/>
    <s v="8988"/>
    <s v="pomocné středisko"/>
    <s v="8988 - pomocné středisko"/>
    <s v="50115083     ostatní ZPr - embolizace (sk.Z_545)"/>
    <x v="61"/>
    <x v="2"/>
    <n v="0"/>
    <n v="-3922"/>
  </r>
  <r>
    <s v="89"/>
    <s v="89"/>
    <s v="pomocná střediska"/>
    <x v="55"/>
    <s v="8988"/>
    <s v="pomocné středisko"/>
    <s v="8988 - pomocné středisko"/>
    <s v="50115084     ostatní ZPr - HCO membrány (sk.Z_546)"/>
    <x v="42"/>
    <x v="2"/>
    <n v="0"/>
    <n v="-1000"/>
  </r>
  <r>
    <s v="89"/>
    <s v="89"/>
    <s v="pomocná střediska"/>
    <x v="55"/>
    <s v="8988"/>
    <s v="pomocné středisko"/>
    <s v="8988 - pomocné středisko"/>
    <s v="50115085     ostatní ZPr - samoplátci (sk.Z_547)"/>
    <x v="56"/>
    <x v="2"/>
    <n v="0"/>
    <n v="-20"/>
  </r>
  <r>
    <s v="89"/>
    <s v="89"/>
    <s v="pomocná střediska"/>
    <x v="55"/>
    <s v="8988"/>
    <s v="pomocné středisko"/>
    <s v="8988 - pomocné středisko"/>
    <s v="50115090     ostatní ZPr - zubolékařský materiál (sk.Z_509)"/>
    <x v="51"/>
    <x v="0"/>
    <n v="0"/>
    <n v="-419.50020162602698"/>
  </r>
  <r>
    <s v="89"/>
    <s v="89"/>
    <s v="pomocná střediska"/>
    <x v="55"/>
    <s v="8988"/>
    <s v="pomocné středisko"/>
    <s v="8988 - pomocné středisko"/>
    <s v="50115090     ostatní ZPr - zubolékařský materiál (sk.Z_509)"/>
    <x v="51"/>
    <x v="1"/>
    <n v="0"/>
    <n v="-76.3"/>
  </r>
  <r>
    <s v="89"/>
    <s v="89"/>
    <s v="pomocná střediska"/>
    <x v="55"/>
    <s v="8988"/>
    <s v="pomocné středisko"/>
    <s v="8988 - pomocné středisko"/>
    <s v="50115090     ostatní ZPr - zubolékařský materiál (sk.Z_509)"/>
    <x v="51"/>
    <x v="2"/>
    <n v="0"/>
    <n v="119.999996220291"/>
  </r>
  <r>
    <s v="89"/>
    <s v="89"/>
    <s v="pomocná střediska"/>
    <x v="55"/>
    <s v="8988"/>
    <s v="pomocné středisko"/>
    <s v="8988 - pomocné středisko"/>
    <s v="50115300     ZPr - finanční bonusy"/>
    <x v="64"/>
    <x v="0"/>
    <n v="0"/>
    <n v="-110000"/>
  </r>
  <r>
    <s v="89"/>
    <s v="89"/>
    <s v="pomocná střediska"/>
    <x v="55"/>
    <s v="8988"/>
    <s v="pomocné středisko"/>
    <s v="8988 - pomocné středisko"/>
    <s v="50115300     ZPr - finanční bonusy"/>
    <x v="64"/>
    <x v="1"/>
    <n v="0"/>
    <n v="-80000.004687232096"/>
  </r>
  <r>
    <s v="89"/>
    <s v="89"/>
    <s v="pomocná střediska"/>
    <x v="55"/>
    <s v="8988"/>
    <s v="pomocné středisko"/>
    <s v="8988 - pomocné středisko"/>
    <s v="50115300     ZPr - finanční bonusy"/>
    <x v="64"/>
    <x v="2"/>
    <n v="-69354.961179999998"/>
    <n v="-55000"/>
  </r>
  <r>
    <s v="89"/>
    <s v="89"/>
    <s v="pomocná střediska"/>
    <x v="55"/>
    <s v="8999"/>
    <s v="rozdíly zdravotních pojišťoven"/>
    <s v="8999 - rozdíly zdravotních pojišťoven"/>
    <s v="50113     Léky a léčiva"/>
    <x v="2"/>
    <x v="0"/>
    <n v="-86532.716160000098"/>
    <n v="0"/>
  </r>
  <r>
    <s v="89"/>
    <s v="89"/>
    <s v="pomocná střediska"/>
    <x v="55"/>
    <s v="8999"/>
    <s v="rozdíly zdravotních pojišťoven"/>
    <s v="8999 - rozdíly zdravotních pojišťoven"/>
    <s v="50113     Léky a léčiva"/>
    <x v="2"/>
    <x v="1"/>
    <n v="-63626.533319999995"/>
    <n v="0"/>
  </r>
  <r>
    <s v="89"/>
    <s v="89"/>
    <s v="pomocná střediska"/>
    <x v="55"/>
    <s v="8999"/>
    <s v="rozdíly zdravotních pojišťoven"/>
    <s v="8999 - rozdíly zdravotních pojišťoven"/>
    <s v="50113     Léky a léčiva"/>
    <x v="2"/>
    <x v="2"/>
    <n v="-12686.222260000099"/>
    <n v="0"/>
  </r>
  <r>
    <s v="89"/>
    <s v="89"/>
    <s v="pomocná střediska"/>
    <x v="55"/>
    <s v="8999"/>
    <s v="rozdíly zdravotních pojišťoven"/>
    <s v="8999 - rozdíly zdravotních pojišťoven"/>
    <s v="50113300     léky - finanční bonusy"/>
    <x v="62"/>
    <x v="0"/>
    <n v="-86532.716160000098"/>
    <n v="0"/>
  </r>
  <r>
    <s v="89"/>
    <s v="89"/>
    <s v="pomocná střediska"/>
    <x v="55"/>
    <s v="8999"/>
    <s v="rozdíly zdravotních pojišťoven"/>
    <s v="8999 - rozdíly zdravotních pojišťoven"/>
    <s v="50113300     léky - finanční bonusy"/>
    <x v="62"/>
    <x v="1"/>
    <n v="-63626.533319999995"/>
    <n v="0"/>
  </r>
  <r>
    <s v="89"/>
    <s v="89"/>
    <s v="pomocná střediska"/>
    <x v="55"/>
    <s v="8999"/>
    <s v="rozdíly zdravotních pojišťoven"/>
    <s v="8999 - rozdíly zdravotních pojišťoven"/>
    <s v="50113300     léky - finanční bonusy"/>
    <x v="62"/>
    <x v="2"/>
    <n v="-12686.222260000099"/>
    <n v="0"/>
  </r>
  <r>
    <s v="89"/>
    <s v="89"/>
    <s v="pomocná střediska"/>
    <x v="55"/>
    <s v="8999"/>
    <s v="rozdíly zdravotních pojišťoven"/>
    <s v="8999 - rozdíly zdravotních pojišťoven"/>
    <s v="50115     Zdravotnické prostředky"/>
    <x v="0"/>
    <x v="0"/>
    <n v="-196246.39041000011"/>
    <n v="0"/>
  </r>
  <r>
    <s v="89"/>
    <s v="89"/>
    <s v="pomocná střediska"/>
    <x v="55"/>
    <s v="8999"/>
    <s v="rozdíly zdravotních pojišťoven"/>
    <s v="8999 - rozdíly zdravotních pojišťoven"/>
    <s v="50115     Zdravotnické prostředky"/>
    <x v="0"/>
    <x v="1"/>
    <n v="-142440.11381000001"/>
    <n v="0"/>
  </r>
  <r>
    <s v="89"/>
    <s v="89"/>
    <s v="pomocná střediska"/>
    <x v="55"/>
    <s v="8999"/>
    <s v="rozdíly zdravotních pojišťoven"/>
    <s v="8999 - rozdíly zdravotních pojišťoven"/>
    <s v="50115     Zdravotnické prostředky"/>
    <x v="0"/>
    <x v="2"/>
    <n v="0"/>
    <n v="0"/>
  </r>
  <r>
    <s v="89"/>
    <s v="89"/>
    <s v="pomocná střediska"/>
    <x v="55"/>
    <s v="8999"/>
    <s v="rozdíly zdravotních pojišťoven"/>
    <s v="8999 - rozdíly zdravotních pojišťoven"/>
    <s v="50115300     ZPr - finanční bonusy"/>
    <x v="64"/>
    <x v="0"/>
    <n v="-196246.39041000011"/>
    <n v="0"/>
  </r>
  <r>
    <s v="89"/>
    <s v="89"/>
    <s v="pomocná střediska"/>
    <x v="55"/>
    <s v="8999"/>
    <s v="rozdíly zdravotních pojišťoven"/>
    <s v="8999 - rozdíly zdravotních pojišťoven"/>
    <s v="50115300     ZPr - finanční bonusy"/>
    <x v="64"/>
    <x v="1"/>
    <n v="-142440.11381000001"/>
    <n v="0"/>
  </r>
  <r>
    <s v="89"/>
    <s v="89"/>
    <s v="pomocná střediska"/>
    <x v="55"/>
    <s v="8999"/>
    <s v="rozdíly zdravotních pojišťoven"/>
    <s v="8999 - rozdíly zdravotních pojišťoven"/>
    <s v="50115300     ZPr - finanční bonusy"/>
    <x v="64"/>
    <x v="2"/>
    <n v="0"/>
    <n v="0"/>
  </r>
  <r>
    <s v="90"/>
    <s v="90"/>
    <s v="HTS"/>
    <x v="56"/>
    <s v="9001"/>
    <s v="Úsek ředitele"/>
    <s v="9001 - Úsek ředitele"/>
    <s v="50115     Zdravotnické prostředky"/>
    <x v="0"/>
    <x v="0"/>
    <n v="9.999778782798785E-13"/>
    <n v="0"/>
  </r>
  <r>
    <s v="90"/>
    <s v="90"/>
    <s v="HTS"/>
    <x v="56"/>
    <s v="9001"/>
    <s v="Úsek ředitele"/>
    <s v="9001 - Úsek ředitele"/>
    <s v="50115060     ostatní ZPr - mimo níže uvedené (sk.Z_503)"/>
    <x v="1"/>
    <x v="0"/>
    <n v="9.999778782798785E-13"/>
    <n v="0"/>
  </r>
  <r>
    <s v="90"/>
    <s v="90"/>
    <s v="HTS"/>
    <x v="56"/>
    <s v="9024"/>
    <m/>
    <s v="9024 - "/>
    <s v="50113     Léky a léčiva"/>
    <x v="2"/>
    <x v="0"/>
    <n v="0.26962000000000003"/>
    <n v="0"/>
  </r>
  <r>
    <s v="90"/>
    <s v="90"/>
    <s v="HTS"/>
    <x v="56"/>
    <s v="9024"/>
    <m/>
    <s v="9024 - "/>
    <s v="50113001     léky - paušál+TISS (LEK)"/>
    <x v="3"/>
    <x v="0"/>
    <n v="0.26962000000000003"/>
    <n v="0"/>
  </r>
  <r>
    <s v="90"/>
    <s v="90"/>
    <s v="HTS"/>
    <x v="56"/>
    <s v="9024"/>
    <m/>
    <s v="9024 - "/>
    <s v="50115     Zdravotnické prostředky"/>
    <x v="0"/>
    <x v="0"/>
    <n v="23.124309999998999"/>
    <n v="0"/>
  </r>
  <r>
    <s v="90"/>
    <s v="90"/>
    <s v="HTS"/>
    <x v="56"/>
    <s v="9024"/>
    <m/>
    <s v="9024 - "/>
    <s v="50115020     diagnostika laboratorní-LEK (sk.Z_501)"/>
    <x v="10"/>
    <x v="0"/>
    <n v="23.124309999998999"/>
    <n v="0"/>
  </r>
  <r>
    <s v="90"/>
    <s v="90"/>
    <s v="HTS"/>
    <x v="56"/>
    <s v="9032"/>
    <s v="Oddělení léčebné výživy"/>
    <s v="9032 - Oddělení léčebné výživy"/>
    <s v="50113     Léky a léčiva"/>
    <x v="2"/>
    <x v="0"/>
    <n v="0"/>
    <n v="0"/>
  </r>
  <r>
    <s v="90"/>
    <s v="90"/>
    <s v="HTS"/>
    <x v="56"/>
    <s v="9032"/>
    <s v="Oddělení léčebné výživy"/>
    <s v="9032 - Oddělení léčebné výživy"/>
    <s v="50113     Léky a léčiva"/>
    <x v="2"/>
    <x v="1"/>
    <n v="0.10004"/>
    <n v="0"/>
  </r>
  <r>
    <s v="90"/>
    <s v="90"/>
    <s v="HTS"/>
    <x v="56"/>
    <s v="9032"/>
    <s v="Oddělení léčebné výživy"/>
    <s v="9032 - Oddělení léčebné výživy"/>
    <s v="50113     Léky a léčiva"/>
    <x v="2"/>
    <x v="2"/>
    <n v="0"/>
    <n v="9.5690648983999996E-2"/>
  </r>
  <r>
    <s v="90"/>
    <s v="90"/>
    <s v="HTS"/>
    <x v="56"/>
    <s v="9032"/>
    <s v="Oddělení léčebné výživy"/>
    <s v="9032 - Oddělení léčebné výživy"/>
    <s v="50113001     léky - paušál+TISS (LEK)"/>
    <x v="3"/>
    <x v="0"/>
    <n v="0"/>
    <n v="0"/>
  </r>
  <r>
    <s v="90"/>
    <s v="90"/>
    <s v="HTS"/>
    <x v="56"/>
    <s v="9032"/>
    <s v="Oddělení léčebné výživy"/>
    <s v="9032 - Oddělení léčebné výživy"/>
    <s v="50113001     léky - paušál+TISS (LEK)"/>
    <x v="3"/>
    <x v="1"/>
    <n v="0.10004"/>
    <n v="0"/>
  </r>
  <r>
    <s v="90"/>
    <s v="90"/>
    <s v="HTS"/>
    <x v="56"/>
    <s v="9032"/>
    <s v="Oddělení léčebné výživy"/>
    <s v="9032 - Oddělení léčebné výživy"/>
    <s v="50113001     léky - paušál+TISS (LEK)"/>
    <x v="3"/>
    <x v="2"/>
    <n v="0"/>
    <n v="9.5690648983999996E-2"/>
  </r>
  <r>
    <s v="90"/>
    <s v="90"/>
    <s v="HTS"/>
    <x v="56"/>
    <s v="9032"/>
    <s v="Oddělení léčebné výživy"/>
    <s v="9032 - Oddělení léčebné výživy"/>
    <s v="50115     Zdravotnické prostředky"/>
    <x v="0"/>
    <x v="0"/>
    <n v="0"/>
    <n v="0"/>
  </r>
  <r>
    <s v="90"/>
    <s v="90"/>
    <s v="HTS"/>
    <x v="56"/>
    <s v="9032"/>
    <s v="Oddělení léčebné výživy"/>
    <s v="9032 - Oddělení léčebné výživy"/>
    <s v="50115     Zdravotnické prostředky"/>
    <x v="0"/>
    <x v="1"/>
    <n v="9.5209999999999989E-2"/>
    <n v="0"/>
  </r>
  <r>
    <s v="90"/>
    <s v="90"/>
    <s v="HTS"/>
    <x v="56"/>
    <s v="9032"/>
    <s v="Oddělení léčebné výživy"/>
    <s v="9032 - Oddělení léčebné výživy"/>
    <s v="50115     Zdravotnické prostředky"/>
    <x v="0"/>
    <x v="2"/>
    <n v="0"/>
    <n v="6.7989997858000001E-2"/>
  </r>
  <r>
    <s v="90"/>
    <s v="90"/>
    <s v="HTS"/>
    <x v="56"/>
    <s v="9032"/>
    <s v="Oddělení léčebné výživy"/>
    <s v="9032 - Oddělení léčebné výživy"/>
    <s v="50115050     obvazový materiál (sk.Z_502)"/>
    <x v="12"/>
    <x v="0"/>
    <n v="0"/>
    <n v="0"/>
  </r>
  <r>
    <s v="90"/>
    <s v="90"/>
    <s v="HTS"/>
    <x v="56"/>
    <s v="9032"/>
    <s v="Oddělení léčebné výživy"/>
    <s v="9032 - Oddělení léčebné výživy"/>
    <s v="50115050     obvazový materiál (sk.Z_502)"/>
    <x v="12"/>
    <x v="1"/>
    <n v="6.1330000000000003E-2"/>
    <n v="0"/>
  </r>
  <r>
    <s v="90"/>
    <s v="90"/>
    <s v="HTS"/>
    <x v="56"/>
    <s v="9032"/>
    <s v="Oddělení léčebné výživy"/>
    <s v="9032 - Oddělení léčebné výživy"/>
    <s v="50115050     obvazový materiál (sk.Z_502)"/>
    <x v="12"/>
    <x v="2"/>
    <n v="0"/>
    <n v="3.4109998925000003E-2"/>
  </r>
  <r>
    <s v="90"/>
    <s v="90"/>
    <s v="HTS"/>
    <x v="56"/>
    <s v="9032"/>
    <s v="Oddělení léčebné výživy"/>
    <s v="9032 - Oddělení léčebné výživy"/>
    <s v="50115060     ostatní ZPr - mimo níže uvedené (sk.Z_503)"/>
    <x v="1"/>
    <x v="0"/>
    <n v="0"/>
    <n v="0"/>
  </r>
  <r>
    <s v="90"/>
    <s v="90"/>
    <s v="HTS"/>
    <x v="56"/>
    <s v="9032"/>
    <s v="Oddělení léčebné výživy"/>
    <s v="9032 - Oddělení léčebné výživy"/>
    <s v="50115060     ostatní ZPr - mimo níže uvedené (sk.Z_503)"/>
    <x v="1"/>
    <x v="1"/>
    <n v="3.388E-2"/>
    <n v="0"/>
  </r>
  <r>
    <s v="90"/>
    <s v="90"/>
    <s v="HTS"/>
    <x v="56"/>
    <s v="9032"/>
    <s v="Oddělení léčebné výživy"/>
    <s v="9032 - Oddělení léčebné výživy"/>
    <s v="50115060     ostatní ZPr - mimo níže uvedené (sk.Z_503)"/>
    <x v="1"/>
    <x v="2"/>
    <n v="0"/>
    <n v="3.3879998931999999E-2"/>
  </r>
  <r>
    <s v="90"/>
    <s v="90"/>
    <s v="HTS"/>
    <x v="56"/>
    <s v="9062"/>
    <s v="Odbor hlavního mechanika"/>
    <s v="9062 - Odbor hlavního mechanika"/>
    <s v="50113     Léky a léčiva"/>
    <x v="2"/>
    <x v="1"/>
    <n v="0"/>
    <n v="177.317231131119"/>
  </r>
  <r>
    <s v="90"/>
    <s v="90"/>
    <s v="HTS"/>
    <x v="56"/>
    <s v="9062"/>
    <s v="Odbor hlavního mechanika"/>
    <s v="9062 - Odbor hlavního mechanika"/>
    <s v="50113190     medicinální plyny"/>
    <x v="9"/>
    <x v="1"/>
    <n v="0"/>
    <n v="177.317231131119"/>
  </r>
  <r>
    <s v="90"/>
    <s v="90"/>
    <s v="HTS"/>
    <x v="56"/>
    <s v="9066"/>
    <s v="Oddělení ekologie a vodního hospodářství"/>
    <s v="9066 - Oddělení ekologie a vodního hospodářství"/>
    <s v="50113     Léky a léčiva"/>
    <x v="2"/>
    <x v="0"/>
    <n v="0"/>
    <n v="0"/>
  </r>
  <r>
    <s v="90"/>
    <s v="90"/>
    <s v="HTS"/>
    <x v="56"/>
    <s v="9066"/>
    <s v="Oddělení ekologie a vodního hospodářství"/>
    <s v="9066 - Oddělení ekologie a vodního hospodářství"/>
    <s v="50113001     léky - paušál+TISS (LEK)"/>
    <x v="3"/>
    <x v="0"/>
    <n v="0"/>
    <n v="0"/>
  </r>
  <r>
    <s v="90"/>
    <s v="90"/>
    <s v="HTS"/>
    <x v="56"/>
    <s v="9066"/>
    <s v="Oddělení ekologie a vodního hospodářství"/>
    <s v="9066 - Oddělení ekologie a vodního hospodářství"/>
    <s v="50115     Zdravotnické prostředky"/>
    <x v="0"/>
    <x v="0"/>
    <n v="0"/>
    <n v="0"/>
  </r>
  <r>
    <s v="90"/>
    <s v="90"/>
    <s v="HTS"/>
    <x v="56"/>
    <s v="9066"/>
    <s v="Oddělení ekologie a vodního hospodářství"/>
    <s v="9066 - Oddělení ekologie a vodního hospodářství"/>
    <s v="50115067     ostatní ZPr - rukavice (sk.Z_532)"/>
    <x v="15"/>
    <x v="0"/>
    <n v="0"/>
    <n v="0"/>
  </r>
  <r>
    <s v="90"/>
    <s v="90"/>
    <s v="HTS"/>
    <x v="56"/>
    <s v="9067"/>
    <s v="Oddělení biomedicíny"/>
    <s v="9067 - Oddělení biomedicíny"/>
    <s v="50115     Zdravotnické prostředky"/>
    <x v="0"/>
    <x v="0"/>
    <n v="0.16214000000000001"/>
    <n v="0"/>
  </r>
  <r>
    <s v="90"/>
    <s v="90"/>
    <s v="HTS"/>
    <x v="56"/>
    <s v="9067"/>
    <s v="Oddělení biomedicíny"/>
    <s v="9067 - Oddělení biomedicíny"/>
    <s v="50115     Zdravotnické prostředky"/>
    <x v="0"/>
    <x v="1"/>
    <n v="0.46760000000000002"/>
    <n v="0"/>
  </r>
  <r>
    <s v="90"/>
    <s v="90"/>
    <s v="HTS"/>
    <x v="56"/>
    <s v="9067"/>
    <s v="Oddělení biomedicíny"/>
    <s v="9067 - Oddělení biomedicíny"/>
    <s v="50115     Zdravotnické prostředky"/>
    <x v="0"/>
    <x v="2"/>
    <n v="0"/>
    <n v="0.467599985271"/>
  </r>
  <r>
    <s v="90"/>
    <s v="90"/>
    <s v="HTS"/>
    <x v="56"/>
    <s v="9067"/>
    <s v="Oddělení biomedicíny"/>
    <s v="9067 - Oddělení biomedicíny"/>
    <s v="50115020     diagnostika laboratorní-LEK (sk.Z_501)"/>
    <x v="10"/>
    <x v="0"/>
    <n v="0.16214000000000001"/>
    <n v="0"/>
  </r>
  <r>
    <s v="90"/>
    <s v="90"/>
    <s v="HTS"/>
    <x v="56"/>
    <s v="9067"/>
    <s v="Oddělení biomedicíny"/>
    <s v="9067 - Oddělení biomedicíny"/>
    <s v="50115060     ostatní ZPr - mimo níže uvedené (sk.Z_503)"/>
    <x v="1"/>
    <x v="1"/>
    <n v="0.1303"/>
    <n v="0"/>
  </r>
  <r>
    <s v="90"/>
    <s v="90"/>
    <s v="HTS"/>
    <x v="56"/>
    <s v="9067"/>
    <s v="Oddělení biomedicíny"/>
    <s v="9067 - Oddělení biomedicíny"/>
    <s v="50115060     ostatní ZPr - mimo níže uvedené (sk.Z_503)"/>
    <x v="1"/>
    <x v="2"/>
    <n v="0"/>
    <n v="0.13029999589499999"/>
  </r>
  <r>
    <s v="90"/>
    <s v="90"/>
    <s v="HTS"/>
    <x v="56"/>
    <s v="9067"/>
    <s v="Oddělení biomedicíny"/>
    <s v="9067 - Oddělení biomedicíny"/>
    <s v="50115063     ostatní ZPr - vaky, sety (sk.Z_528)"/>
    <x v="13"/>
    <x v="1"/>
    <n v="8.1699999999999995E-2"/>
    <n v="0"/>
  </r>
  <r>
    <s v="90"/>
    <s v="90"/>
    <s v="HTS"/>
    <x v="56"/>
    <s v="9067"/>
    <s v="Oddělení biomedicíny"/>
    <s v="9067 - Oddělení biomedicíny"/>
    <s v="50115063     ostatní ZPr - vaky, sety (sk.Z_528)"/>
    <x v="13"/>
    <x v="2"/>
    <n v="0"/>
    <n v="8.1699997425999996E-2"/>
  </r>
  <r>
    <s v="90"/>
    <s v="90"/>
    <s v="HTS"/>
    <x v="56"/>
    <s v="9067"/>
    <s v="Oddělení biomedicíny"/>
    <s v="9067 - Oddělení biomedicíny"/>
    <s v="50115067     ostatní ZPr - rukavice (sk.Z_532)"/>
    <x v="15"/>
    <x v="1"/>
    <n v="0.25559999999999999"/>
    <n v="0"/>
  </r>
  <r>
    <s v="90"/>
    <s v="90"/>
    <s v="HTS"/>
    <x v="56"/>
    <s v="9067"/>
    <s v="Oddělení biomedicíny"/>
    <s v="9067 - Oddělení biomedicíny"/>
    <s v="50115067     ostatní ZPr - rukavice (sk.Z_532)"/>
    <x v="15"/>
    <x v="2"/>
    <n v="0"/>
    <n v="0.25559999194900002"/>
  </r>
  <r>
    <s v="93"/>
    <s v="93"/>
    <s v="Sklady, ostatní provozy"/>
    <x v="57"/>
    <s v="9301"/>
    <s v="Sklad ZPr (sledování režijních nákladů pracoviště)"/>
    <s v="9301 - Sklad ZPr (sledování režijních nákladů pracoviště)"/>
    <s v="50115     Zdravotnické prostředky"/>
    <x v="0"/>
    <x v="0"/>
    <n v="99.519350000000017"/>
    <n v="0"/>
  </r>
  <r>
    <s v="93"/>
    <s v="93"/>
    <s v="Sklady, ostatní provozy"/>
    <x v="57"/>
    <s v="9301"/>
    <s v="Sklad ZPr (sledování režijních nákladů pracoviště)"/>
    <s v="9301 - Sklad ZPr (sledování režijních nákladů pracoviště)"/>
    <s v="50115     Zdravotnické prostředky"/>
    <x v="0"/>
    <x v="1"/>
    <n v="-184.60693000000001"/>
    <n v="0"/>
  </r>
  <r>
    <s v="93"/>
    <s v="93"/>
    <s v="Sklady, ostatní provozy"/>
    <x v="57"/>
    <s v="9301"/>
    <s v="Sklad ZPr (sledování režijních nákladů pracoviště)"/>
    <s v="9301 - Sklad ZPr (sledování režijních nákladů pracoviště)"/>
    <s v="50115     Zdravotnické prostředky"/>
    <x v="0"/>
    <x v="2"/>
    <n v="0"/>
    <n v="6.9999997795169695E-5"/>
  </r>
  <r>
    <s v="93"/>
    <s v="93"/>
    <s v="Sklady, ostatní provozy"/>
    <x v="57"/>
    <s v="9301"/>
    <s v="Sklad ZPr (sledování režijních nákladů pracoviště)"/>
    <s v="9301 - Sklad ZPr (sledování režijních nákladů pracoviště)"/>
    <s v="50115050     obvazový materiál (sk.Z_502)"/>
    <x v="12"/>
    <x v="0"/>
    <n v="0"/>
    <n v="0"/>
  </r>
  <r>
    <s v="93"/>
    <s v="93"/>
    <s v="Sklady, ostatní provozy"/>
    <x v="57"/>
    <s v="9301"/>
    <s v="Sklad ZPr (sledování režijních nákladů pracoviště)"/>
    <s v="9301 - Sklad ZPr (sledování režijních nákladů pracoviště)"/>
    <s v="50115060     ostatní ZPr - mimo níže uvedené (sk.Z_503)"/>
    <x v="1"/>
    <x v="0"/>
    <n v="9.9446880309599084E-13"/>
    <n v="0"/>
  </r>
  <r>
    <s v="93"/>
    <s v="93"/>
    <s v="Sklady, ostatní provozy"/>
    <x v="57"/>
    <s v="9301"/>
    <s v="Sklad ZPr (sledování režijních nákladů pracoviště)"/>
    <s v="9301 - Sklad ZPr (sledování režijních nákladů pracoviště)"/>
    <s v="50115061     ostatní ZPr - robotické centrum (sk.Z_512)"/>
    <x v="43"/>
    <x v="0"/>
    <n v="99.519350000000003"/>
    <n v="0"/>
  </r>
  <r>
    <s v="93"/>
    <s v="93"/>
    <s v="Sklady, ostatní provozy"/>
    <x v="57"/>
    <s v="9301"/>
    <s v="Sklad ZPr (sledování režijních nákladů pracoviště)"/>
    <s v="9301 - Sklad ZPr (sledování režijních nákladů pracoviště)"/>
    <s v="50115064     ostatní ZPr - šicí materiál (sk.Z_529)"/>
    <x v="21"/>
    <x v="1"/>
    <n v="6.9999999999999994E-5"/>
    <n v="0"/>
  </r>
  <r>
    <s v="93"/>
    <s v="93"/>
    <s v="Sklady, ostatní provozy"/>
    <x v="57"/>
    <s v="9301"/>
    <s v="Sklad ZPr (sledování režijních nákladů pracoviště)"/>
    <s v="9301 - Sklad ZPr (sledování režijních nákladů pracoviště)"/>
    <s v="50115064     ostatní ZPr - šicí materiál (sk.Z_529)"/>
    <x v="21"/>
    <x v="2"/>
    <n v="0"/>
    <n v="6.9999997795169695E-5"/>
  </r>
  <r>
    <s v="93"/>
    <s v="93"/>
    <s v="Sklady, ostatní provozy"/>
    <x v="57"/>
    <s v="9301"/>
    <s v="Sklad ZPr (sledování režijních nákladů pracoviště)"/>
    <s v="9301 - Sklad ZPr (sledování režijních nákladů pracoviště)"/>
    <s v="50115065     ostatní ZPr - vpichovací materiál (sk.Z_530)"/>
    <x v="14"/>
    <x v="0"/>
    <n v="0"/>
    <n v="0"/>
  </r>
  <r>
    <s v="93"/>
    <s v="93"/>
    <s v="Sklady, ostatní provozy"/>
    <x v="57"/>
    <s v="9301"/>
    <s v="Sklad ZPr (sledování režijních nákladů pracoviště)"/>
    <s v="9301 - Sklad ZPr (sledování režijních nákladů pracoviště)"/>
    <s v="50115065     ostatní ZPr - vpichovací materiál (sk.Z_530)"/>
    <x v="14"/>
    <x v="1"/>
    <n v="-184.607"/>
    <n v="0"/>
  </r>
  <r>
    <s v="94"/>
    <s v="94"/>
    <s v="Provozní služby"/>
    <x v="58"/>
    <s v="9401"/>
    <s v="Provoz prádelny"/>
    <s v="9401 - Provoz prádelny"/>
    <s v="50115     Zdravotnické prostředky"/>
    <x v="0"/>
    <x v="0"/>
    <n v="9.999778782798785E-13"/>
    <n v="0"/>
  </r>
  <r>
    <s v="94"/>
    <s v="94"/>
    <s v="Provozní služby"/>
    <x v="58"/>
    <s v="9401"/>
    <s v="Provoz prádelny"/>
    <s v="9401 - Provoz prádelny"/>
    <s v="50115     Zdravotnické prostředky"/>
    <x v="0"/>
    <x v="2"/>
    <n v="0"/>
    <n v="0.71"/>
  </r>
  <r>
    <s v="94"/>
    <s v="94"/>
    <s v="Provozní služby"/>
    <x v="58"/>
    <s v="9401"/>
    <s v="Provoz prádelny"/>
    <s v="9401 - Provoz prádelny"/>
    <s v="50115050     obvazový materiál (sk.Z_502)"/>
    <x v="12"/>
    <x v="0"/>
    <n v="9.9999956232332821E-13"/>
    <n v="0"/>
  </r>
  <r>
    <s v="94"/>
    <s v="94"/>
    <s v="Provozní služby"/>
    <x v="58"/>
    <s v="9401"/>
    <s v="Provoz prádelny"/>
    <s v="9401 - Provoz prádelny"/>
    <s v="50115067     ostatní ZPr - rukavice (sk.Z_532)"/>
    <x v="15"/>
    <x v="0"/>
    <n v="9.999778782798785E-13"/>
    <n v="0"/>
  </r>
  <r>
    <s v="94"/>
    <s v="94"/>
    <s v="Provozní služby"/>
    <x v="58"/>
    <s v="9401"/>
    <s v="Provoz prádelny"/>
    <s v="9401 - Provoz prádelny"/>
    <s v="50115067     ostatní ZPr - rukavice (sk.Z_532)"/>
    <x v="15"/>
    <x v="2"/>
    <n v="0"/>
    <n v="0.71"/>
  </r>
  <r>
    <s v="94"/>
    <s v="94"/>
    <s v="Provozní služby"/>
    <x v="58"/>
    <s v="9402"/>
    <s v="Provoz dopravy - sanitní - převoz pacientů ve FNOL"/>
    <s v="9402 - Provoz dopravy - sanitní - převoz pacientů ve FNOL"/>
    <s v="50113     Léky a léčiva"/>
    <x v="2"/>
    <x v="0"/>
    <n v="-2.2204460492503131E-16"/>
    <n v="1.6"/>
  </r>
  <r>
    <s v="94"/>
    <s v="94"/>
    <s v="Provozní služby"/>
    <x v="58"/>
    <s v="9402"/>
    <s v="Provoz dopravy - sanitní - převoz pacientů ve FNOL"/>
    <s v="9402 - Provoz dopravy - sanitní - převoz pacientů ve FNOL"/>
    <s v="50113001     léky - paušál+TISS (LEK)"/>
    <x v="3"/>
    <x v="0"/>
    <n v="9.999778782798785E-13"/>
    <n v="0"/>
  </r>
  <r>
    <s v="94"/>
    <s v="94"/>
    <s v="Provozní služby"/>
    <x v="58"/>
    <s v="9402"/>
    <s v="Provoz dopravy - sanitní - převoz pacientů ve FNOL"/>
    <s v="9402 - Provoz dopravy - sanitní - převoz pacientů ve FNOL"/>
    <s v="50113190     medicinální plyny"/>
    <x v="9"/>
    <x v="0"/>
    <n v="9.999778782798785E-13"/>
    <n v="1.6"/>
  </r>
  <r>
    <s v="94"/>
    <s v="94"/>
    <s v="Provozní služby"/>
    <x v="58"/>
    <s v="9402"/>
    <s v="Provoz dopravy - sanitní - převoz pacientů ve FNOL"/>
    <s v="9402 - Provoz dopravy - sanitní - převoz pacientů ve FNOL"/>
    <s v="50115     Zdravotnické prostředky"/>
    <x v="0"/>
    <x v="0"/>
    <n v="0"/>
    <n v="0"/>
  </r>
  <r>
    <s v="94"/>
    <s v="94"/>
    <s v="Provozní služby"/>
    <x v="58"/>
    <s v="9402"/>
    <s v="Provoz dopravy - sanitní - převoz pacientů ve FNOL"/>
    <s v="9402 - Provoz dopravy - sanitní - převoz pacientů ve FNOL"/>
    <s v="50115020     diagnostika laboratorní-LEK (sk.Z_501)"/>
    <x v="10"/>
    <x v="0"/>
    <n v="0"/>
    <n v="0"/>
  </r>
  <r>
    <s v="94"/>
    <s v="94"/>
    <s v="Provozní služby"/>
    <x v="58"/>
    <s v="9402"/>
    <s v="Provoz dopravy - sanitní - převoz pacientů ve FNOL"/>
    <s v="9402 - Provoz dopravy - sanitní - převoz pacientů ve FNOL"/>
    <s v="50115050     obvazový materiál (sk.Z_502)"/>
    <x v="12"/>
    <x v="0"/>
    <n v="8.3266726846886741E-17"/>
    <n v="0"/>
  </r>
  <r>
    <s v="94"/>
    <s v="94"/>
    <s v="Provozní služby"/>
    <x v="58"/>
    <s v="9402"/>
    <s v="Provoz dopravy - sanitní - převoz pacientů ve FNOL"/>
    <s v="9402 - Provoz dopravy - sanitní - převoz pacientů ve FNOL"/>
    <s v="50115060     ostatní ZPr - mimo níže uvedené (sk.Z_503)"/>
    <x v="1"/>
    <x v="0"/>
    <n v="0"/>
    <n v="0"/>
  </r>
  <r>
    <s v="94"/>
    <s v="94"/>
    <s v="Provozní služby"/>
    <x v="58"/>
    <s v="9402"/>
    <s v="Provoz dopravy - sanitní - převoz pacientů ve FNOL"/>
    <s v="9402 - Provoz dopravy - sanitní - převoz pacientů ve FNOL"/>
    <s v="50115067     ostatní ZPr - rukavice (sk.Z_532)"/>
    <x v="15"/>
    <x v="0"/>
    <n v="0"/>
    <n v="0"/>
  </r>
  <r>
    <s v="95"/>
    <s v="95"/>
    <s v="Provoz stravování"/>
    <x v="59"/>
    <s v="9501"/>
    <s v="Provoz stravování - ostatní stravování"/>
    <s v="9501 - Provoz stravování - ostatní stravování"/>
    <s v="50115     Zdravotnické prostředky"/>
    <x v="0"/>
    <x v="1"/>
    <n v="14.56"/>
    <n v="0"/>
  </r>
  <r>
    <s v="95"/>
    <s v="95"/>
    <s v="Provoz stravování"/>
    <x v="59"/>
    <s v="9501"/>
    <s v="Provoz stravování - ostatní stravování"/>
    <s v="9501 - Provoz stravování - ostatní stravování"/>
    <s v="50115     Zdravotnické prostředky"/>
    <x v="0"/>
    <x v="2"/>
    <n v="0"/>
    <n v="19.999999370047998"/>
  </r>
  <r>
    <s v="95"/>
    <s v="95"/>
    <s v="Provoz stravování"/>
    <x v="59"/>
    <s v="9501"/>
    <s v="Provoz stravování - ostatní stravování"/>
    <s v="9501 - Provoz stravování - ostatní stravování"/>
    <s v="50115067     ostatní ZPr - rukavice (sk.Z_532)"/>
    <x v="15"/>
    <x v="1"/>
    <n v="14.56"/>
    <n v="0"/>
  </r>
  <r>
    <s v="95"/>
    <s v="95"/>
    <s v="Provoz stravování"/>
    <x v="59"/>
    <s v="9501"/>
    <s v="Provoz stravování - ostatní stravování"/>
    <s v="9501 - Provoz stravování - ostatní stravování"/>
    <s v="50115067     ostatní ZPr - rukavice (sk.Z_532)"/>
    <x v="15"/>
    <x v="2"/>
    <n v="0"/>
    <n v="19.999999370047998"/>
  </r>
  <r>
    <s v="98"/>
    <s v="98"/>
    <s v="Transfery MZ ČR + refundace"/>
    <x v="60"/>
    <s v="9801"/>
    <s v="Krizová připravenost - MZ"/>
    <s v="9801 - Krizová připravenost - MZ"/>
    <s v="50113     Léky a léčiva"/>
    <x v="2"/>
    <x v="2"/>
    <n v="6.9828000000000001"/>
    <n v="20"/>
  </r>
  <r>
    <s v="98"/>
    <s v="98"/>
    <s v="Transfery MZ ČR + refundace"/>
    <x v="60"/>
    <s v="9801"/>
    <s v="Krizová připravenost - MZ"/>
    <s v="9801 - Krizová připravenost - MZ"/>
    <s v="50113001     léky - paušál+TISS (LEK)"/>
    <x v="3"/>
    <x v="2"/>
    <n v="6.9828000000000001"/>
    <n v="20"/>
  </r>
  <r>
    <s v="98"/>
    <s v="98"/>
    <s v="Transfery MZ ČR + refundace"/>
    <x v="60"/>
    <s v="9801"/>
    <s v="Krizová připravenost - MZ"/>
    <s v="9801 - Krizová připravenost - MZ"/>
    <s v="50115     Zdravotnické prostředky"/>
    <x v="0"/>
    <x v="0"/>
    <n v="9.0310000000000006"/>
    <n v="0"/>
  </r>
  <r>
    <s v="98"/>
    <s v="98"/>
    <s v="Transfery MZ ČR + refundace"/>
    <x v="60"/>
    <s v="9801"/>
    <s v="Krizová připravenost - MZ"/>
    <s v="9801 - Krizová připravenost - MZ"/>
    <s v="50115     Zdravotnické prostředky"/>
    <x v="0"/>
    <x v="1"/>
    <n v="9.1179600000000001"/>
    <n v="0"/>
  </r>
  <r>
    <s v="98"/>
    <s v="98"/>
    <s v="Transfery MZ ČR + refundace"/>
    <x v="60"/>
    <s v="9801"/>
    <s v="Krizová připravenost - MZ"/>
    <s v="9801 - Krizová připravenost - MZ"/>
    <s v="50115     Zdravotnické prostředky"/>
    <x v="0"/>
    <x v="2"/>
    <n v="54.616630000000001"/>
    <n v="125"/>
  </r>
  <r>
    <s v="98"/>
    <s v="98"/>
    <s v="Transfery MZ ČR + refundace"/>
    <x v="60"/>
    <s v="9801"/>
    <s v="Krizová připravenost - MZ"/>
    <s v="9801 - Krizová připravenost - MZ"/>
    <s v="50115050     obvazový materiál (sk.Z_502)"/>
    <x v="12"/>
    <x v="2"/>
    <n v="19.92399"/>
    <n v="30"/>
  </r>
  <r>
    <s v="98"/>
    <s v="98"/>
    <s v="Transfery MZ ČR + refundace"/>
    <x v="60"/>
    <s v="9801"/>
    <s v="Krizová připravenost - MZ"/>
    <s v="9801 - Krizová připravenost - MZ"/>
    <s v="50115060     ostatní ZPr - mimo níže uvedené (sk.Z_503)"/>
    <x v="1"/>
    <x v="1"/>
    <n v="9.1179600000000001"/>
    <n v="0"/>
  </r>
  <r>
    <s v="98"/>
    <s v="98"/>
    <s v="Transfery MZ ČR + refundace"/>
    <x v="60"/>
    <s v="9801"/>
    <s v="Krizová připravenost - MZ"/>
    <s v="9801 - Krizová připravenost - MZ"/>
    <s v="50115060     ostatní ZPr - mimo níže uvedené (sk.Z_503)"/>
    <x v="1"/>
    <x v="2"/>
    <n v="7.8650000000000002"/>
    <n v="40"/>
  </r>
  <r>
    <s v="98"/>
    <s v="98"/>
    <s v="Transfery MZ ČR + refundace"/>
    <x v="60"/>
    <s v="9801"/>
    <s v="Krizová připravenost - MZ"/>
    <s v="9801 - Krizová připravenost - MZ"/>
    <s v="50115063     ostatní ZPr - vaky, sety (sk.Z_528)"/>
    <x v="13"/>
    <x v="2"/>
    <n v="9.3219999999999992"/>
    <n v="15"/>
  </r>
  <r>
    <s v="98"/>
    <s v="98"/>
    <s v="Transfery MZ ČR + refundace"/>
    <x v="60"/>
    <s v="9801"/>
    <s v="Krizová připravenost - MZ"/>
    <s v="9801 - Krizová připravenost - MZ"/>
    <s v="50115064     ostatní ZPr - šicí materiál (sk.Z_529)"/>
    <x v="21"/>
    <x v="2"/>
    <n v="8.9856400000000001"/>
    <n v="10"/>
  </r>
  <r>
    <s v="98"/>
    <s v="98"/>
    <s v="Transfery MZ ČR + refundace"/>
    <x v="60"/>
    <s v="9801"/>
    <s v="Krizová připravenost - MZ"/>
    <s v="9801 - Krizová připravenost - MZ"/>
    <s v="50115067     ostatní ZPr - rukavice (sk.Z_532)"/>
    <x v="15"/>
    <x v="0"/>
    <n v="6.952"/>
    <n v="0"/>
  </r>
  <r>
    <s v="98"/>
    <s v="98"/>
    <s v="Transfery MZ ČR + refundace"/>
    <x v="60"/>
    <s v="9801"/>
    <s v="Krizová připravenost - MZ"/>
    <s v="9801 - Krizová připravenost - MZ"/>
    <s v="50115067     ostatní ZPr - rukavice (sk.Z_532)"/>
    <x v="15"/>
    <x v="2"/>
    <n v="8.52"/>
    <n v="30"/>
  </r>
  <r>
    <s v="98"/>
    <s v="98"/>
    <s v="Transfery MZ ČR + refundace"/>
    <x v="60"/>
    <s v="9801"/>
    <s v="Krizová připravenost - MZ"/>
    <s v="9801 - Krizová připravenost - MZ"/>
    <s v="50115070     ostatní ZPr - katetry (sk.Z_513)"/>
    <x v="16"/>
    <x v="0"/>
    <n v="2.0790000000000002"/>
    <n v="0"/>
  </r>
  <r>
    <s v="98"/>
    <s v="98"/>
    <s v="Transfery MZ ČR + refundace"/>
    <x v="60"/>
    <s v="9803"/>
    <s v="Výuka studentů - MZ"/>
    <s v="9803 - Výuka studentů - MZ"/>
    <s v="50115     Zdravotnické prostředky"/>
    <x v="0"/>
    <x v="0"/>
    <n v="22.6111"/>
    <n v="0"/>
  </r>
  <r>
    <s v="98"/>
    <s v="98"/>
    <s v="Transfery MZ ČR + refundace"/>
    <x v="60"/>
    <s v="9803"/>
    <s v="Výuka studentů - MZ"/>
    <s v="9803 - Výuka studentů - MZ"/>
    <s v="50115     Zdravotnické prostředky"/>
    <x v="0"/>
    <x v="1"/>
    <n v="15.81856"/>
    <n v="0"/>
  </r>
  <r>
    <s v="98"/>
    <s v="98"/>
    <s v="Transfery MZ ČR + refundace"/>
    <x v="60"/>
    <s v="9803"/>
    <s v="Výuka studentů - MZ"/>
    <s v="9803 - Výuka studentů - MZ"/>
    <s v="50115     Zdravotnické prostředky"/>
    <x v="0"/>
    <x v="2"/>
    <n v="6.8149999999999995"/>
    <n v="0"/>
  </r>
  <r>
    <s v="98"/>
    <s v="98"/>
    <s v="Transfery MZ ČR + refundace"/>
    <x v="60"/>
    <s v="9803"/>
    <s v="Výuka studentů - MZ"/>
    <s v="9803 - Výuka studentů - MZ"/>
    <s v="50115060     ostatní ZPr - mimo níže uvedené (sk.Z_503)"/>
    <x v="1"/>
    <x v="0"/>
    <n v="2.1779999999999999"/>
    <n v="0"/>
  </r>
  <r>
    <s v="98"/>
    <s v="98"/>
    <s v="Transfery MZ ČR + refundace"/>
    <x v="60"/>
    <s v="9803"/>
    <s v="Výuka studentů - MZ"/>
    <s v="9803 - Výuka studentů - MZ"/>
    <s v="50115060     ostatní ZPr - mimo níže uvedené (sk.Z_503)"/>
    <x v="1"/>
    <x v="1"/>
    <n v="1.4410000000000001"/>
    <n v="0"/>
  </r>
  <r>
    <s v="98"/>
    <s v="98"/>
    <s v="Transfery MZ ČR + refundace"/>
    <x v="60"/>
    <s v="9803"/>
    <s v="Výuka studentů - MZ"/>
    <s v="9803 - Výuka studentů - MZ"/>
    <s v="50115060     ostatní ZPr - mimo níže uvedené (sk.Z_503)"/>
    <x v="1"/>
    <x v="2"/>
    <n v="0.80400000000000005"/>
    <n v="0"/>
  </r>
  <r>
    <s v="98"/>
    <s v="98"/>
    <s v="Transfery MZ ČR + refundace"/>
    <x v="60"/>
    <s v="9803"/>
    <s v="Výuka studentů - MZ"/>
    <s v="9803 - Výuka studentů - MZ"/>
    <s v="50115065     ostatní ZPr - vpichovací materiál (sk.Z_530)"/>
    <x v="14"/>
    <x v="0"/>
    <n v="1.3849999999999998"/>
    <n v="0"/>
  </r>
  <r>
    <s v="98"/>
    <s v="98"/>
    <s v="Transfery MZ ČR + refundace"/>
    <x v="60"/>
    <s v="9803"/>
    <s v="Výuka studentů - MZ"/>
    <s v="9803 - Výuka studentů - MZ"/>
    <s v="50115065     ostatní ZPr - vpichovací materiál (sk.Z_530)"/>
    <x v="14"/>
    <x v="1"/>
    <n v="0.60199999999999998"/>
    <n v="0"/>
  </r>
  <r>
    <s v="98"/>
    <s v="98"/>
    <s v="Transfery MZ ČR + refundace"/>
    <x v="60"/>
    <s v="9803"/>
    <s v="Výuka studentů - MZ"/>
    <s v="9803 - Výuka studentů - MZ"/>
    <s v="50115065     ostatní ZPr - vpichovací materiál (sk.Z_530)"/>
    <x v="14"/>
    <x v="2"/>
    <n v="0.33100000000000002"/>
    <n v="0"/>
  </r>
  <r>
    <s v="98"/>
    <s v="98"/>
    <s v="Transfery MZ ČR + refundace"/>
    <x v="60"/>
    <s v="9803"/>
    <s v="Výuka studentů - MZ"/>
    <s v="9803 - Výuka studentů - MZ"/>
    <s v="50115067     ostatní ZPr - rukavice (sk.Z_532)"/>
    <x v="15"/>
    <x v="0"/>
    <n v="19.048100000000002"/>
    <n v="0"/>
  </r>
  <r>
    <s v="98"/>
    <s v="98"/>
    <s v="Transfery MZ ČR + refundace"/>
    <x v="60"/>
    <s v="9803"/>
    <s v="Výuka studentů - MZ"/>
    <s v="9803 - Výuka studentů - MZ"/>
    <s v="50115067     ostatní ZPr - rukavice (sk.Z_532)"/>
    <x v="15"/>
    <x v="1"/>
    <n v="13.77556"/>
    <n v="0"/>
  </r>
  <r>
    <s v="98"/>
    <s v="98"/>
    <s v="Transfery MZ ČR + refundace"/>
    <x v="60"/>
    <s v="9803"/>
    <s v="Výuka studentů - MZ"/>
    <s v="9803 - Výuka studentů - MZ"/>
    <s v="50115067     ostatní ZPr - rukavice (sk.Z_532)"/>
    <x v="15"/>
    <x v="2"/>
    <n v="5.68"/>
    <n v="0"/>
  </r>
  <r>
    <s v="98"/>
    <s v="98"/>
    <s v="Transfery MZ ČR + refundace"/>
    <x v="60"/>
    <s v="9807"/>
    <s v="Krizová připravenost - Traumateam ČR - RAFEX 2014"/>
    <s v="9807 - Krizová připravenost - Traumateam ČR - RAFEX 2014"/>
    <s v="50115     Zdravotnické prostředky"/>
    <x v="0"/>
    <x v="1"/>
    <n v="12.26253"/>
    <n v="0"/>
  </r>
  <r>
    <s v="98"/>
    <s v="98"/>
    <s v="Transfery MZ ČR + refundace"/>
    <x v="60"/>
    <s v="9807"/>
    <s v="Krizová připravenost - Traumateam ČR - RAFEX 2014"/>
    <s v="9807 - Krizová připravenost - Traumateam ČR - RAFEX 2014"/>
    <s v="50115050     obvazový materiál (sk.Z_502)"/>
    <x v="12"/>
    <x v="1"/>
    <n v="5.9352299999999998"/>
    <n v="0"/>
  </r>
  <r>
    <s v="98"/>
    <s v="98"/>
    <s v="Transfery MZ ČR + refundace"/>
    <x v="60"/>
    <s v="9807"/>
    <s v="Krizová připravenost - Traumateam ČR - RAFEX 2014"/>
    <s v="9807 - Krizová připravenost - Traumateam ČR - RAFEX 2014"/>
    <s v="50115060     ostatní ZPr - mimo níže uvedené (sk.Z_503)"/>
    <x v="1"/>
    <x v="1"/>
    <n v="4.9073000000000002"/>
    <n v="0"/>
  </r>
  <r>
    <s v="98"/>
    <s v="98"/>
    <s v="Transfery MZ ČR + refundace"/>
    <x v="60"/>
    <s v="9807"/>
    <s v="Krizová připravenost - Traumateam ČR - RAFEX 2014"/>
    <s v="9807 - Krizová připravenost - Traumateam ČR - RAFEX 2014"/>
    <s v="50115067     ostatní ZPr - rukavice (sk.Z_532)"/>
    <x v="15"/>
    <x v="1"/>
    <n v="1.42"/>
    <n v="0"/>
  </r>
  <r>
    <s v="98"/>
    <s v="98"/>
    <s v="Transfery MZ ČR + refundace"/>
    <x v="60"/>
    <s v="9813"/>
    <s v="MEDEVAC"/>
    <s v="9813 - MEDEVAC"/>
    <s v="50115     Zdravotnické prostředky"/>
    <x v="0"/>
    <x v="2"/>
    <n v="18.238219999999998"/>
    <n v="0"/>
  </r>
  <r>
    <s v="98"/>
    <s v="98"/>
    <s v="Transfery MZ ČR + refundace"/>
    <x v="60"/>
    <s v="9813"/>
    <s v="MEDEVAC"/>
    <s v="9813 - MEDEVAC"/>
    <s v="50115060     ostatní ZPr - mimo níže uvedené (sk.Z_503)"/>
    <x v="1"/>
    <x v="2"/>
    <n v="0.19470000000000001"/>
    <n v="0"/>
  </r>
  <r>
    <s v="98"/>
    <s v="98"/>
    <s v="Transfery MZ ČR + refundace"/>
    <x v="60"/>
    <s v="9813"/>
    <s v="MEDEVAC"/>
    <s v="9813 - MEDEVAC"/>
    <s v="50115065     ostatní ZPr - vpichovací materiál (sk.Z_530)"/>
    <x v="14"/>
    <x v="2"/>
    <n v="18.04352000000000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6" minRefreshableVersion="3" rowGrandTotals="0" colGrandTotals="0" itemPrintTitles="1" createdVersion="4" indent="0" outline="1" outlineData="1" multipleFieldFilters="0" fieldListSortAscending="1" customListSort="0">
  <location ref="A1:MM69" firstHeaderRow="1" firstDataRow="4" firstDataCol="1"/>
  <pivotFields count="14">
    <pivotField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Col" subtotalTop="0" showAll="0" defaultSubtotal="0">
      <items count="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m="1" x="62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3"/>
        <item x="44"/>
        <item x="45"/>
        <item x="47"/>
        <item x="48"/>
        <item x="50"/>
        <item x="51"/>
        <item m="1" x="64"/>
        <item x="52"/>
        <item x="54"/>
        <item x="55"/>
        <item x="56"/>
        <item x="57"/>
        <item x="58"/>
        <item m="1" x="63"/>
        <item m="1" x="61"/>
        <item x="26"/>
        <item x="41"/>
        <item x="46"/>
        <item x="42"/>
        <item x="49"/>
        <item x="59"/>
        <item m="1" x="65"/>
        <item x="53"/>
        <item x="60"/>
      </items>
    </pivotField>
    <pivotField showAll="0"/>
    <pivotField showAll="0"/>
    <pivotField showAll="0"/>
    <pivotField showAll="0"/>
    <pivotField axis="axisRow" showAll="0" sortType="ascending">
      <items count="84">
        <item x="2"/>
        <item x="3"/>
        <item m="1" x="76"/>
        <item x="17"/>
        <item x="63"/>
        <item x="50"/>
        <item x="58"/>
        <item m="1" x="73"/>
        <item m="1" x="78"/>
        <item x="4"/>
        <item m="1" x="75"/>
        <item x="45"/>
        <item m="1" x="74"/>
        <item x="5"/>
        <item m="1" x="68"/>
        <item x="22"/>
        <item m="1" x="80"/>
        <item x="55"/>
        <item m="1" x="67"/>
        <item x="6"/>
        <item m="1" x="65"/>
        <item x="19"/>
        <item m="1" x="82"/>
        <item x="7"/>
        <item m="1" x="81"/>
        <item x="8"/>
        <item m="1" x="69"/>
        <item x="54"/>
        <item m="1" x="77"/>
        <item m="1" x="79"/>
        <item x="39"/>
        <item m="1" x="70"/>
        <item x="40"/>
        <item m="1" x="72"/>
        <item x="9"/>
        <item m="1" x="66"/>
        <item x="62"/>
        <item x="0"/>
        <item x="23"/>
        <item x="24"/>
        <item x="47"/>
        <item x="25"/>
        <item x="48"/>
        <item x="49"/>
        <item m="1" x="71"/>
        <item x="59"/>
        <item x="60"/>
        <item x="32"/>
        <item x="57"/>
        <item x="26"/>
        <item x="27"/>
        <item x="10"/>
        <item x="41"/>
        <item x="11"/>
        <item x="12"/>
        <item x="53"/>
        <item x="1"/>
        <item x="43"/>
        <item x="20"/>
        <item x="13"/>
        <item x="21"/>
        <item x="14"/>
        <item x="44"/>
        <item x="15"/>
        <item x="46"/>
        <item x="52"/>
        <item x="16"/>
        <item x="28"/>
        <item x="33"/>
        <item x="29"/>
        <item x="34"/>
        <item x="35"/>
        <item x="36"/>
        <item x="37"/>
        <item x="38"/>
        <item x="18"/>
        <item x="30"/>
        <item x="31"/>
        <item x="61"/>
        <item x="42"/>
        <item x="56"/>
        <item x="51"/>
        <item x="64"/>
        <item t="default"/>
      </items>
    </pivotField>
    <pivotField axis="axisCol" showAll="0">
      <items count="5">
        <item m="1" x="3"/>
        <item x="0"/>
        <item x="1"/>
        <item x="2"/>
        <item t="default"/>
      </items>
    </pivotField>
    <pivotField dataField="1" showAll="0"/>
    <pivotField dataField="1" showAll="0"/>
    <pivotField dragToRow="0" dragToCol="0" dragToPage="0" showAll="0" defaultSubtotal="0"/>
    <pivotField dragToRow="0" dragToCol="0" dragToPage="0" showAll="0" defaultSubtotal="0"/>
  </pivotFields>
  <rowFields count="1">
    <field x="8"/>
  </rowFields>
  <rowItems count="65">
    <i>
      <x/>
    </i>
    <i>
      <x v="1"/>
    </i>
    <i>
      <x v="3"/>
    </i>
    <i>
      <x v="4"/>
    </i>
    <i>
      <x v="5"/>
    </i>
    <i>
      <x v="6"/>
    </i>
    <i>
      <x v="9"/>
    </i>
    <i>
      <x v="11"/>
    </i>
    <i>
      <x v="13"/>
    </i>
    <i>
      <x v="15"/>
    </i>
    <i>
      <x v="17"/>
    </i>
    <i>
      <x v="19"/>
    </i>
    <i>
      <x v="21"/>
    </i>
    <i>
      <x v="23"/>
    </i>
    <i>
      <x v="25"/>
    </i>
    <i>
      <x v="27"/>
    </i>
    <i>
      <x v="30"/>
    </i>
    <i>
      <x v="32"/>
    </i>
    <i>
      <x v="34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</rowItems>
  <colFields count="3">
    <field x="3"/>
    <field x="9"/>
    <field x="-2"/>
  </colFields>
  <colItems count="350">
    <i>
      <x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1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2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3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4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5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6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7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8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9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10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11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12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13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14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15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16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17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18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19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20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21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22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23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24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25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27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28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29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30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31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32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33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34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35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36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37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38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39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40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41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42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43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44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45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46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47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49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50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51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52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53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54"/>
      <x v="1"/>
      <x/>
    </i>
    <i r="2" i="1">
      <x v="1"/>
    </i>
    <i r="1">
      <x v="3"/>
      <x/>
    </i>
    <i r="2" i="1">
      <x v="1"/>
    </i>
    <i>
      <x v="57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58"/>
      <x v="3"/>
      <x/>
    </i>
    <i r="2" i="1">
      <x v="1"/>
    </i>
    <i>
      <x v="59"/>
      <x v="3"/>
      <x/>
    </i>
    <i r="2" i="1">
      <x v="1"/>
    </i>
    <i>
      <x v="60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61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>
      <x v="62"/>
      <x v="2"/>
      <x/>
    </i>
    <i r="2" i="1">
      <x v="1"/>
    </i>
    <i r="1">
      <x v="3"/>
      <x/>
    </i>
    <i r="2" i="1">
      <x v="1"/>
    </i>
    <i>
      <x v="64"/>
      <x v="3"/>
      <x/>
    </i>
    <i r="2" i="1">
      <x v="1"/>
    </i>
    <i>
      <x v="65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</colItems>
  <dataFields count="2">
    <dataField name="rozp" fld="11" baseField="2" baseItem="0" numFmtId="3"/>
    <dataField name="skut" fld="10" baseField="2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K83"/>
  <sheetViews>
    <sheetView tabSelected="1"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A3"/>
    </sheetView>
  </sheetViews>
  <sheetFormatPr defaultRowHeight="15"/>
  <cols>
    <col min="1" max="1" width="50.140625" customWidth="1"/>
    <col min="2" max="6" width="9.42578125" bestFit="1" customWidth="1"/>
    <col min="7" max="7" width="11.28515625" customWidth="1"/>
    <col min="8" max="8" width="10.7109375" customWidth="1"/>
    <col min="9" max="9" width="9.28515625" customWidth="1"/>
    <col min="10" max="14" width="9.42578125" bestFit="1" customWidth="1"/>
    <col min="15" max="15" width="11.42578125" customWidth="1"/>
    <col min="16" max="16" width="10.7109375" customWidth="1"/>
    <col min="17" max="17" width="9.28515625" customWidth="1"/>
    <col min="18" max="22" width="9.42578125" bestFit="1" customWidth="1"/>
    <col min="23" max="23" width="11.85546875" customWidth="1"/>
    <col min="24" max="25" width="9.28515625" customWidth="1"/>
    <col min="26" max="30" width="9.42578125" bestFit="1" customWidth="1"/>
    <col min="31" max="31" width="11.42578125" customWidth="1"/>
    <col min="32" max="33" width="9.28515625" customWidth="1"/>
    <col min="34" max="38" width="9.42578125" bestFit="1" customWidth="1"/>
    <col min="39" max="39" width="11.5703125" customWidth="1"/>
    <col min="40" max="41" width="9.28515625" customWidth="1"/>
    <col min="42" max="46" width="9.42578125" bestFit="1" customWidth="1"/>
    <col min="47" max="47" width="11.28515625" customWidth="1"/>
    <col min="48" max="49" width="9.28515625" customWidth="1"/>
    <col min="50" max="54" width="9.42578125" bestFit="1" customWidth="1"/>
    <col min="55" max="55" width="11.28515625" customWidth="1"/>
    <col min="56" max="57" width="9.28515625" customWidth="1"/>
    <col min="58" max="62" width="9.42578125" bestFit="1" customWidth="1"/>
    <col min="63" max="63" width="11.28515625" customWidth="1"/>
    <col min="64" max="65" width="9.28515625" customWidth="1"/>
    <col min="66" max="70" width="9.42578125" bestFit="1" customWidth="1"/>
    <col min="71" max="71" width="11.28515625" customWidth="1"/>
    <col min="72" max="73" width="9.28515625" customWidth="1"/>
    <col min="74" max="78" width="9.42578125" bestFit="1" customWidth="1"/>
    <col min="79" max="79" width="11.42578125" customWidth="1"/>
    <col min="80" max="81" width="9.28515625" customWidth="1"/>
    <col min="82" max="86" width="9.42578125" bestFit="1" customWidth="1"/>
    <col min="87" max="87" width="11.140625" customWidth="1"/>
    <col min="88" max="89" width="9.28515625" customWidth="1"/>
    <col min="90" max="94" width="9.42578125" bestFit="1" customWidth="1"/>
    <col min="95" max="95" width="11.28515625" customWidth="1"/>
    <col min="96" max="97" width="9.28515625" customWidth="1"/>
    <col min="98" max="102" width="9.42578125" bestFit="1" customWidth="1"/>
    <col min="103" max="103" width="11.28515625" customWidth="1"/>
    <col min="104" max="105" width="9.28515625" customWidth="1"/>
    <col min="106" max="110" width="9.42578125" bestFit="1" customWidth="1"/>
    <col min="111" max="111" width="11.28515625" customWidth="1"/>
    <col min="112" max="113" width="9.28515625" customWidth="1"/>
    <col min="114" max="118" width="9.42578125" bestFit="1" customWidth="1"/>
    <col min="119" max="119" width="11.28515625" customWidth="1"/>
    <col min="120" max="121" width="9.28515625" customWidth="1"/>
    <col min="122" max="126" width="9.42578125" bestFit="1" customWidth="1"/>
    <col min="127" max="127" width="11.5703125" customWidth="1"/>
    <col min="128" max="129" width="9.28515625" customWidth="1"/>
    <col min="130" max="134" width="9.42578125" bestFit="1" customWidth="1"/>
    <col min="135" max="135" width="11.28515625" customWidth="1"/>
    <col min="136" max="137" width="9.28515625" customWidth="1"/>
    <col min="138" max="142" width="9.42578125" bestFit="1" customWidth="1"/>
    <col min="143" max="143" width="12" customWidth="1"/>
    <col min="144" max="145" width="9.28515625" customWidth="1"/>
    <col min="146" max="150" width="9.42578125" bestFit="1" customWidth="1"/>
    <col min="151" max="151" width="11.85546875" customWidth="1"/>
    <col min="152" max="153" width="9.28515625" customWidth="1"/>
    <col min="154" max="158" width="9.42578125" bestFit="1" customWidth="1"/>
    <col min="159" max="159" width="11.42578125" customWidth="1"/>
    <col min="160" max="161" width="9.28515625" customWidth="1"/>
    <col min="162" max="166" width="9.42578125" bestFit="1" customWidth="1"/>
    <col min="167" max="167" width="11.42578125" customWidth="1"/>
    <col min="168" max="169" width="9.28515625" customWidth="1"/>
    <col min="170" max="174" width="9.42578125" bestFit="1" customWidth="1"/>
    <col min="175" max="175" width="11.42578125" customWidth="1"/>
    <col min="176" max="177" width="9.28515625" customWidth="1"/>
    <col min="178" max="182" width="9.42578125" bestFit="1" customWidth="1"/>
    <col min="183" max="183" width="11.5703125" customWidth="1"/>
    <col min="184" max="185" width="9.28515625" customWidth="1"/>
    <col min="186" max="190" width="9.42578125" bestFit="1" customWidth="1"/>
    <col min="191" max="191" width="11.5703125" customWidth="1"/>
    <col min="192" max="193" width="9.28515625" customWidth="1"/>
    <col min="194" max="198" width="9.42578125" bestFit="1" customWidth="1"/>
    <col min="199" max="199" width="11.28515625" customWidth="1"/>
    <col min="200" max="201" width="9.28515625" customWidth="1"/>
    <col min="202" max="206" width="9.42578125" bestFit="1" customWidth="1"/>
    <col min="207" max="207" width="11.42578125" customWidth="1"/>
    <col min="208" max="209" width="9.28515625" customWidth="1"/>
    <col min="210" max="214" width="9.42578125" bestFit="1" customWidth="1"/>
    <col min="215" max="215" width="11.42578125" customWidth="1"/>
    <col min="216" max="217" width="9.28515625" customWidth="1"/>
    <col min="218" max="222" width="9.42578125" bestFit="1" customWidth="1"/>
    <col min="223" max="223" width="11.5703125" customWidth="1"/>
    <col min="224" max="225" width="9.28515625" customWidth="1"/>
    <col min="226" max="230" width="9.42578125" bestFit="1" customWidth="1"/>
    <col min="231" max="231" width="11.5703125" customWidth="1"/>
    <col min="232" max="233" width="9.28515625" customWidth="1"/>
    <col min="234" max="238" width="9.42578125" bestFit="1" customWidth="1"/>
    <col min="239" max="239" width="11.42578125" customWidth="1"/>
    <col min="240" max="241" width="9.28515625" customWidth="1"/>
    <col min="242" max="246" width="9.42578125" bestFit="1" customWidth="1"/>
    <col min="247" max="247" width="11.42578125" customWidth="1"/>
    <col min="248" max="249" width="9.28515625" customWidth="1"/>
    <col min="250" max="254" width="9.42578125" bestFit="1" customWidth="1"/>
    <col min="255" max="255" width="11.28515625" customWidth="1"/>
    <col min="256" max="257" width="9.28515625" customWidth="1"/>
    <col min="258" max="262" width="9.42578125" bestFit="1" customWidth="1"/>
    <col min="263" max="263" width="11.28515625" customWidth="1"/>
    <col min="264" max="265" width="9.28515625" customWidth="1"/>
    <col min="266" max="270" width="9.42578125" bestFit="1" customWidth="1"/>
    <col min="271" max="271" width="11.28515625" customWidth="1"/>
    <col min="272" max="273" width="9.28515625" customWidth="1"/>
    <col min="274" max="278" width="9.42578125" bestFit="1" customWidth="1"/>
    <col min="279" max="279" width="10.42578125" customWidth="1"/>
    <col min="280" max="281" width="9.28515625" customWidth="1"/>
    <col min="282" max="286" width="9.42578125" bestFit="1" customWidth="1"/>
    <col min="287" max="287" width="11.28515625" customWidth="1"/>
    <col min="288" max="289" width="9.28515625" customWidth="1"/>
    <col min="290" max="294" width="9.42578125" bestFit="1" customWidth="1"/>
    <col min="295" max="295" width="11.28515625" customWidth="1"/>
    <col min="296" max="297" width="9.28515625" customWidth="1"/>
    <col min="298" max="302" width="9.42578125" bestFit="1" customWidth="1"/>
    <col min="303" max="303" width="11.140625" customWidth="1"/>
    <col min="304" max="305" width="9.28515625" customWidth="1"/>
    <col min="306" max="310" width="9.42578125" bestFit="1" customWidth="1"/>
    <col min="311" max="311" width="11.28515625" customWidth="1"/>
    <col min="312" max="313" width="9.28515625" customWidth="1"/>
    <col min="314" max="318" width="9.42578125" bestFit="1" customWidth="1"/>
    <col min="319" max="319" width="11.28515625" customWidth="1"/>
    <col min="320" max="321" width="9.28515625" customWidth="1"/>
    <col min="322" max="326" width="9.42578125" bestFit="1" customWidth="1"/>
    <col min="327" max="327" width="11.28515625" customWidth="1"/>
    <col min="328" max="329" width="9.28515625" customWidth="1"/>
    <col min="330" max="330" width="9.42578125" bestFit="1" customWidth="1"/>
    <col min="331" max="331" width="12" customWidth="1"/>
    <col min="332" max="333" width="9.28515625" customWidth="1"/>
    <col min="334" max="338" width="9.42578125" bestFit="1" customWidth="1"/>
    <col min="339" max="339" width="11.5703125" customWidth="1"/>
    <col min="340" max="341" width="9.28515625" customWidth="1"/>
    <col min="342" max="346" width="9.42578125" bestFit="1" customWidth="1"/>
    <col min="347" max="347" width="11.42578125" customWidth="1"/>
    <col min="348" max="349" width="9.28515625" customWidth="1"/>
    <col min="350" max="354" width="9.42578125" bestFit="1" customWidth="1"/>
    <col min="355" max="355" width="11.5703125" customWidth="1"/>
    <col min="356" max="357" width="9.28515625" customWidth="1"/>
    <col min="358" max="362" width="9.42578125" bestFit="1" customWidth="1"/>
    <col min="363" max="363" width="11.42578125" customWidth="1"/>
    <col min="364" max="365" width="9.28515625" customWidth="1"/>
    <col min="366" max="366" width="9.42578125" bestFit="1" customWidth="1"/>
    <col min="367" max="367" width="11.7109375" customWidth="1"/>
    <col min="368" max="369" width="9.28515625" bestFit="1" customWidth="1"/>
    <col min="370" max="374" width="9.42578125" bestFit="1" customWidth="1"/>
    <col min="375" max="375" width="11.140625" customWidth="1"/>
    <col min="376" max="377" width="9.28515625" customWidth="1"/>
    <col min="378" max="382" width="9.42578125" bestFit="1" customWidth="1"/>
    <col min="383" max="383" width="11.140625" customWidth="1"/>
    <col min="384" max="385" width="9.28515625" customWidth="1"/>
    <col min="386" max="390" width="9.42578125" bestFit="1" customWidth="1"/>
    <col min="391" max="391" width="11.5703125" customWidth="1"/>
    <col min="392" max="393" width="9.28515625" customWidth="1"/>
    <col min="394" max="398" width="9.42578125" bestFit="1" customWidth="1"/>
    <col min="399" max="399" width="11.5703125" customWidth="1"/>
    <col min="400" max="401" width="9.28515625" customWidth="1"/>
    <col min="402" max="406" width="9.42578125" bestFit="1" customWidth="1"/>
    <col min="407" max="407" width="10.7109375" customWidth="1"/>
    <col min="408" max="409" width="9.28515625" customWidth="1"/>
    <col min="410" max="414" width="9.42578125" bestFit="1" customWidth="1"/>
    <col min="415" max="415" width="11.42578125" customWidth="1"/>
    <col min="416" max="417" width="9.28515625" customWidth="1"/>
    <col min="418" max="418" width="9.42578125" bestFit="1" customWidth="1"/>
    <col min="419" max="419" width="11.7109375" customWidth="1"/>
    <col min="420" max="421" width="9.28515625" customWidth="1"/>
    <col min="422" max="426" width="9.42578125" bestFit="1" customWidth="1"/>
    <col min="427" max="427" width="11.42578125" customWidth="1"/>
    <col min="428" max="429" width="9.28515625" customWidth="1"/>
    <col min="430" max="434" width="9.7109375" bestFit="1" customWidth="1"/>
    <col min="435" max="435" width="11.28515625" customWidth="1"/>
    <col min="436" max="437" width="9.28515625" customWidth="1"/>
    <col min="438" max="442" width="9.42578125" bestFit="1" customWidth="1"/>
    <col min="443" max="443" width="11.5703125" customWidth="1"/>
    <col min="444" max="445" width="9.28515625" customWidth="1"/>
    <col min="446" max="450" width="9.42578125" bestFit="1" customWidth="1"/>
    <col min="451" max="451" width="10.85546875" customWidth="1"/>
    <col min="452" max="453" width="9.28515625" customWidth="1"/>
    <col min="454" max="454" width="9.42578125" bestFit="1" customWidth="1"/>
    <col min="455" max="455" width="12.85546875" bestFit="1" customWidth="1"/>
    <col min="456" max="456" width="9.42578125" bestFit="1" customWidth="1"/>
    <col min="457" max="457" width="11.140625" customWidth="1"/>
    <col min="458" max="458" width="9.28515625" style="4" bestFit="1" customWidth="1"/>
    <col min="459" max="459" width="9.28515625" bestFit="1" customWidth="1"/>
    <col min="460" max="462" width="9.42578125" bestFit="1" customWidth="1"/>
    <col min="463" max="463" width="11.28515625" customWidth="1"/>
    <col min="464" max="465" width="9.28515625" customWidth="1"/>
    <col min="466" max="470" width="9.42578125" bestFit="1" customWidth="1"/>
    <col min="471" max="471" width="11.28515625" customWidth="1"/>
    <col min="472" max="473" width="9.28515625" bestFit="1" customWidth="1"/>
    <col min="474" max="474" width="12.85546875" customWidth="1"/>
    <col min="475" max="475" width="14" customWidth="1"/>
    <col min="476" max="476" width="12.85546875" customWidth="1"/>
    <col min="477" max="477" width="17" customWidth="1"/>
  </cols>
  <sheetData>
    <row r="1" spans="1:477" s="56" customFormat="1" ht="16.5" customHeight="1" thickBot="1">
      <c r="A1" s="467" t="s">
        <v>133</v>
      </c>
      <c r="B1" s="35" t="s">
        <v>7</v>
      </c>
      <c r="C1" s="35"/>
      <c r="D1" s="35"/>
      <c r="E1" s="35"/>
      <c r="F1" s="35"/>
      <c r="G1" s="35"/>
      <c r="H1" s="287"/>
      <c r="I1" s="287"/>
      <c r="J1" s="36" t="s">
        <v>17</v>
      </c>
      <c r="K1" s="37"/>
      <c r="L1" s="37"/>
      <c r="M1" s="37"/>
      <c r="N1" s="37"/>
      <c r="O1" s="37"/>
      <c r="P1" s="37"/>
      <c r="Q1" s="37"/>
      <c r="R1" s="38" t="s">
        <v>19</v>
      </c>
      <c r="S1" s="39"/>
      <c r="T1" s="39"/>
      <c r="U1" s="39"/>
      <c r="V1" s="40"/>
      <c r="W1" s="40"/>
      <c r="X1" s="40"/>
      <c r="Y1" s="41"/>
      <c r="Z1" s="42" t="s">
        <v>20</v>
      </c>
      <c r="AA1" s="43"/>
      <c r="AB1" s="43"/>
      <c r="AC1" s="43"/>
      <c r="AD1" s="43"/>
      <c r="AE1" s="43"/>
      <c r="AF1" s="43"/>
      <c r="AG1" s="44"/>
      <c r="AH1" s="45" t="s">
        <v>21</v>
      </c>
      <c r="AI1" s="46"/>
      <c r="AJ1" s="46"/>
      <c r="AK1" s="46"/>
      <c r="AL1" s="46"/>
      <c r="AM1" s="46"/>
      <c r="AN1" s="46"/>
      <c r="AO1" s="46"/>
      <c r="AP1" s="47" t="s">
        <v>23</v>
      </c>
      <c r="AQ1" s="48"/>
      <c r="AR1" s="48"/>
      <c r="AS1" s="48"/>
      <c r="AT1" s="48"/>
      <c r="AU1" s="48"/>
      <c r="AV1" s="48"/>
      <c r="AW1" s="49"/>
      <c r="AX1" s="50" t="s">
        <v>24</v>
      </c>
      <c r="AY1" s="51"/>
      <c r="AZ1" s="51"/>
      <c r="BA1" s="51"/>
      <c r="BB1" s="51"/>
      <c r="BC1" s="51"/>
      <c r="BD1" s="51"/>
      <c r="BE1" s="52"/>
      <c r="BF1" s="53" t="s">
        <v>25</v>
      </c>
      <c r="BG1" s="54"/>
      <c r="BH1" s="54"/>
      <c r="BI1" s="54"/>
      <c r="BJ1" s="54"/>
      <c r="BK1" s="54"/>
      <c r="BL1" s="54"/>
      <c r="BM1" s="55"/>
      <c r="BN1" s="57" t="s">
        <v>26</v>
      </c>
      <c r="BO1" s="58"/>
      <c r="BP1" s="58"/>
      <c r="BQ1" s="58"/>
      <c r="BR1" s="58"/>
      <c r="BS1" s="58"/>
      <c r="BT1" s="58"/>
      <c r="BU1" s="59"/>
      <c r="BV1" s="61" t="s">
        <v>27</v>
      </c>
      <c r="BW1" s="62"/>
      <c r="BX1" s="62"/>
      <c r="BY1" s="62"/>
      <c r="BZ1" s="62"/>
      <c r="CA1" s="62"/>
      <c r="CB1" s="62"/>
      <c r="CC1" s="63"/>
      <c r="CD1" s="66" t="s">
        <v>28</v>
      </c>
      <c r="CE1" s="67"/>
      <c r="CF1" s="67"/>
      <c r="CG1" s="67"/>
      <c r="CH1" s="67"/>
      <c r="CI1" s="67"/>
      <c r="CJ1" s="67"/>
      <c r="CK1" s="68"/>
      <c r="CL1" s="70" t="s">
        <v>29</v>
      </c>
      <c r="CM1" s="71"/>
      <c r="CN1" s="71"/>
      <c r="CO1" s="71"/>
      <c r="CP1" s="71"/>
      <c r="CQ1" s="71"/>
      <c r="CR1" s="71"/>
      <c r="CS1" s="72"/>
      <c r="CT1" s="74" t="s">
        <v>30</v>
      </c>
      <c r="CU1" s="75"/>
      <c r="CV1" s="75"/>
      <c r="CW1" s="75"/>
      <c r="CX1" s="75"/>
      <c r="CY1" s="75"/>
      <c r="CZ1" s="75"/>
      <c r="DA1" s="76"/>
      <c r="DB1" s="78" t="s">
        <v>31</v>
      </c>
      <c r="DC1" s="79"/>
      <c r="DD1" s="79"/>
      <c r="DE1" s="79"/>
      <c r="DF1" s="79"/>
      <c r="DG1" s="79"/>
      <c r="DH1" s="79"/>
      <c r="DI1" s="80"/>
      <c r="DJ1" s="25" t="s">
        <v>33</v>
      </c>
      <c r="DK1" s="26"/>
      <c r="DL1" s="26"/>
      <c r="DM1" s="26"/>
      <c r="DN1" s="26"/>
      <c r="DO1" s="26"/>
      <c r="DP1" s="26"/>
      <c r="DQ1" s="27"/>
      <c r="DR1" s="87" t="s">
        <v>34</v>
      </c>
      <c r="DS1" s="88"/>
      <c r="DT1" s="88"/>
      <c r="DU1" s="88"/>
      <c r="DV1" s="88"/>
      <c r="DW1" s="88"/>
      <c r="DX1" s="88"/>
      <c r="DY1" s="89"/>
      <c r="DZ1" s="91" t="s">
        <v>35</v>
      </c>
      <c r="EA1" s="92"/>
      <c r="EB1" s="92"/>
      <c r="EC1" s="92"/>
      <c r="ED1" s="92"/>
      <c r="EE1" s="92"/>
      <c r="EF1" s="92"/>
      <c r="EG1" s="93"/>
      <c r="EH1" s="10" t="s">
        <v>37</v>
      </c>
      <c r="EI1" s="11"/>
      <c r="EJ1" s="11"/>
      <c r="EK1" s="11"/>
      <c r="EL1" s="11"/>
      <c r="EM1" s="11"/>
      <c r="EN1" s="11"/>
      <c r="EO1" s="12"/>
      <c r="EP1" s="96" t="s">
        <v>38</v>
      </c>
      <c r="EQ1" s="97"/>
      <c r="ER1" s="97"/>
      <c r="ES1" s="97"/>
      <c r="ET1" s="97"/>
      <c r="EU1" s="97"/>
      <c r="EV1" s="97"/>
      <c r="EW1" s="98"/>
      <c r="EX1" s="100" t="s">
        <v>39</v>
      </c>
      <c r="EY1" s="101"/>
      <c r="EZ1" s="101"/>
      <c r="FA1" s="101"/>
      <c r="FB1" s="101"/>
      <c r="FC1" s="101"/>
      <c r="FD1" s="101"/>
      <c r="FE1" s="102"/>
      <c r="FF1" s="104" t="s">
        <v>40</v>
      </c>
      <c r="FG1" s="105"/>
      <c r="FH1" s="105"/>
      <c r="FI1" s="105"/>
      <c r="FJ1" s="105"/>
      <c r="FK1" s="105"/>
      <c r="FL1" s="105"/>
      <c r="FM1" s="106"/>
      <c r="FN1" s="108" t="s">
        <v>41</v>
      </c>
      <c r="FO1" s="109"/>
      <c r="FP1" s="109"/>
      <c r="FQ1" s="109"/>
      <c r="FR1" s="109"/>
      <c r="FS1" s="109"/>
      <c r="FT1" s="109"/>
      <c r="FU1" s="110"/>
      <c r="FV1" s="22" t="s">
        <v>43</v>
      </c>
      <c r="FW1" s="23"/>
      <c r="FX1" s="23"/>
      <c r="FY1" s="23"/>
      <c r="FZ1" s="23"/>
      <c r="GA1" s="23"/>
      <c r="GB1" s="23"/>
      <c r="GC1" s="24"/>
      <c r="GD1" s="82" t="s">
        <v>44</v>
      </c>
      <c r="GE1" s="83"/>
      <c r="GF1" s="83"/>
      <c r="GG1" s="83"/>
      <c r="GH1" s="83"/>
      <c r="GI1" s="83"/>
      <c r="GJ1" s="83"/>
      <c r="GK1" s="84"/>
      <c r="GL1" s="70" t="s">
        <v>45</v>
      </c>
      <c r="GM1" s="71"/>
      <c r="GN1" s="71"/>
      <c r="GO1" s="71"/>
      <c r="GP1" s="71"/>
      <c r="GQ1" s="71"/>
      <c r="GR1" s="71"/>
      <c r="GS1" s="72"/>
      <c r="GT1" s="91" t="s">
        <v>46</v>
      </c>
      <c r="GU1" s="92"/>
      <c r="GV1" s="92"/>
      <c r="GW1" s="92"/>
      <c r="GX1" s="92"/>
      <c r="GY1" s="92"/>
      <c r="GZ1" s="92"/>
      <c r="HA1" s="93"/>
      <c r="HB1" s="126" t="s">
        <v>47</v>
      </c>
      <c r="HC1" s="127"/>
      <c r="HD1" s="127"/>
      <c r="HE1" s="127"/>
      <c r="HF1" s="127"/>
      <c r="HG1" s="127"/>
      <c r="HH1" s="127"/>
      <c r="HI1" s="128"/>
      <c r="HJ1" s="113" t="s">
        <v>48</v>
      </c>
      <c r="HK1" s="114"/>
      <c r="HL1" s="114"/>
      <c r="HM1" s="114"/>
      <c r="HN1" s="114"/>
      <c r="HO1" s="114"/>
      <c r="HP1" s="114"/>
      <c r="HQ1" s="115"/>
      <c r="HR1" s="117" t="s">
        <v>49</v>
      </c>
      <c r="HS1" s="118"/>
      <c r="HT1" s="118"/>
      <c r="HU1" s="118"/>
      <c r="HV1" s="118"/>
      <c r="HW1" s="118"/>
      <c r="HX1" s="118"/>
      <c r="HY1" s="119"/>
      <c r="HZ1" s="122" t="s">
        <v>50</v>
      </c>
      <c r="IA1" s="123"/>
      <c r="IB1" s="123"/>
      <c r="IC1" s="123"/>
      <c r="ID1" s="123"/>
      <c r="IE1" s="123"/>
      <c r="IF1" s="123"/>
      <c r="IG1" s="124"/>
      <c r="IH1" s="104" t="s">
        <v>51</v>
      </c>
      <c r="II1" s="105"/>
      <c r="IJ1" s="105"/>
      <c r="IK1" s="105"/>
      <c r="IL1" s="105"/>
      <c r="IM1" s="105"/>
      <c r="IN1" s="105"/>
      <c r="IO1" s="106"/>
      <c r="IP1" s="126" t="s">
        <v>52</v>
      </c>
      <c r="IQ1" s="127"/>
      <c r="IR1" s="127"/>
      <c r="IS1" s="127"/>
      <c r="IT1" s="127"/>
      <c r="IU1" s="127"/>
      <c r="IV1" s="127"/>
      <c r="IW1" s="128"/>
      <c r="IX1" s="19" t="s">
        <v>53</v>
      </c>
      <c r="IY1" s="20"/>
      <c r="IZ1" s="20"/>
      <c r="JA1" s="20"/>
      <c r="JB1" s="20"/>
      <c r="JC1" s="20"/>
      <c r="JD1" s="20"/>
      <c r="JE1" s="21"/>
      <c r="JF1" s="13" t="s">
        <v>54</v>
      </c>
      <c r="JG1" s="14"/>
      <c r="JH1" s="14"/>
      <c r="JI1" s="14"/>
      <c r="JJ1" s="14"/>
      <c r="JK1" s="14"/>
      <c r="JL1" s="14"/>
      <c r="JM1" s="15"/>
      <c r="JN1" s="131" t="s">
        <v>55</v>
      </c>
      <c r="JO1" s="132"/>
      <c r="JP1" s="132"/>
      <c r="JQ1" s="132"/>
      <c r="JR1" s="132"/>
      <c r="JS1" s="132"/>
      <c r="JT1" s="132"/>
      <c r="JU1" s="133"/>
      <c r="JV1" s="135" t="s">
        <v>56</v>
      </c>
      <c r="JW1" s="136"/>
      <c r="JX1" s="136"/>
      <c r="JY1" s="136"/>
      <c r="JZ1" s="136"/>
      <c r="KA1" s="136"/>
      <c r="KB1" s="136"/>
      <c r="KC1" s="137"/>
      <c r="KD1" s="16" t="s">
        <v>57</v>
      </c>
      <c r="KE1" s="17"/>
      <c r="KF1" s="17"/>
      <c r="KG1" s="17"/>
      <c r="KH1" s="17"/>
      <c r="KI1" s="17"/>
      <c r="KJ1" s="17"/>
      <c r="KK1" s="18"/>
      <c r="KL1" s="100" t="s">
        <v>58</v>
      </c>
      <c r="KM1" s="101"/>
      <c r="KN1" s="101"/>
      <c r="KO1" s="101"/>
      <c r="KP1" s="101"/>
      <c r="KQ1" s="101"/>
      <c r="KR1" s="101"/>
      <c r="KS1" s="102"/>
      <c r="KT1" s="139" t="s">
        <v>59</v>
      </c>
      <c r="KU1" s="140"/>
      <c r="KV1" s="140"/>
      <c r="KW1" s="140"/>
      <c r="KX1" s="140"/>
      <c r="KY1" s="140"/>
      <c r="KZ1" s="140"/>
      <c r="LA1" s="141"/>
      <c r="LB1" s="143" t="s">
        <v>60</v>
      </c>
      <c r="LC1" s="144"/>
      <c r="LD1" s="144"/>
      <c r="LE1" s="144"/>
      <c r="LF1" s="144"/>
      <c r="LG1" s="144"/>
      <c r="LH1" s="144"/>
      <c r="LI1" s="145"/>
      <c r="LJ1" s="147" t="s">
        <v>61</v>
      </c>
      <c r="LK1" s="148"/>
      <c r="LL1" s="148"/>
      <c r="LM1" s="148"/>
      <c r="LN1" s="148"/>
      <c r="LO1" s="148"/>
      <c r="LP1" s="148"/>
      <c r="LQ1" s="149"/>
      <c r="LR1" s="183" t="s">
        <v>62</v>
      </c>
      <c r="LS1" s="183"/>
      <c r="LT1" s="183"/>
      <c r="LU1" s="184"/>
      <c r="LV1" s="100" t="s">
        <v>114</v>
      </c>
      <c r="LW1" s="101"/>
      <c r="LX1" s="101"/>
      <c r="LY1" s="101"/>
      <c r="LZ1" s="101"/>
      <c r="MA1" s="101"/>
      <c r="MB1" s="101"/>
      <c r="MC1" s="102"/>
      <c r="MD1" s="126" t="s">
        <v>63</v>
      </c>
      <c r="ME1" s="127"/>
      <c r="MF1" s="127"/>
      <c r="MG1" s="127"/>
      <c r="MH1" s="127"/>
      <c r="MI1" s="127"/>
      <c r="MJ1" s="127"/>
      <c r="MK1" s="128"/>
      <c r="ML1" s="151" t="s">
        <v>64</v>
      </c>
      <c r="MM1" s="152"/>
      <c r="MN1" s="152"/>
      <c r="MO1" s="152"/>
      <c r="MP1" s="152"/>
      <c r="MQ1" s="152"/>
      <c r="MR1" s="152"/>
      <c r="MS1" s="153"/>
      <c r="MT1" s="113" t="s">
        <v>65</v>
      </c>
      <c r="MU1" s="114"/>
      <c r="MV1" s="114"/>
      <c r="MW1" s="114"/>
      <c r="MX1" s="114"/>
      <c r="MY1" s="114"/>
      <c r="MZ1" s="114"/>
      <c r="NA1" s="115"/>
      <c r="NB1" s="186" t="s">
        <v>66</v>
      </c>
      <c r="NC1" s="186"/>
      <c r="ND1" s="186"/>
      <c r="NE1" s="187"/>
      <c r="NF1" s="155" t="s">
        <v>67</v>
      </c>
      <c r="NG1" s="156"/>
      <c r="NH1" s="156"/>
      <c r="NI1" s="156"/>
      <c r="NJ1" s="156"/>
      <c r="NK1" s="156"/>
      <c r="NL1" s="156"/>
      <c r="NM1" s="157"/>
      <c r="NN1" s="117" t="s">
        <v>68</v>
      </c>
      <c r="NO1" s="118"/>
      <c r="NP1" s="118"/>
      <c r="NQ1" s="118"/>
      <c r="NR1" s="118"/>
      <c r="NS1" s="118"/>
      <c r="NT1" s="118"/>
      <c r="NU1" s="119"/>
      <c r="NV1" s="70" t="s">
        <v>116</v>
      </c>
      <c r="NW1" s="71"/>
      <c r="NX1" s="71"/>
      <c r="NY1" s="71"/>
      <c r="NZ1" s="71"/>
      <c r="OA1" s="71"/>
      <c r="OB1" s="71"/>
      <c r="OC1" s="72"/>
      <c r="OD1" s="159" t="s">
        <v>69</v>
      </c>
      <c r="OE1" s="160"/>
      <c r="OF1" s="160"/>
      <c r="OG1" s="160"/>
      <c r="OH1" s="160"/>
      <c r="OI1" s="160"/>
      <c r="OJ1" s="160"/>
      <c r="OK1" s="161"/>
      <c r="OL1" s="163" t="s">
        <v>70</v>
      </c>
      <c r="OM1" s="164"/>
      <c r="ON1" s="164"/>
      <c r="OO1" s="164"/>
      <c r="OP1" s="164"/>
      <c r="OQ1" s="164"/>
      <c r="OR1" s="164"/>
      <c r="OS1" s="165"/>
      <c r="OT1" s="167" t="s">
        <v>117</v>
      </c>
      <c r="OU1" s="168"/>
      <c r="OV1" s="168"/>
      <c r="OW1" s="168"/>
      <c r="OX1" s="168"/>
      <c r="OY1" s="168"/>
      <c r="OZ1" s="168"/>
      <c r="PA1" s="169"/>
      <c r="PB1" s="127" t="s">
        <v>126</v>
      </c>
      <c r="PC1" s="127"/>
      <c r="PD1" s="127"/>
      <c r="PE1" s="128"/>
      <c r="PF1" s="100" t="s">
        <v>118</v>
      </c>
      <c r="PG1" s="101"/>
      <c r="PH1" s="101"/>
      <c r="PI1" s="101"/>
      <c r="PJ1" s="101"/>
      <c r="PK1" s="101"/>
      <c r="PL1" s="101"/>
      <c r="PM1" s="102"/>
      <c r="PN1" s="171" t="s">
        <v>120</v>
      </c>
      <c r="PO1" s="172"/>
      <c r="PP1" s="172"/>
      <c r="PQ1" s="172"/>
      <c r="PR1" s="172"/>
      <c r="PS1" s="172"/>
      <c r="PT1" s="172"/>
      <c r="PU1" s="173"/>
      <c r="PV1" s="143" t="s">
        <v>122</v>
      </c>
      <c r="PW1" s="144"/>
      <c r="PX1" s="144"/>
      <c r="PY1" s="144"/>
      <c r="PZ1" s="144"/>
      <c r="QA1" s="144"/>
      <c r="QB1" s="144"/>
      <c r="QC1" s="145"/>
      <c r="QD1" s="175" t="s">
        <v>123</v>
      </c>
      <c r="QE1" s="176"/>
      <c r="QF1" s="176"/>
      <c r="QG1" s="176"/>
      <c r="QH1" s="176"/>
      <c r="QI1" s="176"/>
      <c r="QJ1" s="176"/>
      <c r="QK1" s="177"/>
      <c r="QL1" s="180" t="s">
        <v>124</v>
      </c>
      <c r="QM1" s="180"/>
      <c r="QN1" s="180"/>
      <c r="QO1" s="180"/>
      <c r="QP1" s="180"/>
      <c r="QQ1" s="181"/>
      <c r="QR1" s="189" t="s">
        <v>125</v>
      </c>
      <c r="QS1" s="189"/>
      <c r="QT1" s="189"/>
      <c r="QU1" s="189"/>
      <c r="QV1" s="189"/>
      <c r="QW1" s="190"/>
      <c r="QX1" s="175" t="s">
        <v>127</v>
      </c>
      <c r="QY1" s="176"/>
      <c r="QZ1" s="176"/>
      <c r="RA1" s="176"/>
      <c r="RB1" s="176"/>
      <c r="RC1" s="176"/>
      <c r="RD1" s="176"/>
      <c r="RE1" s="177"/>
      <c r="RF1" s="325" t="s">
        <v>6</v>
      </c>
      <c r="RG1" s="326"/>
      <c r="RH1" s="327"/>
      <c r="RI1" s="313" t="s">
        <v>138</v>
      </c>
    </row>
    <row r="2" spans="1:477" s="34" customFormat="1" ht="15.75" customHeight="1" thickBot="1">
      <c r="A2" s="468"/>
      <c r="B2" s="469" t="s">
        <v>4</v>
      </c>
      <c r="C2" s="470"/>
      <c r="D2" s="470" t="s">
        <v>5</v>
      </c>
      <c r="E2" s="470"/>
      <c r="F2" s="464" t="s">
        <v>6</v>
      </c>
      <c r="G2" s="465"/>
      <c r="H2" s="465"/>
      <c r="I2" s="284">
        <v>2016</v>
      </c>
      <c r="J2" s="466" t="s">
        <v>4</v>
      </c>
      <c r="K2" s="463"/>
      <c r="L2" s="462" t="s">
        <v>5</v>
      </c>
      <c r="M2" s="463"/>
      <c r="N2" s="462" t="s">
        <v>6</v>
      </c>
      <c r="O2" s="466"/>
      <c r="P2" s="463"/>
      <c r="Q2" s="283">
        <v>2016</v>
      </c>
      <c r="R2" s="458" t="s">
        <v>4</v>
      </c>
      <c r="S2" s="458"/>
      <c r="T2" s="458" t="s">
        <v>5</v>
      </c>
      <c r="U2" s="458"/>
      <c r="V2" s="459" t="s">
        <v>6</v>
      </c>
      <c r="W2" s="460"/>
      <c r="X2" s="461"/>
      <c r="Y2" s="28">
        <v>2016</v>
      </c>
      <c r="Z2" s="455" t="s">
        <v>4</v>
      </c>
      <c r="AA2" s="455"/>
      <c r="AB2" s="455" t="s">
        <v>5</v>
      </c>
      <c r="AC2" s="455"/>
      <c r="AD2" s="456" t="s">
        <v>6</v>
      </c>
      <c r="AE2" s="457"/>
      <c r="AF2" s="457"/>
      <c r="AG2" s="29">
        <v>2016</v>
      </c>
      <c r="AH2" s="447" t="s">
        <v>4</v>
      </c>
      <c r="AI2" s="447"/>
      <c r="AJ2" s="447" t="s">
        <v>5</v>
      </c>
      <c r="AK2" s="447"/>
      <c r="AL2" s="448" t="s">
        <v>6</v>
      </c>
      <c r="AM2" s="449"/>
      <c r="AN2" s="450"/>
      <c r="AO2" s="30">
        <v>2016</v>
      </c>
      <c r="AP2" s="451" t="s">
        <v>4</v>
      </c>
      <c r="AQ2" s="451"/>
      <c r="AR2" s="451" t="s">
        <v>5</v>
      </c>
      <c r="AS2" s="451"/>
      <c r="AT2" s="452" t="s">
        <v>6</v>
      </c>
      <c r="AU2" s="453"/>
      <c r="AV2" s="454"/>
      <c r="AW2" s="31">
        <v>2016</v>
      </c>
      <c r="AX2" s="442" t="s">
        <v>4</v>
      </c>
      <c r="AY2" s="442"/>
      <c r="AZ2" s="442" t="s">
        <v>5</v>
      </c>
      <c r="BA2" s="442"/>
      <c r="BB2" s="443" t="s">
        <v>6</v>
      </c>
      <c r="BC2" s="444"/>
      <c r="BD2" s="445"/>
      <c r="BE2" s="32">
        <v>2016</v>
      </c>
      <c r="BF2" s="446" t="s">
        <v>4</v>
      </c>
      <c r="BG2" s="446"/>
      <c r="BH2" s="446" t="s">
        <v>5</v>
      </c>
      <c r="BI2" s="446"/>
      <c r="BJ2" s="436" t="s">
        <v>6</v>
      </c>
      <c r="BK2" s="437"/>
      <c r="BL2" s="438"/>
      <c r="BM2" s="33">
        <v>2016</v>
      </c>
      <c r="BN2" s="439" t="s">
        <v>4</v>
      </c>
      <c r="BO2" s="440"/>
      <c r="BP2" s="439" t="s">
        <v>5</v>
      </c>
      <c r="BQ2" s="440"/>
      <c r="BR2" s="439" t="s">
        <v>6</v>
      </c>
      <c r="BS2" s="441"/>
      <c r="BT2" s="441"/>
      <c r="BU2" s="60">
        <v>2016</v>
      </c>
      <c r="BV2" s="433" t="s">
        <v>4</v>
      </c>
      <c r="BW2" s="434"/>
      <c r="BX2" s="433" t="s">
        <v>5</v>
      </c>
      <c r="BY2" s="434"/>
      <c r="BZ2" s="433" t="s">
        <v>6</v>
      </c>
      <c r="CA2" s="435"/>
      <c r="CB2" s="434"/>
      <c r="CC2" s="64">
        <v>2016</v>
      </c>
      <c r="CD2" s="430" t="s">
        <v>4</v>
      </c>
      <c r="CE2" s="432"/>
      <c r="CF2" s="430" t="s">
        <v>5</v>
      </c>
      <c r="CG2" s="432"/>
      <c r="CH2" s="430" t="s">
        <v>6</v>
      </c>
      <c r="CI2" s="431"/>
      <c r="CJ2" s="432"/>
      <c r="CK2" s="69">
        <v>2016</v>
      </c>
      <c r="CL2" s="316" t="s">
        <v>4</v>
      </c>
      <c r="CM2" s="318"/>
      <c r="CN2" s="316" t="s">
        <v>5</v>
      </c>
      <c r="CO2" s="318"/>
      <c r="CP2" s="316" t="s">
        <v>6</v>
      </c>
      <c r="CQ2" s="317"/>
      <c r="CR2" s="318"/>
      <c r="CS2" s="73">
        <v>2016</v>
      </c>
      <c r="CT2" s="424" t="s">
        <v>4</v>
      </c>
      <c r="CU2" s="426"/>
      <c r="CV2" s="424" t="s">
        <v>5</v>
      </c>
      <c r="CW2" s="426"/>
      <c r="CX2" s="424" t="s">
        <v>6</v>
      </c>
      <c r="CY2" s="425"/>
      <c r="CZ2" s="426"/>
      <c r="DA2" s="77">
        <v>2016</v>
      </c>
      <c r="DB2" s="427" t="s">
        <v>4</v>
      </c>
      <c r="DC2" s="428"/>
      <c r="DD2" s="427" t="s">
        <v>5</v>
      </c>
      <c r="DE2" s="428"/>
      <c r="DF2" s="427" t="s">
        <v>6</v>
      </c>
      <c r="DG2" s="429"/>
      <c r="DH2" s="428"/>
      <c r="DI2" s="81">
        <v>2016</v>
      </c>
      <c r="DJ2" s="418" t="s">
        <v>4</v>
      </c>
      <c r="DK2" s="420"/>
      <c r="DL2" s="418" t="s">
        <v>5</v>
      </c>
      <c r="DM2" s="420"/>
      <c r="DN2" s="418" t="s">
        <v>6</v>
      </c>
      <c r="DO2" s="419"/>
      <c r="DP2" s="420"/>
      <c r="DQ2" s="86">
        <v>2016</v>
      </c>
      <c r="DR2" s="421" t="s">
        <v>4</v>
      </c>
      <c r="DS2" s="422"/>
      <c r="DT2" s="421" t="s">
        <v>5</v>
      </c>
      <c r="DU2" s="422"/>
      <c r="DV2" s="421" t="s">
        <v>6</v>
      </c>
      <c r="DW2" s="423"/>
      <c r="DX2" s="422"/>
      <c r="DY2" s="90">
        <v>2016</v>
      </c>
      <c r="DZ2" s="400" t="s">
        <v>4</v>
      </c>
      <c r="EA2" s="401"/>
      <c r="EB2" s="400" t="s">
        <v>5</v>
      </c>
      <c r="EC2" s="401"/>
      <c r="ED2" s="400" t="s">
        <v>6</v>
      </c>
      <c r="EE2" s="402"/>
      <c r="EF2" s="401"/>
      <c r="EG2" s="94">
        <v>2016</v>
      </c>
      <c r="EH2" s="415" t="s">
        <v>4</v>
      </c>
      <c r="EI2" s="416"/>
      <c r="EJ2" s="415" t="s">
        <v>5</v>
      </c>
      <c r="EK2" s="416"/>
      <c r="EL2" s="415" t="s">
        <v>6</v>
      </c>
      <c r="EM2" s="417"/>
      <c r="EN2" s="416"/>
      <c r="EO2" s="95">
        <v>2016</v>
      </c>
      <c r="EP2" s="412" t="s">
        <v>4</v>
      </c>
      <c r="EQ2" s="414"/>
      <c r="ER2" s="412" t="s">
        <v>5</v>
      </c>
      <c r="ES2" s="414"/>
      <c r="ET2" s="412" t="s">
        <v>6</v>
      </c>
      <c r="EU2" s="413"/>
      <c r="EV2" s="414"/>
      <c r="EW2" s="99">
        <v>2016</v>
      </c>
      <c r="EX2" s="339" t="s">
        <v>4</v>
      </c>
      <c r="EY2" s="341"/>
      <c r="EZ2" s="339" t="s">
        <v>5</v>
      </c>
      <c r="FA2" s="341"/>
      <c r="FB2" s="339" t="s">
        <v>6</v>
      </c>
      <c r="FC2" s="340"/>
      <c r="FD2" s="341"/>
      <c r="FE2" s="103">
        <v>2016</v>
      </c>
      <c r="FF2" s="397" t="s">
        <v>4</v>
      </c>
      <c r="FG2" s="398"/>
      <c r="FH2" s="397" t="s">
        <v>5</v>
      </c>
      <c r="FI2" s="398"/>
      <c r="FJ2" s="397" t="s">
        <v>6</v>
      </c>
      <c r="FK2" s="399"/>
      <c r="FL2" s="398"/>
      <c r="FM2" s="107">
        <v>2016</v>
      </c>
      <c r="FN2" s="409" t="s">
        <v>4</v>
      </c>
      <c r="FO2" s="410"/>
      <c r="FP2" s="409" t="s">
        <v>5</v>
      </c>
      <c r="FQ2" s="410"/>
      <c r="FR2" s="409" t="s">
        <v>6</v>
      </c>
      <c r="FS2" s="411"/>
      <c r="FT2" s="410"/>
      <c r="FU2" s="111">
        <v>2016</v>
      </c>
      <c r="FV2" s="403" t="s">
        <v>4</v>
      </c>
      <c r="FW2" s="405"/>
      <c r="FX2" s="403" t="s">
        <v>5</v>
      </c>
      <c r="FY2" s="405"/>
      <c r="FZ2" s="403" t="s">
        <v>6</v>
      </c>
      <c r="GA2" s="404"/>
      <c r="GB2" s="405"/>
      <c r="GC2" s="112">
        <v>2016</v>
      </c>
      <c r="GD2" s="406" t="s">
        <v>4</v>
      </c>
      <c r="GE2" s="407"/>
      <c r="GF2" s="406" t="s">
        <v>5</v>
      </c>
      <c r="GG2" s="407"/>
      <c r="GH2" s="406" t="s">
        <v>6</v>
      </c>
      <c r="GI2" s="408"/>
      <c r="GJ2" s="407"/>
      <c r="GK2" s="85">
        <v>2016</v>
      </c>
      <c r="GL2" s="316" t="s">
        <v>4</v>
      </c>
      <c r="GM2" s="318"/>
      <c r="GN2" s="316" t="s">
        <v>5</v>
      </c>
      <c r="GO2" s="318"/>
      <c r="GP2" s="316" t="s">
        <v>6</v>
      </c>
      <c r="GQ2" s="317"/>
      <c r="GR2" s="318"/>
      <c r="GS2" s="73">
        <v>2016</v>
      </c>
      <c r="GT2" s="400" t="s">
        <v>4</v>
      </c>
      <c r="GU2" s="401"/>
      <c r="GV2" s="400" t="s">
        <v>5</v>
      </c>
      <c r="GW2" s="401"/>
      <c r="GX2" s="400" t="s">
        <v>6</v>
      </c>
      <c r="GY2" s="402"/>
      <c r="GZ2" s="401"/>
      <c r="HA2" s="94">
        <v>2016</v>
      </c>
      <c r="HB2" s="347" t="s">
        <v>4</v>
      </c>
      <c r="HC2" s="349"/>
      <c r="HD2" s="347" t="s">
        <v>5</v>
      </c>
      <c r="HE2" s="349"/>
      <c r="HF2" s="347" t="s">
        <v>6</v>
      </c>
      <c r="HG2" s="348"/>
      <c r="HH2" s="349"/>
      <c r="HI2" s="129">
        <v>2016</v>
      </c>
      <c r="HJ2" s="353" t="s">
        <v>4</v>
      </c>
      <c r="HK2" s="354"/>
      <c r="HL2" s="353" t="s">
        <v>5</v>
      </c>
      <c r="HM2" s="354"/>
      <c r="HN2" s="353" t="s">
        <v>6</v>
      </c>
      <c r="HO2" s="359"/>
      <c r="HP2" s="354"/>
      <c r="HQ2" s="116">
        <v>2016</v>
      </c>
      <c r="HR2" s="345" t="s">
        <v>4</v>
      </c>
      <c r="HS2" s="346"/>
      <c r="HT2" s="345" t="s">
        <v>5</v>
      </c>
      <c r="HU2" s="346"/>
      <c r="HV2" s="345" t="s">
        <v>6</v>
      </c>
      <c r="HW2" s="355"/>
      <c r="HX2" s="346"/>
      <c r="HY2" s="120">
        <v>2016</v>
      </c>
      <c r="HZ2" s="394" t="s">
        <v>4</v>
      </c>
      <c r="IA2" s="396"/>
      <c r="IB2" s="394" t="s">
        <v>5</v>
      </c>
      <c r="IC2" s="396"/>
      <c r="ID2" s="394" t="s">
        <v>6</v>
      </c>
      <c r="IE2" s="395"/>
      <c r="IF2" s="396"/>
      <c r="IG2" s="125">
        <v>2016</v>
      </c>
      <c r="IH2" s="397" t="s">
        <v>4</v>
      </c>
      <c r="II2" s="398"/>
      <c r="IJ2" s="397" t="s">
        <v>5</v>
      </c>
      <c r="IK2" s="398"/>
      <c r="IL2" s="397" t="s">
        <v>6</v>
      </c>
      <c r="IM2" s="399"/>
      <c r="IN2" s="398"/>
      <c r="IO2" s="107">
        <v>2016</v>
      </c>
      <c r="IP2" s="347" t="s">
        <v>4</v>
      </c>
      <c r="IQ2" s="349"/>
      <c r="IR2" s="347" t="s">
        <v>5</v>
      </c>
      <c r="IS2" s="349"/>
      <c r="IT2" s="347" t="s">
        <v>6</v>
      </c>
      <c r="IU2" s="348"/>
      <c r="IV2" s="349"/>
      <c r="IW2" s="129">
        <v>2016</v>
      </c>
      <c r="IX2" s="391" t="s">
        <v>4</v>
      </c>
      <c r="IY2" s="392"/>
      <c r="IZ2" s="391" t="s">
        <v>5</v>
      </c>
      <c r="JA2" s="392"/>
      <c r="JB2" s="391" t="s">
        <v>6</v>
      </c>
      <c r="JC2" s="393"/>
      <c r="JD2" s="392"/>
      <c r="JE2" s="130">
        <v>2016</v>
      </c>
      <c r="JF2" s="385" t="s">
        <v>4</v>
      </c>
      <c r="JG2" s="387"/>
      <c r="JH2" s="385" t="s">
        <v>5</v>
      </c>
      <c r="JI2" s="387"/>
      <c r="JJ2" s="385" t="s">
        <v>6</v>
      </c>
      <c r="JK2" s="386"/>
      <c r="JL2" s="387"/>
      <c r="JM2" s="121">
        <v>2016</v>
      </c>
      <c r="JN2" s="388" t="s">
        <v>4</v>
      </c>
      <c r="JO2" s="389"/>
      <c r="JP2" s="388" t="s">
        <v>5</v>
      </c>
      <c r="JQ2" s="389"/>
      <c r="JR2" s="388" t="s">
        <v>6</v>
      </c>
      <c r="JS2" s="390"/>
      <c r="JT2" s="389"/>
      <c r="JU2" s="134">
        <v>2016</v>
      </c>
      <c r="JV2" s="379" t="s">
        <v>4</v>
      </c>
      <c r="JW2" s="381"/>
      <c r="JX2" s="379" t="s">
        <v>5</v>
      </c>
      <c r="JY2" s="381"/>
      <c r="JZ2" s="379" t="s">
        <v>6</v>
      </c>
      <c r="KA2" s="380"/>
      <c r="KB2" s="381"/>
      <c r="KC2" s="138">
        <v>2016</v>
      </c>
      <c r="KD2" s="382" t="s">
        <v>4</v>
      </c>
      <c r="KE2" s="383"/>
      <c r="KF2" s="382" t="s">
        <v>5</v>
      </c>
      <c r="KG2" s="383"/>
      <c r="KH2" s="382" t="s">
        <v>6</v>
      </c>
      <c r="KI2" s="384"/>
      <c r="KJ2" s="383"/>
      <c r="KK2" s="65">
        <v>2016</v>
      </c>
      <c r="KL2" s="339" t="s">
        <v>4</v>
      </c>
      <c r="KM2" s="341"/>
      <c r="KN2" s="339" t="s">
        <v>5</v>
      </c>
      <c r="KO2" s="341"/>
      <c r="KP2" s="339" t="s">
        <v>6</v>
      </c>
      <c r="KQ2" s="340"/>
      <c r="KR2" s="341"/>
      <c r="KS2" s="103">
        <v>2016</v>
      </c>
      <c r="KT2" s="373" t="s">
        <v>4</v>
      </c>
      <c r="KU2" s="374"/>
      <c r="KV2" s="373" t="s">
        <v>5</v>
      </c>
      <c r="KW2" s="374"/>
      <c r="KX2" s="373" t="s">
        <v>6</v>
      </c>
      <c r="KY2" s="375"/>
      <c r="KZ2" s="374"/>
      <c r="LA2" s="142">
        <v>2016</v>
      </c>
      <c r="LB2" s="336" t="s">
        <v>4</v>
      </c>
      <c r="LC2" s="337"/>
      <c r="LD2" s="336" t="s">
        <v>5</v>
      </c>
      <c r="LE2" s="337"/>
      <c r="LF2" s="336" t="s">
        <v>6</v>
      </c>
      <c r="LG2" s="338"/>
      <c r="LH2" s="337"/>
      <c r="LI2" s="146">
        <v>2016</v>
      </c>
      <c r="LJ2" s="370" t="s">
        <v>4</v>
      </c>
      <c r="LK2" s="371"/>
      <c r="LL2" s="370" t="s">
        <v>5</v>
      </c>
      <c r="LM2" s="371"/>
      <c r="LN2" s="370" t="s">
        <v>6</v>
      </c>
      <c r="LO2" s="372"/>
      <c r="LP2" s="371"/>
      <c r="LQ2" s="150">
        <v>2016</v>
      </c>
      <c r="LR2" s="376" t="s">
        <v>6</v>
      </c>
      <c r="LS2" s="377"/>
      <c r="LT2" s="378"/>
      <c r="LU2" s="185">
        <v>2016</v>
      </c>
      <c r="LV2" s="339" t="s">
        <v>4</v>
      </c>
      <c r="LW2" s="341"/>
      <c r="LX2" s="339" t="s">
        <v>5</v>
      </c>
      <c r="LY2" s="341"/>
      <c r="LZ2" s="339" t="s">
        <v>6</v>
      </c>
      <c r="MA2" s="340"/>
      <c r="MB2" s="341"/>
      <c r="MC2" s="103">
        <v>2016</v>
      </c>
      <c r="MD2" s="347" t="s">
        <v>4</v>
      </c>
      <c r="ME2" s="349"/>
      <c r="MF2" s="347" t="s">
        <v>5</v>
      </c>
      <c r="MG2" s="349"/>
      <c r="MH2" s="347" t="s">
        <v>6</v>
      </c>
      <c r="MI2" s="348"/>
      <c r="MJ2" s="349"/>
      <c r="MK2" s="129">
        <v>2016</v>
      </c>
      <c r="ML2" s="350" t="s">
        <v>4</v>
      </c>
      <c r="MM2" s="351"/>
      <c r="MN2" s="350" t="s">
        <v>5</v>
      </c>
      <c r="MO2" s="351"/>
      <c r="MP2" s="350" t="s">
        <v>6</v>
      </c>
      <c r="MQ2" s="352"/>
      <c r="MR2" s="351"/>
      <c r="MS2" s="154">
        <v>2016</v>
      </c>
      <c r="MT2" s="353" t="s">
        <v>4</v>
      </c>
      <c r="MU2" s="354"/>
      <c r="MV2" s="353" t="s">
        <v>5</v>
      </c>
      <c r="MW2" s="354"/>
      <c r="MX2" s="353" t="s">
        <v>6</v>
      </c>
      <c r="MY2" s="359"/>
      <c r="MZ2" s="354"/>
      <c r="NA2" s="116">
        <v>2016</v>
      </c>
      <c r="NB2" s="363" t="s">
        <v>6</v>
      </c>
      <c r="NC2" s="364"/>
      <c r="ND2" s="365"/>
      <c r="NE2" s="188">
        <v>2016</v>
      </c>
      <c r="NF2" s="360" t="s">
        <v>4</v>
      </c>
      <c r="NG2" s="361"/>
      <c r="NH2" s="360" t="s">
        <v>5</v>
      </c>
      <c r="NI2" s="361"/>
      <c r="NJ2" s="360" t="s">
        <v>6</v>
      </c>
      <c r="NK2" s="362"/>
      <c r="NL2" s="361"/>
      <c r="NM2" s="158">
        <v>2016</v>
      </c>
      <c r="NN2" s="345" t="s">
        <v>4</v>
      </c>
      <c r="NO2" s="346"/>
      <c r="NP2" s="345" t="s">
        <v>5</v>
      </c>
      <c r="NQ2" s="346"/>
      <c r="NR2" s="345" t="s">
        <v>6</v>
      </c>
      <c r="NS2" s="355"/>
      <c r="NT2" s="346"/>
      <c r="NU2" s="120">
        <v>2016</v>
      </c>
      <c r="NV2" s="316" t="s">
        <v>4</v>
      </c>
      <c r="NW2" s="318"/>
      <c r="NX2" s="316" t="s">
        <v>5</v>
      </c>
      <c r="NY2" s="318"/>
      <c r="NZ2" s="316" t="s">
        <v>6</v>
      </c>
      <c r="OA2" s="317"/>
      <c r="OB2" s="318"/>
      <c r="OC2" s="73">
        <v>2016</v>
      </c>
      <c r="OD2" s="356" t="s">
        <v>4</v>
      </c>
      <c r="OE2" s="357"/>
      <c r="OF2" s="356" t="s">
        <v>5</v>
      </c>
      <c r="OG2" s="357"/>
      <c r="OH2" s="356" t="s">
        <v>6</v>
      </c>
      <c r="OI2" s="358"/>
      <c r="OJ2" s="357"/>
      <c r="OK2" s="162">
        <v>2016</v>
      </c>
      <c r="OL2" s="334" t="s">
        <v>4</v>
      </c>
      <c r="OM2" s="335"/>
      <c r="ON2" s="334" t="s">
        <v>5</v>
      </c>
      <c r="OO2" s="335"/>
      <c r="OP2" s="334" t="s">
        <v>6</v>
      </c>
      <c r="OQ2" s="366"/>
      <c r="OR2" s="335"/>
      <c r="OS2" s="166">
        <v>2016</v>
      </c>
      <c r="OT2" s="367" t="s">
        <v>4</v>
      </c>
      <c r="OU2" s="368"/>
      <c r="OV2" s="367" t="s">
        <v>5</v>
      </c>
      <c r="OW2" s="368"/>
      <c r="OX2" s="367" t="s">
        <v>6</v>
      </c>
      <c r="OY2" s="369"/>
      <c r="OZ2" s="368"/>
      <c r="PA2" s="170">
        <v>2016</v>
      </c>
      <c r="PB2" s="347" t="s">
        <v>6</v>
      </c>
      <c r="PC2" s="348"/>
      <c r="PD2" s="349"/>
      <c r="PE2" s="129">
        <v>2016</v>
      </c>
      <c r="PF2" s="339" t="s">
        <v>4</v>
      </c>
      <c r="PG2" s="341"/>
      <c r="PH2" s="339" t="s">
        <v>5</v>
      </c>
      <c r="PI2" s="341"/>
      <c r="PJ2" s="339" t="s">
        <v>6</v>
      </c>
      <c r="PK2" s="340"/>
      <c r="PL2" s="341"/>
      <c r="PM2" s="103">
        <v>2016</v>
      </c>
      <c r="PN2" s="342" t="s">
        <v>4</v>
      </c>
      <c r="PO2" s="343"/>
      <c r="PP2" s="342" t="s">
        <v>5</v>
      </c>
      <c r="PQ2" s="343"/>
      <c r="PR2" s="342" t="s">
        <v>6</v>
      </c>
      <c r="PS2" s="344"/>
      <c r="PT2" s="343"/>
      <c r="PU2" s="174">
        <v>2016</v>
      </c>
      <c r="PV2" s="336" t="s">
        <v>4</v>
      </c>
      <c r="PW2" s="337"/>
      <c r="PX2" s="336" t="s">
        <v>5</v>
      </c>
      <c r="PY2" s="337"/>
      <c r="PZ2" s="336" t="s">
        <v>6</v>
      </c>
      <c r="QA2" s="338"/>
      <c r="QB2" s="337"/>
      <c r="QC2" s="146">
        <v>2016</v>
      </c>
      <c r="QD2" s="319" t="s">
        <v>4</v>
      </c>
      <c r="QE2" s="320"/>
      <c r="QF2" s="319" t="s">
        <v>5</v>
      </c>
      <c r="QG2" s="320"/>
      <c r="QH2" s="319" t="s">
        <v>6</v>
      </c>
      <c r="QI2" s="321"/>
      <c r="QJ2" s="320"/>
      <c r="QK2" s="178">
        <v>2016</v>
      </c>
      <c r="QL2" s="322" t="s">
        <v>4</v>
      </c>
      <c r="QM2" s="323"/>
      <c r="QN2" s="322" t="s">
        <v>6</v>
      </c>
      <c r="QO2" s="324"/>
      <c r="QP2" s="323"/>
      <c r="QQ2" s="182">
        <v>2016</v>
      </c>
      <c r="QR2" s="331" t="s">
        <v>5</v>
      </c>
      <c r="QS2" s="332"/>
      <c r="QT2" s="331" t="s">
        <v>6</v>
      </c>
      <c r="QU2" s="333"/>
      <c r="QV2" s="332"/>
      <c r="QW2" s="191">
        <v>2016</v>
      </c>
      <c r="QX2" s="319" t="s">
        <v>4</v>
      </c>
      <c r="QY2" s="320"/>
      <c r="QZ2" s="319" t="s">
        <v>5</v>
      </c>
      <c r="RA2" s="320"/>
      <c r="RB2" s="319" t="s">
        <v>6</v>
      </c>
      <c r="RC2" s="321"/>
      <c r="RD2" s="320"/>
      <c r="RE2" s="178">
        <v>2016</v>
      </c>
      <c r="RF2" s="328"/>
      <c r="RG2" s="329"/>
      <c r="RH2" s="330"/>
      <c r="RI2" s="314"/>
    </row>
    <row r="3" spans="1:477" s="34" customFormat="1" ht="26.25" thickBot="1">
      <c r="A3" s="468"/>
      <c r="B3" s="192" t="s">
        <v>134</v>
      </c>
      <c r="C3" s="193" t="s">
        <v>135</v>
      </c>
      <c r="D3" s="192" t="s">
        <v>134</v>
      </c>
      <c r="E3" s="193" t="s">
        <v>135</v>
      </c>
      <c r="F3" s="192" t="s">
        <v>134</v>
      </c>
      <c r="G3" s="193" t="s">
        <v>149</v>
      </c>
      <c r="H3" s="268" t="s">
        <v>137</v>
      </c>
      <c r="I3" s="193" t="s">
        <v>134</v>
      </c>
      <c r="J3" s="194" t="s">
        <v>134</v>
      </c>
      <c r="K3" s="195" t="s">
        <v>135</v>
      </c>
      <c r="L3" s="195" t="s">
        <v>134</v>
      </c>
      <c r="M3" s="195" t="s">
        <v>135</v>
      </c>
      <c r="N3" s="195" t="s">
        <v>134</v>
      </c>
      <c r="O3" s="195" t="s">
        <v>150</v>
      </c>
      <c r="P3" s="195" t="s">
        <v>137</v>
      </c>
      <c r="Q3" s="194" t="s">
        <v>134</v>
      </c>
      <c r="R3" s="196" t="s">
        <v>134</v>
      </c>
      <c r="S3" s="196" t="s">
        <v>135</v>
      </c>
      <c r="T3" s="196" t="s">
        <v>134</v>
      </c>
      <c r="U3" s="196" t="s">
        <v>135</v>
      </c>
      <c r="V3" s="196" t="s">
        <v>134</v>
      </c>
      <c r="W3" s="196" t="s">
        <v>149</v>
      </c>
      <c r="X3" s="196" t="s">
        <v>137</v>
      </c>
      <c r="Y3" s="196" t="s">
        <v>134</v>
      </c>
      <c r="Z3" s="197" t="s">
        <v>134</v>
      </c>
      <c r="AA3" s="197" t="s">
        <v>135</v>
      </c>
      <c r="AB3" s="197" t="s">
        <v>134</v>
      </c>
      <c r="AC3" s="197" t="s">
        <v>135</v>
      </c>
      <c r="AD3" s="197" t="s">
        <v>134</v>
      </c>
      <c r="AE3" s="197" t="s">
        <v>149</v>
      </c>
      <c r="AF3" s="197" t="s">
        <v>137</v>
      </c>
      <c r="AG3" s="197" t="s">
        <v>134</v>
      </c>
      <c r="AH3" s="198" t="s">
        <v>134</v>
      </c>
      <c r="AI3" s="198" t="s">
        <v>135</v>
      </c>
      <c r="AJ3" s="198" t="s">
        <v>134</v>
      </c>
      <c r="AK3" s="198" t="s">
        <v>135</v>
      </c>
      <c r="AL3" s="198" t="s">
        <v>134</v>
      </c>
      <c r="AM3" s="198" t="s">
        <v>149</v>
      </c>
      <c r="AN3" s="198" t="s">
        <v>137</v>
      </c>
      <c r="AO3" s="198" t="s">
        <v>134</v>
      </c>
      <c r="AP3" s="199" t="s">
        <v>134</v>
      </c>
      <c r="AQ3" s="199" t="s">
        <v>135</v>
      </c>
      <c r="AR3" s="199" t="s">
        <v>134</v>
      </c>
      <c r="AS3" s="199" t="s">
        <v>135</v>
      </c>
      <c r="AT3" s="199" t="s">
        <v>134</v>
      </c>
      <c r="AU3" s="199" t="s">
        <v>149</v>
      </c>
      <c r="AV3" s="199" t="s">
        <v>137</v>
      </c>
      <c r="AW3" s="199" t="s">
        <v>134</v>
      </c>
      <c r="AX3" s="200" t="s">
        <v>134</v>
      </c>
      <c r="AY3" s="200" t="s">
        <v>135</v>
      </c>
      <c r="AZ3" s="200" t="s">
        <v>134</v>
      </c>
      <c r="BA3" s="200" t="s">
        <v>135</v>
      </c>
      <c r="BB3" s="200" t="s">
        <v>134</v>
      </c>
      <c r="BC3" s="200" t="s">
        <v>149</v>
      </c>
      <c r="BD3" s="200" t="s">
        <v>137</v>
      </c>
      <c r="BE3" s="200" t="s">
        <v>134</v>
      </c>
      <c r="BF3" s="201" t="s">
        <v>134</v>
      </c>
      <c r="BG3" s="201" t="s">
        <v>135</v>
      </c>
      <c r="BH3" s="201" t="s">
        <v>134</v>
      </c>
      <c r="BI3" s="201" t="s">
        <v>135</v>
      </c>
      <c r="BJ3" s="201" t="s">
        <v>134</v>
      </c>
      <c r="BK3" s="201" t="s">
        <v>149</v>
      </c>
      <c r="BL3" s="201" t="s">
        <v>137</v>
      </c>
      <c r="BM3" s="201" t="s">
        <v>134</v>
      </c>
      <c r="BN3" s="202" t="s">
        <v>134</v>
      </c>
      <c r="BO3" s="202" t="s">
        <v>135</v>
      </c>
      <c r="BP3" s="202" t="s">
        <v>134</v>
      </c>
      <c r="BQ3" s="202" t="s">
        <v>135</v>
      </c>
      <c r="BR3" s="202" t="s">
        <v>134</v>
      </c>
      <c r="BS3" s="202" t="s">
        <v>149</v>
      </c>
      <c r="BT3" s="202" t="s">
        <v>137</v>
      </c>
      <c r="BU3" s="202" t="s">
        <v>134</v>
      </c>
      <c r="BV3" s="203" t="s">
        <v>134</v>
      </c>
      <c r="BW3" s="203" t="s">
        <v>135</v>
      </c>
      <c r="BX3" s="203" t="s">
        <v>134</v>
      </c>
      <c r="BY3" s="203" t="s">
        <v>135</v>
      </c>
      <c r="BZ3" s="203" t="s">
        <v>134</v>
      </c>
      <c r="CA3" s="203" t="s">
        <v>149</v>
      </c>
      <c r="CB3" s="203" t="s">
        <v>137</v>
      </c>
      <c r="CC3" s="203" t="s">
        <v>134</v>
      </c>
      <c r="CD3" s="204" t="s">
        <v>134</v>
      </c>
      <c r="CE3" s="204" t="s">
        <v>135</v>
      </c>
      <c r="CF3" s="204" t="s">
        <v>134</v>
      </c>
      <c r="CG3" s="204" t="s">
        <v>135</v>
      </c>
      <c r="CH3" s="204" t="s">
        <v>134</v>
      </c>
      <c r="CI3" s="204" t="s">
        <v>150</v>
      </c>
      <c r="CJ3" s="204" t="s">
        <v>137</v>
      </c>
      <c r="CK3" s="204" t="s">
        <v>134</v>
      </c>
      <c r="CL3" s="205" t="s">
        <v>134</v>
      </c>
      <c r="CM3" s="205" t="s">
        <v>135</v>
      </c>
      <c r="CN3" s="205" t="s">
        <v>134</v>
      </c>
      <c r="CO3" s="205" t="s">
        <v>135</v>
      </c>
      <c r="CP3" s="205" t="s">
        <v>134</v>
      </c>
      <c r="CQ3" s="205" t="s">
        <v>149</v>
      </c>
      <c r="CR3" s="205" t="s">
        <v>137</v>
      </c>
      <c r="CS3" s="205" t="s">
        <v>134</v>
      </c>
      <c r="CT3" s="206" t="s">
        <v>134</v>
      </c>
      <c r="CU3" s="206" t="s">
        <v>135</v>
      </c>
      <c r="CV3" s="206" t="s">
        <v>134</v>
      </c>
      <c r="CW3" s="206" t="s">
        <v>135</v>
      </c>
      <c r="CX3" s="206" t="s">
        <v>134</v>
      </c>
      <c r="CY3" s="206" t="s">
        <v>149</v>
      </c>
      <c r="CZ3" s="206" t="s">
        <v>137</v>
      </c>
      <c r="DA3" s="206" t="s">
        <v>134</v>
      </c>
      <c r="DB3" s="207" t="s">
        <v>134</v>
      </c>
      <c r="DC3" s="207" t="s">
        <v>135</v>
      </c>
      <c r="DD3" s="207" t="s">
        <v>134</v>
      </c>
      <c r="DE3" s="207" t="s">
        <v>135</v>
      </c>
      <c r="DF3" s="207" t="s">
        <v>134</v>
      </c>
      <c r="DG3" s="207" t="s">
        <v>149</v>
      </c>
      <c r="DH3" s="207" t="s">
        <v>137</v>
      </c>
      <c r="DI3" s="207" t="s">
        <v>134</v>
      </c>
      <c r="DJ3" s="208" t="s">
        <v>134</v>
      </c>
      <c r="DK3" s="208" t="s">
        <v>135</v>
      </c>
      <c r="DL3" s="208" t="s">
        <v>134</v>
      </c>
      <c r="DM3" s="208" t="s">
        <v>135</v>
      </c>
      <c r="DN3" s="208" t="s">
        <v>134</v>
      </c>
      <c r="DO3" s="208" t="s">
        <v>149</v>
      </c>
      <c r="DP3" s="208" t="s">
        <v>137</v>
      </c>
      <c r="DQ3" s="208" t="s">
        <v>134</v>
      </c>
      <c r="DR3" s="209" t="s">
        <v>134</v>
      </c>
      <c r="DS3" s="209" t="s">
        <v>135</v>
      </c>
      <c r="DT3" s="209" t="s">
        <v>134</v>
      </c>
      <c r="DU3" s="209" t="s">
        <v>135</v>
      </c>
      <c r="DV3" s="209" t="s">
        <v>134</v>
      </c>
      <c r="DW3" s="209" t="s">
        <v>149</v>
      </c>
      <c r="DX3" s="209" t="s">
        <v>137</v>
      </c>
      <c r="DY3" s="209" t="s">
        <v>134</v>
      </c>
      <c r="DZ3" s="210" t="s">
        <v>134</v>
      </c>
      <c r="EA3" s="210" t="s">
        <v>135</v>
      </c>
      <c r="EB3" s="210" t="s">
        <v>134</v>
      </c>
      <c r="EC3" s="210" t="s">
        <v>135</v>
      </c>
      <c r="ED3" s="210" t="s">
        <v>134</v>
      </c>
      <c r="EE3" s="210" t="s">
        <v>149</v>
      </c>
      <c r="EF3" s="210" t="s">
        <v>137</v>
      </c>
      <c r="EG3" s="210" t="s">
        <v>134</v>
      </c>
      <c r="EH3" s="211" t="s">
        <v>134</v>
      </c>
      <c r="EI3" s="211" t="s">
        <v>135</v>
      </c>
      <c r="EJ3" s="211" t="s">
        <v>134</v>
      </c>
      <c r="EK3" s="211" t="s">
        <v>135</v>
      </c>
      <c r="EL3" s="211" t="s">
        <v>134</v>
      </c>
      <c r="EM3" s="211" t="s">
        <v>149</v>
      </c>
      <c r="EN3" s="211" t="s">
        <v>137</v>
      </c>
      <c r="EO3" s="211" t="s">
        <v>134</v>
      </c>
      <c r="EP3" s="212" t="s">
        <v>134</v>
      </c>
      <c r="EQ3" s="212" t="s">
        <v>135</v>
      </c>
      <c r="ER3" s="212" t="s">
        <v>134</v>
      </c>
      <c r="ES3" s="212" t="s">
        <v>135</v>
      </c>
      <c r="ET3" s="212" t="s">
        <v>134</v>
      </c>
      <c r="EU3" s="212" t="s">
        <v>149</v>
      </c>
      <c r="EV3" s="212" t="s">
        <v>137</v>
      </c>
      <c r="EW3" s="212" t="s">
        <v>134</v>
      </c>
      <c r="EX3" s="213" t="s">
        <v>134</v>
      </c>
      <c r="EY3" s="213" t="s">
        <v>135</v>
      </c>
      <c r="EZ3" s="213" t="s">
        <v>134</v>
      </c>
      <c r="FA3" s="213" t="s">
        <v>135</v>
      </c>
      <c r="FB3" s="213" t="s">
        <v>134</v>
      </c>
      <c r="FC3" s="213" t="s">
        <v>149</v>
      </c>
      <c r="FD3" s="213" t="s">
        <v>137</v>
      </c>
      <c r="FE3" s="213" t="s">
        <v>134</v>
      </c>
      <c r="FF3" s="214" t="s">
        <v>134</v>
      </c>
      <c r="FG3" s="214" t="s">
        <v>135</v>
      </c>
      <c r="FH3" s="214" t="s">
        <v>134</v>
      </c>
      <c r="FI3" s="214" t="s">
        <v>135</v>
      </c>
      <c r="FJ3" s="214" t="s">
        <v>134</v>
      </c>
      <c r="FK3" s="214" t="s">
        <v>149</v>
      </c>
      <c r="FL3" s="214" t="s">
        <v>137</v>
      </c>
      <c r="FM3" s="214" t="s">
        <v>134</v>
      </c>
      <c r="FN3" s="215" t="s">
        <v>134</v>
      </c>
      <c r="FO3" s="215" t="s">
        <v>135</v>
      </c>
      <c r="FP3" s="215" t="s">
        <v>134</v>
      </c>
      <c r="FQ3" s="215" t="s">
        <v>135</v>
      </c>
      <c r="FR3" s="215" t="s">
        <v>134</v>
      </c>
      <c r="FS3" s="215" t="s">
        <v>149</v>
      </c>
      <c r="FT3" s="215" t="s">
        <v>137</v>
      </c>
      <c r="FU3" s="215" t="s">
        <v>134</v>
      </c>
      <c r="FV3" s="216" t="s">
        <v>134</v>
      </c>
      <c r="FW3" s="216" t="s">
        <v>135</v>
      </c>
      <c r="FX3" s="216" t="s">
        <v>134</v>
      </c>
      <c r="FY3" s="216" t="s">
        <v>135</v>
      </c>
      <c r="FZ3" s="216" t="s">
        <v>134</v>
      </c>
      <c r="GA3" s="216" t="s">
        <v>149</v>
      </c>
      <c r="GB3" s="216" t="s">
        <v>137</v>
      </c>
      <c r="GC3" s="216" t="s">
        <v>134</v>
      </c>
      <c r="GD3" s="217" t="s">
        <v>134</v>
      </c>
      <c r="GE3" s="217" t="s">
        <v>135</v>
      </c>
      <c r="GF3" s="217" t="s">
        <v>134</v>
      </c>
      <c r="GG3" s="217" t="s">
        <v>135</v>
      </c>
      <c r="GH3" s="217" t="s">
        <v>134</v>
      </c>
      <c r="GI3" s="217" t="s">
        <v>149</v>
      </c>
      <c r="GJ3" s="217" t="s">
        <v>137</v>
      </c>
      <c r="GK3" s="217" t="s">
        <v>134</v>
      </c>
      <c r="GL3" s="205" t="s">
        <v>134</v>
      </c>
      <c r="GM3" s="205" t="s">
        <v>135</v>
      </c>
      <c r="GN3" s="205" t="s">
        <v>134</v>
      </c>
      <c r="GO3" s="205" t="s">
        <v>135</v>
      </c>
      <c r="GP3" s="205" t="s">
        <v>134</v>
      </c>
      <c r="GQ3" s="205" t="s">
        <v>149</v>
      </c>
      <c r="GR3" s="205" t="s">
        <v>137</v>
      </c>
      <c r="GS3" s="205" t="s">
        <v>134</v>
      </c>
      <c r="GT3" s="210" t="s">
        <v>134</v>
      </c>
      <c r="GU3" s="210" t="s">
        <v>135</v>
      </c>
      <c r="GV3" s="210" t="s">
        <v>134</v>
      </c>
      <c r="GW3" s="210" t="s">
        <v>135</v>
      </c>
      <c r="GX3" s="210" t="s">
        <v>134</v>
      </c>
      <c r="GY3" s="210" t="s">
        <v>149</v>
      </c>
      <c r="GZ3" s="210" t="s">
        <v>137</v>
      </c>
      <c r="HA3" s="210" t="s">
        <v>134</v>
      </c>
      <c r="HB3" s="218" t="s">
        <v>134</v>
      </c>
      <c r="HC3" s="218" t="s">
        <v>135</v>
      </c>
      <c r="HD3" s="218" t="s">
        <v>134</v>
      </c>
      <c r="HE3" s="218" t="s">
        <v>135</v>
      </c>
      <c r="HF3" s="218" t="s">
        <v>134</v>
      </c>
      <c r="HG3" s="218" t="s">
        <v>149</v>
      </c>
      <c r="HH3" s="218" t="s">
        <v>137</v>
      </c>
      <c r="HI3" s="218" t="s">
        <v>134</v>
      </c>
      <c r="HJ3" s="219" t="s">
        <v>134</v>
      </c>
      <c r="HK3" s="219" t="s">
        <v>135</v>
      </c>
      <c r="HL3" s="219" t="s">
        <v>134</v>
      </c>
      <c r="HM3" s="219" t="s">
        <v>135</v>
      </c>
      <c r="HN3" s="219" t="s">
        <v>134</v>
      </c>
      <c r="HO3" s="219" t="s">
        <v>149</v>
      </c>
      <c r="HP3" s="219" t="s">
        <v>137</v>
      </c>
      <c r="HQ3" s="219" t="s">
        <v>134</v>
      </c>
      <c r="HR3" s="220" t="s">
        <v>134</v>
      </c>
      <c r="HS3" s="220" t="s">
        <v>135</v>
      </c>
      <c r="HT3" s="220" t="s">
        <v>134</v>
      </c>
      <c r="HU3" s="220" t="s">
        <v>135</v>
      </c>
      <c r="HV3" s="220" t="s">
        <v>134</v>
      </c>
      <c r="HW3" s="220" t="s">
        <v>149</v>
      </c>
      <c r="HX3" s="220" t="s">
        <v>137</v>
      </c>
      <c r="HY3" s="220" t="s">
        <v>134</v>
      </c>
      <c r="HZ3" s="221" t="s">
        <v>134</v>
      </c>
      <c r="IA3" s="221" t="s">
        <v>135</v>
      </c>
      <c r="IB3" s="221" t="s">
        <v>134</v>
      </c>
      <c r="IC3" s="221" t="s">
        <v>135</v>
      </c>
      <c r="ID3" s="221" t="s">
        <v>134</v>
      </c>
      <c r="IE3" s="221" t="s">
        <v>149</v>
      </c>
      <c r="IF3" s="221" t="s">
        <v>137</v>
      </c>
      <c r="IG3" s="221" t="s">
        <v>134</v>
      </c>
      <c r="IH3" s="214" t="s">
        <v>134</v>
      </c>
      <c r="II3" s="214" t="s">
        <v>135</v>
      </c>
      <c r="IJ3" s="214" t="s">
        <v>134</v>
      </c>
      <c r="IK3" s="214" t="s">
        <v>135</v>
      </c>
      <c r="IL3" s="214" t="s">
        <v>134</v>
      </c>
      <c r="IM3" s="214" t="s">
        <v>149</v>
      </c>
      <c r="IN3" s="214" t="s">
        <v>137</v>
      </c>
      <c r="IO3" s="214" t="s">
        <v>134</v>
      </c>
      <c r="IP3" s="218" t="s">
        <v>134</v>
      </c>
      <c r="IQ3" s="218" t="s">
        <v>135</v>
      </c>
      <c r="IR3" s="218" t="s">
        <v>134</v>
      </c>
      <c r="IS3" s="218" t="s">
        <v>135</v>
      </c>
      <c r="IT3" s="218" t="s">
        <v>134</v>
      </c>
      <c r="IU3" s="218" t="s">
        <v>149</v>
      </c>
      <c r="IV3" s="218" t="s">
        <v>137</v>
      </c>
      <c r="IW3" s="218" t="s">
        <v>134</v>
      </c>
      <c r="IX3" s="222" t="s">
        <v>134</v>
      </c>
      <c r="IY3" s="222" t="s">
        <v>135</v>
      </c>
      <c r="IZ3" s="222" t="s">
        <v>134</v>
      </c>
      <c r="JA3" s="222" t="s">
        <v>135</v>
      </c>
      <c r="JB3" s="222" t="s">
        <v>134</v>
      </c>
      <c r="JC3" s="222" t="s">
        <v>149</v>
      </c>
      <c r="JD3" s="222" t="s">
        <v>137</v>
      </c>
      <c r="JE3" s="222" t="s">
        <v>134</v>
      </c>
      <c r="JF3" s="223" t="s">
        <v>134</v>
      </c>
      <c r="JG3" s="223" t="s">
        <v>135</v>
      </c>
      <c r="JH3" s="223" t="s">
        <v>134</v>
      </c>
      <c r="JI3" s="223" t="s">
        <v>135</v>
      </c>
      <c r="JJ3" s="223" t="s">
        <v>134</v>
      </c>
      <c r="JK3" s="223" t="s">
        <v>149</v>
      </c>
      <c r="JL3" s="223" t="s">
        <v>137</v>
      </c>
      <c r="JM3" s="223" t="s">
        <v>134</v>
      </c>
      <c r="JN3" s="224" t="s">
        <v>134</v>
      </c>
      <c r="JO3" s="224" t="s">
        <v>135</v>
      </c>
      <c r="JP3" s="224" t="s">
        <v>134</v>
      </c>
      <c r="JQ3" s="224" t="s">
        <v>135</v>
      </c>
      <c r="JR3" s="224" t="s">
        <v>134</v>
      </c>
      <c r="JS3" s="224" t="s">
        <v>136</v>
      </c>
      <c r="JT3" s="224" t="s">
        <v>137</v>
      </c>
      <c r="JU3" s="224" t="s">
        <v>134</v>
      </c>
      <c r="JV3" s="225" t="s">
        <v>134</v>
      </c>
      <c r="JW3" s="225" t="s">
        <v>135</v>
      </c>
      <c r="JX3" s="225" t="s">
        <v>134</v>
      </c>
      <c r="JY3" s="225" t="s">
        <v>135</v>
      </c>
      <c r="JZ3" s="225" t="s">
        <v>134</v>
      </c>
      <c r="KA3" s="225" t="s">
        <v>149</v>
      </c>
      <c r="KB3" s="225" t="s">
        <v>137</v>
      </c>
      <c r="KC3" s="225" t="s">
        <v>134</v>
      </c>
      <c r="KD3" s="226" t="s">
        <v>134</v>
      </c>
      <c r="KE3" s="226" t="s">
        <v>135</v>
      </c>
      <c r="KF3" s="226" t="s">
        <v>134</v>
      </c>
      <c r="KG3" s="226" t="s">
        <v>135</v>
      </c>
      <c r="KH3" s="226" t="s">
        <v>134</v>
      </c>
      <c r="KI3" s="226" t="s">
        <v>149</v>
      </c>
      <c r="KJ3" s="226" t="s">
        <v>137</v>
      </c>
      <c r="KK3" s="226" t="s">
        <v>134</v>
      </c>
      <c r="KL3" s="213" t="s">
        <v>134</v>
      </c>
      <c r="KM3" s="213" t="s">
        <v>135</v>
      </c>
      <c r="KN3" s="213" t="s">
        <v>134</v>
      </c>
      <c r="KO3" s="213" t="s">
        <v>135</v>
      </c>
      <c r="KP3" s="213" t="s">
        <v>134</v>
      </c>
      <c r="KQ3" s="213" t="s">
        <v>136</v>
      </c>
      <c r="KR3" s="213" t="s">
        <v>137</v>
      </c>
      <c r="KS3" s="213" t="s">
        <v>134</v>
      </c>
      <c r="KT3" s="227" t="s">
        <v>134</v>
      </c>
      <c r="KU3" s="227" t="s">
        <v>135</v>
      </c>
      <c r="KV3" s="227" t="s">
        <v>134</v>
      </c>
      <c r="KW3" s="227" t="s">
        <v>135</v>
      </c>
      <c r="KX3" s="227" t="s">
        <v>134</v>
      </c>
      <c r="KY3" s="227" t="s">
        <v>149</v>
      </c>
      <c r="KZ3" s="227" t="s">
        <v>137</v>
      </c>
      <c r="LA3" s="227" t="s">
        <v>134</v>
      </c>
      <c r="LB3" s="228" t="s">
        <v>134</v>
      </c>
      <c r="LC3" s="228" t="s">
        <v>135</v>
      </c>
      <c r="LD3" s="228" t="s">
        <v>134</v>
      </c>
      <c r="LE3" s="228" t="s">
        <v>135</v>
      </c>
      <c r="LF3" s="228" t="s">
        <v>134</v>
      </c>
      <c r="LG3" s="228" t="s">
        <v>149</v>
      </c>
      <c r="LH3" s="228" t="s">
        <v>137</v>
      </c>
      <c r="LI3" s="228" t="s">
        <v>134</v>
      </c>
      <c r="LJ3" s="229" t="s">
        <v>134</v>
      </c>
      <c r="LK3" s="229" t="s">
        <v>135</v>
      </c>
      <c r="LL3" s="229" t="s">
        <v>134</v>
      </c>
      <c r="LM3" s="229" t="s">
        <v>135</v>
      </c>
      <c r="LN3" s="229" t="s">
        <v>134</v>
      </c>
      <c r="LO3" s="229" t="s">
        <v>149</v>
      </c>
      <c r="LP3" s="229" t="s">
        <v>137</v>
      </c>
      <c r="LQ3" s="229" t="s">
        <v>134</v>
      </c>
      <c r="LR3" s="230" t="s">
        <v>134</v>
      </c>
      <c r="LS3" s="230" t="s">
        <v>149</v>
      </c>
      <c r="LT3" s="230" t="s">
        <v>137</v>
      </c>
      <c r="LU3" s="230" t="s">
        <v>134</v>
      </c>
      <c r="LV3" s="213" t="s">
        <v>134</v>
      </c>
      <c r="LW3" s="213" t="s">
        <v>135</v>
      </c>
      <c r="LX3" s="213" t="s">
        <v>134</v>
      </c>
      <c r="LY3" s="213" t="s">
        <v>135</v>
      </c>
      <c r="LZ3" s="213" t="s">
        <v>134</v>
      </c>
      <c r="MA3" s="213" t="s">
        <v>149</v>
      </c>
      <c r="MB3" s="213" t="s">
        <v>137</v>
      </c>
      <c r="MC3" s="213" t="s">
        <v>134</v>
      </c>
      <c r="MD3" s="218" t="s">
        <v>134</v>
      </c>
      <c r="ME3" s="218" t="s">
        <v>135</v>
      </c>
      <c r="MF3" s="218" t="s">
        <v>134</v>
      </c>
      <c r="MG3" s="218" t="s">
        <v>135</v>
      </c>
      <c r="MH3" s="218" t="s">
        <v>134</v>
      </c>
      <c r="MI3" s="218" t="s">
        <v>149</v>
      </c>
      <c r="MJ3" s="218" t="s">
        <v>137</v>
      </c>
      <c r="MK3" s="218" t="s">
        <v>134</v>
      </c>
      <c r="ML3" s="231" t="s">
        <v>134</v>
      </c>
      <c r="MM3" s="231" t="s">
        <v>135</v>
      </c>
      <c r="MN3" s="231" t="s">
        <v>134</v>
      </c>
      <c r="MO3" s="231" t="s">
        <v>135</v>
      </c>
      <c r="MP3" s="231" t="s">
        <v>134</v>
      </c>
      <c r="MQ3" s="231" t="s">
        <v>149</v>
      </c>
      <c r="MR3" s="231" t="s">
        <v>137</v>
      </c>
      <c r="MS3" s="231" t="s">
        <v>134</v>
      </c>
      <c r="MT3" s="219" t="s">
        <v>134</v>
      </c>
      <c r="MU3" s="219" t="s">
        <v>135</v>
      </c>
      <c r="MV3" s="219" t="s">
        <v>134</v>
      </c>
      <c r="MW3" s="219" t="s">
        <v>135</v>
      </c>
      <c r="MX3" s="219" t="s">
        <v>134</v>
      </c>
      <c r="MY3" s="219" t="s">
        <v>149</v>
      </c>
      <c r="MZ3" s="219" t="s">
        <v>137</v>
      </c>
      <c r="NA3" s="219" t="s">
        <v>134</v>
      </c>
      <c r="NB3" s="232" t="s">
        <v>134</v>
      </c>
      <c r="NC3" s="232" t="s">
        <v>149</v>
      </c>
      <c r="ND3" s="232" t="s">
        <v>137</v>
      </c>
      <c r="NE3" s="232" t="s">
        <v>134</v>
      </c>
      <c r="NF3" s="233" t="s">
        <v>134</v>
      </c>
      <c r="NG3" s="233" t="s">
        <v>135</v>
      </c>
      <c r="NH3" s="233" t="s">
        <v>134</v>
      </c>
      <c r="NI3" s="233" t="s">
        <v>135</v>
      </c>
      <c r="NJ3" s="233" t="s">
        <v>134</v>
      </c>
      <c r="NK3" s="233" t="s">
        <v>136</v>
      </c>
      <c r="NL3" s="233" t="s">
        <v>137</v>
      </c>
      <c r="NM3" s="233" t="s">
        <v>134</v>
      </c>
      <c r="NN3" s="220" t="s">
        <v>134</v>
      </c>
      <c r="NO3" s="220" t="s">
        <v>135</v>
      </c>
      <c r="NP3" s="220" t="s">
        <v>134</v>
      </c>
      <c r="NQ3" s="220" t="s">
        <v>135</v>
      </c>
      <c r="NR3" s="220" t="s">
        <v>134</v>
      </c>
      <c r="NS3" s="220" t="s">
        <v>149</v>
      </c>
      <c r="NT3" s="220" t="s">
        <v>137</v>
      </c>
      <c r="NU3" s="220" t="s">
        <v>134</v>
      </c>
      <c r="NV3" s="205" t="s">
        <v>134</v>
      </c>
      <c r="NW3" s="205" t="s">
        <v>135</v>
      </c>
      <c r="NX3" s="205" t="s">
        <v>134</v>
      </c>
      <c r="NY3" s="205" t="s">
        <v>135</v>
      </c>
      <c r="NZ3" s="205" t="s">
        <v>134</v>
      </c>
      <c r="OA3" s="205" t="s">
        <v>149</v>
      </c>
      <c r="OB3" s="205" t="s">
        <v>137</v>
      </c>
      <c r="OC3" s="205" t="s">
        <v>134</v>
      </c>
      <c r="OD3" s="234" t="s">
        <v>134</v>
      </c>
      <c r="OE3" s="234" t="s">
        <v>135</v>
      </c>
      <c r="OF3" s="234" t="s">
        <v>134</v>
      </c>
      <c r="OG3" s="234" t="s">
        <v>135</v>
      </c>
      <c r="OH3" s="234" t="s">
        <v>134</v>
      </c>
      <c r="OI3" s="234" t="s">
        <v>149</v>
      </c>
      <c r="OJ3" s="234" t="s">
        <v>137</v>
      </c>
      <c r="OK3" s="234" t="s">
        <v>134</v>
      </c>
      <c r="OL3" s="235" t="s">
        <v>134</v>
      </c>
      <c r="OM3" s="235" t="s">
        <v>135</v>
      </c>
      <c r="ON3" s="235" t="s">
        <v>134</v>
      </c>
      <c r="OO3" s="235" t="s">
        <v>135</v>
      </c>
      <c r="OP3" s="235" t="s">
        <v>134</v>
      </c>
      <c r="OQ3" s="235" t="s">
        <v>136</v>
      </c>
      <c r="OR3" s="235" t="s">
        <v>137</v>
      </c>
      <c r="OS3" s="235" t="s">
        <v>134</v>
      </c>
      <c r="OT3" s="236" t="s">
        <v>134</v>
      </c>
      <c r="OU3" s="236" t="s">
        <v>135</v>
      </c>
      <c r="OV3" s="236" t="s">
        <v>134</v>
      </c>
      <c r="OW3" s="236" t="s">
        <v>135</v>
      </c>
      <c r="OX3" s="236" t="s">
        <v>134</v>
      </c>
      <c r="OY3" s="236" t="s">
        <v>149</v>
      </c>
      <c r="OZ3" s="236" t="s">
        <v>137</v>
      </c>
      <c r="PA3" s="236" t="s">
        <v>134</v>
      </c>
      <c r="PB3" s="218" t="s">
        <v>134</v>
      </c>
      <c r="PC3" s="218" t="s">
        <v>149</v>
      </c>
      <c r="PD3" s="218" t="s">
        <v>137</v>
      </c>
      <c r="PE3" s="218" t="s">
        <v>134</v>
      </c>
      <c r="PF3" s="213" t="s">
        <v>134</v>
      </c>
      <c r="PG3" s="213" t="s">
        <v>135</v>
      </c>
      <c r="PH3" s="213" t="s">
        <v>134</v>
      </c>
      <c r="PI3" s="213" t="s">
        <v>135</v>
      </c>
      <c r="PJ3" s="213" t="s">
        <v>134</v>
      </c>
      <c r="PK3" s="213" t="s">
        <v>149</v>
      </c>
      <c r="PL3" s="213" t="s">
        <v>137</v>
      </c>
      <c r="PM3" s="213" t="s">
        <v>134</v>
      </c>
      <c r="PN3" s="237" t="s">
        <v>134</v>
      </c>
      <c r="PO3" s="237" t="s">
        <v>135</v>
      </c>
      <c r="PP3" s="237" t="s">
        <v>134</v>
      </c>
      <c r="PQ3" s="237" t="s">
        <v>135</v>
      </c>
      <c r="PR3" s="237" t="s">
        <v>134</v>
      </c>
      <c r="PS3" s="237" t="s">
        <v>149</v>
      </c>
      <c r="PT3" s="237" t="s">
        <v>137</v>
      </c>
      <c r="PU3" s="237" t="s">
        <v>134</v>
      </c>
      <c r="PV3" s="228" t="s">
        <v>134</v>
      </c>
      <c r="PW3" s="228" t="s">
        <v>135</v>
      </c>
      <c r="PX3" s="228" t="s">
        <v>134</v>
      </c>
      <c r="PY3" s="228" t="s">
        <v>135</v>
      </c>
      <c r="PZ3" s="228" t="s">
        <v>134</v>
      </c>
      <c r="QA3" s="228" t="s">
        <v>149</v>
      </c>
      <c r="QB3" s="228" t="s">
        <v>137</v>
      </c>
      <c r="QC3" s="228" t="s">
        <v>134</v>
      </c>
      <c r="QD3" s="238" t="s">
        <v>134</v>
      </c>
      <c r="QE3" s="238" t="s">
        <v>135</v>
      </c>
      <c r="QF3" s="238" t="s">
        <v>134</v>
      </c>
      <c r="QG3" s="238" t="s">
        <v>135</v>
      </c>
      <c r="QH3" s="238" t="s">
        <v>134</v>
      </c>
      <c r="QI3" s="238" t="s">
        <v>136</v>
      </c>
      <c r="QJ3" s="238" t="s">
        <v>137</v>
      </c>
      <c r="QK3" s="238" t="s">
        <v>134</v>
      </c>
      <c r="QL3" s="239" t="s">
        <v>134</v>
      </c>
      <c r="QM3" s="239" t="s">
        <v>135</v>
      </c>
      <c r="QN3" s="239" t="s">
        <v>134</v>
      </c>
      <c r="QO3" s="239" t="s">
        <v>136</v>
      </c>
      <c r="QP3" s="239" t="s">
        <v>137</v>
      </c>
      <c r="QQ3" s="239" t="s">
        <v>134</v>
      </c>
      <c r="QR3" s="240" t="s">
        <v>134</v>
      </c>
      <c r="QS3" s="240" t="s">
        <v>135</v>
      </c>
      <c r="QT3" s="240" t="s">
        <v>134</v>
      </c>
      <c r="QU3" s="240" t="s">
        <v>149</v>
      </c>
      <c r="QV3" s="240" t="s">
        <v>137</v>
      </c>
      <c r="QW3" s="240" t="s">
        <v>134</v>
      </c>
      <c r="QX3" s="238" t="s">
        <v>134</v>
      </c>
      <c r="QY3" s="238" t="s">
        <v>135</v>
      </c>
      <c r="QZ3" s="238" t="s">
        <v>134</v>
      </c>
      <c r="RA3" s="238" t="s">
        <v>135</v>
      </c>
      <c r="RB3" s="238" t="s">
        <v>134</v>
      </c>
      <c r="RC3" s="238" t="s">
        <v>149</v>
      </c>
      <c r="RD3" s="238" t="s">
        <v>137</v>
      </c>
      <c r="RE3" s="238" t="s">
        <v>134</v>
      </c>
      <c r="RF3" s="267" t="s">
        <v>134</v>
      </c>
      <c r="RG3" s="267" t="s">
        <v>151</v>
      </c>
      <c r="RH3" s="267" t="s">
        <v>139</v>
      </c>
      <c r="RI3" s="315"/>
    </row>
    <row r="4" spans="1:477" s="179" customFormat="1" ht="12.75" customHeight="1" thickBot="1">
      <c r="A4" s="242" t="s">
        <v>71</v>
      </c>
      <c r="B4" s="261">
        <f>SUM(B5:B23)</f>
        <v>23876.523756788498</v>
      </c>
      <c r="C4" s="261">
        <f t="shared" ref="C4:BN4" si="0">SUM(C5:C23)</f>
        <v>23572.112310000011</v>
      </c>
      <c r="D4" s="261">
        <f t="shared" si="0"/>
        <v>40422.468247274708</v>
      </c>
      <c r="E4" s="261">
        <f t="shared" si="0"/>
        <v>40487.121090000008</v>
      </c>
      <c r="F4" s="261">
        <f t="shared" si="0"/>
        <v>53483.466496647496</v>
      </c>
      <c r="G4" s="261">
        <f t="shared" si="0"/>
        <v>48119.802400000008</v>
      </c>
      <c r="H4" s="261">
        <f t="shared" si="0"/>
        <v>57743.762880000017</v>
      </c>
      <c r="I4" s="261">
        <f t="shared" si="0"/>
        <v>59787.208711304345</v>
      </c>
      <c r="J4" s="261">
        <f t="shared" si="0"/>
        <v>32379.635246559628</v>
      </c>
      <c r="K4" s="261">
        <f t="shared" si="0"/>
        <v>34661.660620000002</v>
      </c>
      <c r="L4" s="261">
        <f t="shared" si="0"/>
        <v>36410.604719965464</v>
      </c>
      <c r="M4" s="261">
        <f t="shared" si="0"/>
        <v>37286.262170000009</v>
      </c>
      <c r="N4" s="261">
        <f t="shared" si="0"/>
        <v>38135.604579621235</v>
      </c>
      <c r="O4" s="261">
        <f t="shared" si="0"/>
        <v>31903.515999999996</v>
      </c>
      <c r="P4" s="261">
        <f t="shared" si="0"/>
        <v>38284.2192</v>
      </c>
      <c r="Q4" s="261">
        <f t="shared" si="0"/>
        <v>39166.94854782609</v>
      </c>
      <c r="R4" s="261">
        <f t="shared" si="0"/>
        <v>117938.77054062604</v>
      </c>
      <c r="S4" s="261">
        <f t="shared" si="0"/>
        <v>111770.1050600001</v>
      </c>
      <c r="T4" s="261">
        <f t="shared" si="0"/>
        <v>105457.51394020222</v>
      </c>
      <c r="U4" s="261">
        <f t="shared" si="0"/>
        <v>105493.39159000004</v>
      </c>
      <c r="V4" s="261">
        <f t="shared" si="0"/>
        <v>78100.781291669045</v>
      </c>
      <c r="W4" s="261">
        <f t="shared" si="0"/>
        <v>60305.080750000008</v>
      </c>
      <c r="X4" s="261">
        <f t="shared" si="0"/>
        <v>72366.096900000033</v>
      </c>
      <c r="Y4" s="261">
        <f t="shared" si="0"/>
        <v>73690.974136521749</v>
      </c>
      <c r="Z4" s="261">
        <f t="shared" si="0"/>
        <v>9285.2134002645871</v>
      </c>
      <c r="AA4" s="261">
        <f t="shared" si="0"/>
        <v>7673.6775899999921</v>
      </c>
      <c r="AB4" s="261">
        <f t="shared" si="0"/>
        <v>7701.220967651182</v>
      </c>
      <c r="AC4" s="261">
        <f t="shared" si="0"/>
        <v>8296.8996999999999</v>
      </c>
      <c r="AD4" s="261">
        <f t="shared" si="0"/>
        <v>7904.6875470309133</v>
      </c>
      <c r="AE4" s="261">
        <f t="shared" si="0"/>
        <v>6617.4494400000003</v>
      </c>
      <c r="AF4" s="261">
        <f t="shared" si="0"/>
        <v>7940.9393280000004</v>
      </c>
      <c r="AG4" s="308">
        <f t="shared" si="0"/>
        <v>7905.3197913043477</v>
      </c>
      <c r="AH4" s="261">
        <f t="shared" si="0"/>
        <v>4404.4995437416219</v>
      </c>
      <c r="AI4" s="261">
        <f t="shared" si="0"/>
        <v>4318.6697399999948</v>
      </c>
      <c r="AJ4" s="261">
        <f t="shared" si="0"/>
        <v>4506.7394287947227</v>
      </c>
      <c r="AK4" s="261">
        <f t="shared" si="0"/>
        <v>4572.0049599999993</v>
      </c>
      <c r="AL4" s="261">
        <f t="shared" si="0"/>
        <v>4101.3197246543004</v>
      </c>
      <c r="AM4" s="261">
        <f t="shared" si="0"/>
        <v>2924.96254</v>
      </c>
      <c r="AN4" s="261">
        <f t="shared" si="0"/>
        <v>3509.9550479999998</v>
      </c>
      <c r="AO4" s="261">
        <f t="shared" si="0"/>
        <v>4101.434359130435</v>
      </c>
      <c r="AP4" s="261">
        <f t="shared" si="0"/>
        <v>6302.256793946226</v>
      </c>
      <c r="AQ4" s="261">
        <f t="shared" si="0"/>
        <v>6059.8486799999955</v>
      </c>
      <c r="AR4" s="261">
        <f t="shared" si="0"/>
        <v>5919.0412339284176</v>
      </c>
      <c r="AS4" s="261">
        <f t="shared" si="0"/>
        <v>6044.4959699999999</v>
      </c>
      <c r="AT4" s="261">
        <f t="shared" si="0"/>
        <v>6155.5380134474835</v>
      </c>
      <c r="AU4" s="261">
        <f t="shared" si="0"/>
        <v>4658.0925999999999</v>
      </c>
      <c r="AV4" s="261">
        <f t="shared" si="0"/>
        <v>5589.7111200000008</v>
      </c>
      <c r="AW4" s="261">
        <f t="shared" si="0"/>
        <v>5883.0045495652184</v>
      </c>
      <c r="AX4" s="261">
        <f t="shared" si="0"/>
        <v>22325.194168541584</v>
      </c>
      <c r="AY4" s="261">
        <f t="shared" si="0"/>
        <v>20796.405230000015</v>
      </c>
      <c r="AZ4" s="261">
        <f t="shared" si="0"/>
        <v>21435.523930733358</v>
      </c>
      <c r="BA4" s="261">
        <f t="shared" si="0"/>
        <v>22148.528050000008</v>
      </c>
      <c r="BB4" s="261">
        <f t="shared" si="0"/>
        <v>21181.893864862624</v>
      </c>
      <c r="BC4" s="261">
        <f t="shared" si="0"/>
        <v>18242.686930000007</v>
      </c>
      <c r="BD4" s="261">
        <f t="shared" si="0"/>
        <v>21891.224316000011</v>
      </c>
      <c r="BE4" s="308">
        <f t="shared" si="0"/>
        <v>21182.0061826087</v>
      </c>
      <c r="BF4" s="261">
        <f t="shared" si="0"/>
        <v>10855.316286658295</v>
      </c>
      <c r="BG4" s="261">
        <f t="shared" si="0"/>
        <v>10001.385189999999</v>
      </c>
      <c r="BH4" s="261">
        <f t="shared" si="0"/>
        <v>10567.962406988296</v>
      </c>
      <c r="BI4" s="261">
        <f t="shared" si="0"/>
        <v>8682.3961200000012</v>
      </c>
      <c r="BJ4" s="261">
        <f t="shared" si="0"/>
        <v>8906.789985681402</v>
      </c>
      <c r="BK4" s="261">
        <f t="shared" si="0"/>
        <v>6901.5469700000003</v>
      </c>
      <c r="BL4" s="261">
        <f t="shared" si="0"/>
        <v>8281.8563640000011</v>
      </c>
      <c r="BM4" s="261">
        <f t="shared" si="0"/>
        <v>8907.4642382608708</v>
      </c>
      <c r="BN4" s="261">
        <f t="shared" si="0"/>
        <v>3366.9724761451789</v>
      </c>
      <c r="BO4" s="261">
        <f t="shared" ref="BO4:DZ4" si="1">SUM(BO5:BO23)</f>
        <v>2553.1788299999957</v>
      </c>
      <c r="BP4" s="261">
        <f t="shared" si="1"/>
        <v>2460.0731170639324</v>
      </c>
      <c r="BQ4" s="261">
        <f t="shared" si="1"/>
        <v>2250.1859599999989</v>
      </c>
      <c r="BR4" s="261">
        <f t="shared" si="1"/>
        <v>2575.5677927823358</v>
      </c>
      <c r="BS4" s="261">
        <f t="shared" si="1"/>
        <v>2014.3416299999999</v>
      </c>
      <c r="BT4" s="261">
        <f t="shared" si="1"/>
        <v>2417.2099560000001</v>
      </c>
      <c r="BU4" s="261">
        <f t="shared" si="1"/>
        <v>2576.3517878260859</v>
      </c>
      <c r="BV4" s="261">
        <f t="shared" si="1"/>
        <v>29995.399741348181</v>
      </c>
      <c r="BW4" s="261">
        <f t="shared" si="1"/>
        <v>32546.94125</v>
      </c>
      <c r="BX4" s="261">
        <f t="shared" si="1"/>
        <v>33122.16539037753</v>
      </c>
      <c r="BY4" s="261">
        <f t="shared" si="1"/>
        <v>31650.226670000011</v>
      </c>
      <c r="BZ4" s="261">
        <f t="shared" si="1"/>
        <v>33764.757796734761</v>
      </c>
      <c r="CA4" s="261">
        <f t="shared" si="1"/>
        <v>29946.556100000002</v>
      </c>
      <c r="CB4" s="261">
        <f t="shared" si="1"/>
        <v>35935.867319999998</v>
      </c>
      <c r="CC4" s="308">
        <f t="shared" si="1"/>
        <v>35563.161386956526</v>
      </c>
      <c r="CD4" s="261">
        <f t="shared" si="1"/>
        <v>3626.5329410945988</v>
      </c>
      <c r="CE4" s="261">
        <f t="shared" si="1"/>
        <v>3401.4469699999918</v>
      </c>
      <c r="CF4" s="261">
        <f t="shared" si="1"/>
        <v>3223.9082907206403</v>
      </c>
      <c r="CG4" s="261">
        <f t="shared" si="1"/>
        <v>3257.3713299999995</v>
      </c>
      <c r="CH4" s="261">
        <f t="shared" si="1"/>
        <v>3307.1160889087782</v>
      </c>
      <c r="CI4" s="261">
        <f t="shared" si="1"/>
        <v>2844.8330700000001</v>
      </c>
      <c r="CJ4" s="261">
        <f t="shared" si="1"/>
        <v>3413.7996840000001</v>
      </c>
      <c r="CK4" s="308">
        <f t="shared" si="1"/>
        <v>3307.2032947826078</v>
      </c>
      <c r="CL4" s="261">
        <f t="shared" si="1"/>
        <v>2897.7147471225244</v>
      </c>
      <c r="CM4" s="261">
        <f t="shared" si="1"/>
        <v>2675.3086299999959</v>
      </c>
      <c r="CN4" s="261">
        <f t="shared" si="1"/>
        <v>3814.7378473169365</v>
      </c>
      <c r="CO4" s="261">
        <f t="shared" si="1"/>
        <v>3395.2547200000013</v>
      </c>
      <c r="CP4" s="261">
        <f t="shared" si="1"/>
        <v>3175.0590113507392</v>
      </c>
      <c r="CQ4" s="261">
        <f t="shared" si="1"/>
        <v>2674.9122900000007</v>
      </c>
      <c r="CR4" s="261">
        <f t="shared" si="1"/>
        <v>3209.8947480000002</v>
      </c>
      <c r="CS4" s="308">
        <f t="shared" si="1"/>
        <v>3174.9241826086964</v>
      </c>
      <c r="CT4" s="261">
        <f t="shared" si="1"/>
        <v>1276.7626834297921</v>
      </c>
      <c r="CU4" s="261">
        <f t="shared" si="1"/>
        <v>1238.7858299999953</v>
      </c>
      <c r="CV4" s="261">
        <f t="shared" si="1"/>
        <v>1397.5223443416739</v>
      </c>
      <c r="CW4" s="261">
        <f t="shared" si="1"/>
        <v>1306.2209399999999</v>
      </c>
      <c r="CX4" s="261">
        <f t="shared" si="1"/>
        <v>1835.8474284686461</v>
      </c>
      <c r="CY4" s="261">
        <f t="shared" si="1"/>
        <v>984.42274999999995</v>
      </c>
      <c r="CZ4" s="261">
        <f t="shared" si="1"/>
        <v>1181.3072999999997</v>
      </c>
      <c r="DA4" s="261">
        <f t="shared" si="1"/>
        <v>1836.0264791304348</v>
      </c>
      <c r="DB4" s="261">
        <f t="shared" si="1"/>
        <v>25762.877933238215</v>
      </c>
      <c r="DC4" s="261">
        <f t="shared" si="1"/>
        <v>22704.088860000003</v>
      </c>
      <c r="DD4" s="261">
        <f t="shared" si="1"/>
        <v>26346.12977093162</v>
      </c>
      <c r="DE4" s="261">
        <f t="shared" si="1"/>
        <v>26121.776170000008</v>
      </c>
      <c r="DF4" s="261">
        <f t="shared" si="1"/>
        <v>28202.28397003841</v>
      </c>
      <c r="DG4" s="261">
        <f t="shared" si="1"/>
        <v>23593.154730000009</v>
      </c>
      <c r="DH4" s="261">
        <f t="shared" si="1"/>
        <v>28311.785676000018</v>
      </c>
      <c r="DI4" s="261">
        <f t="shared" si="1"/>
        <v>28486.818812173911</v>
      </c>
      <c r="DJ4" s="261">
        <f t="shared" si="1"/>
        <v>4069.9439114626839</v>
      </c>
      <c r="DK4" s="261">
        <f t="shared" si="1"/>
        <v>5162.1812000000027</v>
      </c>
      <c r="DL4" s="261">
        <f t="shared" si="1"/>
        <v>5254.4790856967402</v>
      </c>
      <c r="DM4" s="261">
        <f t="shared" si="1"/>
        <v>6246.1736100000026</v>
      </c>
      <c r="DN4" s="261">
        <f t="shared" si="1"/>
        <v>6296.675367408825</v>
      </c>
      <c r="DO4" s="261">
        <f t="shared" si="1"/>
        <v>4448.3621100000018</v>
      </c>
      <c r="DP4" s="261">
        <f t="shared" si="1"/>
        <v>5338.0345320000015</v>
      </c>
      <c r="DQ4" s="261">
        <f t="shared" si="1"/>
        <v>6262.2801156521764</v>
      </c>
      <c r="DR4" s="261">
        <f t="shared" si="1"/>
        <v>51667.943265088616</v>
      </c>
      <c r="DS4" s="261">
        <f t="shared" si="1"/>
        <v>51609.305150000015</v>
      </c>
      <c r="DT4" s="261">
        <f t="shared" si="1"/>
        <v>61717.031293134918</v>
      </c>
      <c r="DU4" s="261">
        <f t="shared" si="1"/>
        <v>61850.022320000033</v>
      </c>
      <c r="DV4" s="261">
        <f t="shared" si="1"/>
        <v>62281.560850440204</v>
      </c>
      <c r="DW4" s="261">
        <f t="shared" si="1"/>
        <v>52063.792880000008</v>
      </c>
      <c r="DX4" s="261">
        <f t="shared" si="1"/>
        <v>62476.551456000001</v>
      </c>
      <c r="DY4" s="261">
        <f t="shared" si="1"/>
        <v>57817.937388695653</v>
      </c>
      <c r="DZ4" s="261">
        <f t="shared" si="1"/>
        <v>145526.29952940196</v>
      </c>
      <c r="EA4" s="261">
        <f t="shared" ref="EA4:GL4" si="2">SUM(EA5:EA23)</f>
        <v>151433.44656000004</v>
      </c>
      <c r="EB4" s="261">
        <f t="shared" si="2"/>
        <v>166368.52707675056</v>
      </c>
      <c r="EC4" s="261">
        <f t="shared" si="2"/>
        <v>166792.29347000012</v>
      </c>
      <c r="ED4" s="261">
        <f t="shared" si="2"/>
        <v>189231.12674580308</v>
      </c>
      <c r="EE4" s="261">
        <f t="shared" si="2"/>
        <v>166117.60629000003</v>
      </c>
      <c r="EF4" s="261">
        <f t="shared" si="2"/>
        <v>199341.12754800002</v>
      </c>
      <c r="EG4" s="308">
        <f t="shared" si="2"/>
        <v>199039.03319217393</v>
      </c>
      <c r="EH4" s="261">
        <f t="shared" si="2"/>
        <v>2651.5172677921846</v>
      </c>
      <c r="EI4" s="261">
        <f t="shared" si="2"/>
        <v>2382.5447099999978</v>
      </c>
      <c r="EJ4" s="261">
        <f t="shared" si="2"/>
        <v>2390.4720395999257</v>
      </c>
      <c r="EK4" s="261">
        <f t="shared" si="2"/>
        <v>2101.7466599999998</v>
      </c>
      <c r="EL4" s="261">
        <f t="shared" si="2"/>
        <v>2284.1239171825673</v>
      </c>
      <c r="EM4" s="261">
        <f t="shared" si="2"/>
        <v>1778.969699999999</v>
      </c>
      <c r="EN4" s="261">
        <f t="shared" si="2"/>
        <v>2134.7636399999992</v>
      </c>
      <c r="EO4" s="261">
        <f t="shared" si="2"/>
        <v>2284.3663704347823</v>
      </c>
      <c r="EP4" s="261">
        <f t="shared" si="2"/>
        <v>1004.8530813893741</v>
      </c>
      <c r="EQ4" s="261">
        <f t="shared" si="2"/>
        <v>582.44007999999792</v>
      </c>
      <c r="ER4" s="261">
        <f t="shared" si="2"/>
        <v>799.04018947147995</v>
      </c>
      <c r="ES4" s="261">
        <f t="shared" si="2"/>
        <v>545.49551999999994</v>
      </c>
      <c r="ET4" s="261">
        <f t="shared" si="2"/>
        <v>668.61019232655701</v>
      </c>
      <c r="EU4" s="261">
        <f t="shared" si="2"/>
        <v>415.61386999999996</v>
      </c>
      <c r="EV4" s="261">
        <f t="shared" si="2"/>
        <v>498.73664399999996</v>
      </c>
      <c r="EW4" s="261">
        <f t="shared" si="2"/>
        <v>668.77832347826086</v>
      </c>
      <c r="EX4" s="261">
        <f t="shared" si="2"/>
        <v>17590.457825223766</v>
      </c>
      <c r="EY4" s="261">
        <f t="shared" si="2"/>
        <v>17750.62877000001</v>
      </c>
      <c r="EZ4" s="261">
        <f t="shared" si="2"/>
        <v>20996.352534281628</v>
      </c>
      <c r="FA4" s="261">
        <f t="shared" si="2"/>
        <v>21449.514160000013</v>
      </c>
      <c r="FB4" s="261">
        <f t="shared" si="2"/>
        <v>21416.065522738143</v>
      </c>
      <c r="FC4" s="261">
        <f t="shared" si="2"/>
        <v>18826.803929999998</v>
      </c>
      <c r="FD4" s="261">
        <f t="shared" si="2"/>
        <v>22592.164715999999</v>
      </c>
      <c r="FE4" s="261">
        <f t="shared" si="2"/>
        <v>22658.363039130436</v>
      </c>
      <c r="FF4" s="261">
        <f t="shared" si="2"/>
        <v>199969.47207707367</v>
      </c>
      <c r="FG4" s="261">
        <f t="shared" si="2"/>
        <v>200203.93472000005</v>
      </c>
      <c r="FH4" s="261">
        <f t="shared" si="2"/>
        <v>192505.33920790421</v>
      </c>
      <c r="FI4" s="261">
        <f t="shared" si="2"/>
        <v>207718.03494000019</v>
      </c>
      <c r="FJ4" s="261">
        <f t="shared" si="2"/>
        <v>244183.6711173291</v>
      </c>
      <c r="FK4" s="261">
        <f t="shared" si="2"/>
        <v>197347.67241</v>
      </c>
      <c r="FL4" s="261">
        <f t="shared" si="2"/>
        <v>236817.20689199996</v>
      </c>
      <c r="FM4" s="261">
        <f t="shared" si="2"/>
        <v>238358.47677304348</v>
      </c>
      <c r="FN4" s="261">
        <f t="shared" si="2"/>
        <v>43520.362623726614</v>
      </c>
      <c r="FO4" s="261">
        <f t="shared" si="2"/>
        <v>38788.165110000002</v>
      </c>
      <c r="FP4" s="261">
        <f t="shared" si="2"/>
        <v>41812.382230652183</v>
      </c>
      <c r="FQ4" s="261">
        <f t="shared" si="2"/>
        <v>36707.765070000016</v>
      </c>
      <c r="FR4" s="261">
        <f t="shared" si="2"/>
        <v>37462.587934191011</v>
      </c>
      <c r="FS4" s="261">
        <f t="shared" si="2"/>
        <v>28126.113470000004</v>
      </c>
      <c r="FT4" s="261">
        <f t="shared" si="2"/>
        <v>33751.336164</v>
      </c>
      <c r="FU4" s="261">
        <f t="shared" si="2"/>
        <v>33308.937138260881</v>
      </c>
      <c r="FV4" s="261">
        <f t="shared" si="2"/>
        <v>249.999741770605</v>
      </c>
      <c r="FW4" s="261">
        <f t="shared" si="2"/>
        <v>276.32427000000001</v>
      </c>
      <c r="FX4" s="261">
        <f t="shared" si="2"/>
        <v>275.76606941463297</v>
      </c>
      <c r="FY4" s="261">
        <f t="shared" si="2"/>
        <v>294.83588000000003</v>
      </c>
      <c r="FZ4" s="261">
        <f t="shared" si="2"/>
        <v>305.37575845912602</v>
      </c>
      <c r="GA4" s="261">
        <f t="shared" si="2"/>
        <v>241.31862999999998</v>
      </c>
      <c r="GB4" s="261">
        <f t="shared" si="2"/>
        <v>289.582356</v>
      </c>
      <c r="GC4" s="261">
        <f t="shared" si="2"/>
        <v>305.01692869565215</v>
      </c>
      <c r="GD4" s="261">
        <f t="shared" si="2"/>
        <v>949.37408677033511</v>
      </c>
      <c r="GE4" s="261">
        <f t="shared" si="2"/>
        <v>1364.8293999999971</v>
      </c>
      <c r="GF4" s="261">
        <f t="shared" si="2"/>
        <v>1192.774210955612</v>
      </c>
      <c r="GG4" s="261">
        <f t="shared" si="2"/>
        <v>1148.7544400000002</v>
      </c>
      <c r="GH4" s="261">
        <f t="shared" si="2"/>
        <v>1293.2672434262261</v>
      </c>
      <c r="GI4" s="261">
        <f t="shared" si="2"/>
        <v>1176.73937</v>
      </c>
      <c r="GJ4" s="261">
        <f t="shared" si="2"/>
        <v>1412.0872440000001</v>
      </c>
      <c r="GK4" s="308">
        <f t="shared" si="2"/>
        <v>1292.8085947826085</v>
      </c>
      <c r="GL4" s="261">
        <f t="shared" si="2"/>
        <v>658.83172433165112</v>
      </c>
      <c r="GM4" s="261">
        <f t="shared" ref="GM4:IX4" si="3">SUM(GM5:GM23)</f>
        <v>508.25792000000001</v>
      </c>
      <c r="GN4" s="261">
        <f t="shared" si="3"/>
        <v>600.41387844266615</v>
      </c>
      <c r="GO4" s="261">
        <f t="shared" si="3"/>
        <v>603.35126000000002</v>
      </c>
      <c r="GP4" s="261">
        <f t="shared" si="3"/>
        <v>599.26240064180593</v>
      </c>
      <c r="GQ4" s="261">
        <f t="shared" si="3"/>
        <v>362.89407999999997</v>
      </c>
      <c r="GR4" s="261">
        <f t="shared" si="3"/>
        <v>435.47289599999993</v>
      </c>
      <c r="GS4" s="309">
        <f t="shared" si="3"/>
        <v>899.11859652173905</v>
      </c>
      <c r="GT4" s="261">
        <f t="shared" si="3"/>
        <v>15.422640104956001</v>
      </c>
      <c r="GU4" s="261">
        <f t="shared" si="3"/>
        <v>3.5531899999990002</v>
      </c>
      <c r="GV4" s="261">
        <f t="shared" si="3"/>
        <v>3.4716136342780004</v>
      </c>
      <c r="GW4" s="261">
        <f t="shared" si="3"/>
        <v>1.6068500000000001</v>
      </c>
      <c r="GX4" s="261">
        <f t="shared" si="3"/>
        <v>7</v>
      </c>
      <c r="GY4" s="261">
        <f t="shared" si="3"/>
        <v>8.8179400000000001</v>
      </c>
      <c r="GZ4" s="261">
        <f t="shared" si="3"/>
        <v>10.581528</v>
      </c>
      <c r="HA4" s="261">
        <f t="shared" si="3"/>
        <v>13.536986956521739</v>
      </c>
      <c r="HB4" s="261">
        <f t="shared" si="3"/>
        <v>88.444601140075008</v>
      </c>
      <c r="HC4" s="261">
        <f t="shared" si="3"/>
        <v>94.99915999999898</v>
      </c>
      <c r="HD4" s="261">
        <f t="shared" si="3"/>
        <v>93.808699516829989</v>
      </c>
      <c r="HE4" s="261">
        <f t="shared" si="3"/>
        <v>62.504669999999997</v>
      </c>
      <c r="HF4" s="261">
        <f t="shared" si="3"/>
        <v>60.981866140010993</v>
      </c>
      <c r="HG4" s="261">
        <f t="shared" si="3"/>
        <v>22.07751</v>
      </c>
      <c r="HH4" s="261">
        <f t="shared" si="3"/>
        <v>26.493012</v>
      </c>
      <c r="HI4" s="261">
        <f t="shared" si="3"/>
        <v>60.787075652173904</v>
      </c>
      <c r="HJ4" s="261">
        <f t="shared" si="3"/>
        <v>148.2851352525</v>
      </c>
      <c r="HK4" s="261">
        <f t="shared" si="3"/>
        <v>143.63378</v>
      </c>
      <c r="HL4" s="261">
        <f t="shared" si="3"/>
        <v>144.05913413108598</v>
      </c>
      <c r="HM4" s="261">
        <f t="shared" si="3"/>
        <v>145.99009999999998</v>
      </c>
      <c r="HN4" s="261">
        <f t="shared" si="3"/>
        <v>187.64416680688598</v>
      </c>
      <c r="HO4" s="261">
        <f t="shared" si="3"/>
        <v>137.59555</v>
      </c>
      <c r="HP4" s="261">
        <f t="shared" si="3"/>
        <v>165.11466000000001</v>
      </c>
      <c r="HQ4" s="261">
        <f t="shared" si="3"/>
        <v>187.64270434782605</v>
      </c>
      <c r="HR4" s="261">
        <f t="shared" si="3"/>
        <v>2716.2425378017697</v>
      </c>
      <c r="HS4" s="261">
        <f t="shared" si="3"/>
        <v>2573.1899599999979</v>
      </c>
      <c r="HT4" s="261">
        <f t="shared" si="3"/>
        <v>2475.9927976143081</v>
      </c>
      <c r="HU4" s="261">
        <f t="shared" si="3"/>
        <v>2415.1981400000013</v>
      </c>
      <c r="HV4" s="261">
        <f t="shared" si="3"/>
        <v>2372.6410353734736</v>
      </c>
      <c r="HW4" s="261">
        <f t="shared" si="3"/>
        <v>1935.289390000001</v>
      </c>
      <c r="HX4" s="261">
        <f t="shared" si="3"/>
        <v>2322.3472680000013</v>
      </c>
      <c r="HY4" s="261">
        <f t="shared" si="3"/>
        <v>2372.5783704347841</v>
      </c>
      <c r="HZ4" s="261">
        <f t="shared" si="3"/>
        <v>3010.5380421380419</v>
      </c>
      <c r="IA4" s="261">
        <f t="shared" si="3"/>
        <v>2170.3891799999956</v>
      </c>
      <c r="IB4" s="261">
        <f t="shared" si="3"/>
        <v>2256.4181957413962</v>
      </c>
      <c r="IC4" s="261">
        <f t="shared" si="3"/>
        <v>1959.9811700000002</v>
      </c>
      <c r="ID4" s="261">
        <f t="shared" si="3"/>
        <v>2160.5350720225433</v>
      </c>
      <c r="IE4" s="261">
        <f t="shared" si="3"/>
        <v>1680.1430800000001</v>
      </c>
      <c r="IF4" s="261">
        <f t="shared" si="3"/>
        <v>2016.1716959999999</v>
      </c>
      <c r="IG4" s="261">
        <f t="shared" si="3"/>
        <v>2161.3054408695652</v>
      </c>
      <c r="IH4" s="261">
        <f t="shared" si="3"/>
        <v>237701.1584491267</v>
      </c>
      <c r="II4" s="261">
        <f t="shared" si="3"/>
        <v>253016.68196000016</v>
      </c>
      <c r="IJ4" s="261">
        <f t="shared" si="3"/>
        <v>276463.24008019781</v>
      </c>
      <c r="IK4" s="261">
        <f t="shared" si="3"/>
        <v>289971.1824500002</v>
      </c>
      <c r="IL4" s="261">
        <f t="shared" si="3"/>
        <v>326335.66851511493</v>
      </c>
      <c r="IM4" s="261">
        <f t="shared" si="3"/>
        <v>263652.19675999996</v>
      </c>
      <c r="IN4" s="261">
        <f t="shared" si="3"/>
        <v>316382.63611200004</v>
      </c>
      <c r="IO4" s="310">
        <f t="shared" si="3"/>
        <v>337188.71720956522</v>
      </c>
      <c r="IP4" s="261">
        <f t="shared" si="3"/>
        <v>20.047773080696</v>
      </c>
      <c r="IQ4" s="261">
        <f t="shared" si="3"/>
        <v>34.408139999997999</v>
      </c>
      <c r="IR4" s="261">
        <f t="shared" si="3"/>
        <v>34.269809656736996</v>
      </c>
      <c r="IS4" s="261">
        <f t="shared" si="3"/>
        <v>10.291</v>
      </c>
      <c r="IT4" s="261">
        <f t="shared" si="3"/>
        <v>19.130477605907998</v>
      </c>
      <c r="IU4" s="261">
        <f t="shared" si="3"/>
        <v>6.3910200000000001</v>
      </c>
      <c r="IV4" s="261">
        <f t="shared" si="3"/>
        <v>7.6692240000000007</v>
      </c>
      <c r="IW4" s="261">
        <f t="shared" si="3"/>
        <v>18.843565217391305</v>
      </c>
      <c r="IX4" s="261">
        <f t="shared" si="3"/>
        <v>11575.422149614978</v>
      </c>
      <c r="IY4" s="261">
        <f t="shared" ref="IY4:LJ4" si="4">SUM(IY5:IY23)</f>
        <v>11862.524670000004</v>
      </c>
      <c r="IZ4" s="261">
        <f t="shared" si="4"/>
        <v>13184.80318224785</v>
      </c>
      <c r="JA4" s="261">
        <f t="shared" si="4"/>
        <v>12598.812550000006</v>
      </c>
      <c r="JB4" s="261">
        <f t="shared" si="4"/>
        <v>11869.017169451847</v>
      </c>
      <c r="JC4" s="261">
        <f t="shared" si="4"/>
        <v>10209.071080000003</v>
      </c>
      <c r="JD4" s="261">
        <f t="shared" si="4"/>
        <v>12250.885296000002</v>
      </c>
      <c r="JE4" s="310">
        <f t="shared" si="4"/>
        <v>11869.038091304354</v>
      </c>
      <c r="JF4" s="261">
        <f t="shared" si="4"/>
        <v>291.99944385508098</v>
      </c>
      <c r="JG4" s="261">
        <f t="shared" si="4"/>
        <v>198.51465999999996</v>
      </c>
      <c r="JH4" s="261">
        <f t="shared" si="4"/>
        <v>198.66503300038099</v>
      </c>
      <c r="JI4" s="261">
        <f t="shared" si="4"/>
        <v>140.34773999999999</v>
      </c>
      <c r="JJ4" s="261">
        <f t="shared" si="4"/>
        <v>190.34825217880399</v>
      </c>
      <c r="JK4" s="261">
        <f t="shared" si="4"/>
        <v>66.833510000000004</v>
      </c>
      <c r="JL4" s="261">
        <f t="shared" si="4"/>
        <v>80.200211999999993</v>
      </c>
      <c r="JM4" s="261">
        <f t="shared" si="4"/>
        <v>190.24566434782608</v>
      </c>
      <c r="JN4" s="261">
        <f t="shared" si="4"/>
        <v>0</v>
      </c>
      <c r="JO4" s="261">
        <f t="shared" si="4"/>
        <v>0.47911999999999999</v>
      </c>
      <c r="JP4" s="261">
        <f t="shared" si="4"/>
        <v>0.47948292892299998</v>
      </c>
      <c r="JQ4" s="261">
        <f t="shared" si="4"/>
        <v>0</v>
      </c>
      <c r="JR4" s="261">
        <f t="shared" si="4"/>
        <v>0</v>
      </c>
      <c r="JS4" s="261">
        <f t="shared" si="4"/>
        <v>0.33857999999999999</v>
      </c>
      <c r="JT4" s="261">
        <f t="shared" si="4"/>
        <v>0.40629599999999999</v>
      </c>
      <c r="JU4" s="261">
        <f t="shared" si="4"/>
        <v>0</v>
      </c>
      <c r="JV4" s="261">
        <f t="shared" si="4"/>
        <v>292.22533541316807</v>
      </c>
      <c r="JW4" s="261">
        <f t="shared" si="4"/>
        <v>206.62717000000001</v>
      </c>
      <c r="JX4" s="261">
        <f t="shared" si="4"/>
        <v>206.64481159169401</v>
      </c>
      <c r="JY4" s="261">
        <f t="shared" si="4"/>
        <v>137.04434999999998</v>
      </c>
      <c r="JZ4" s="261">
        <f t="shared" si="4"/>
        <v>195.13087158028301</v>
      </c>
      <c r="KA4" s="261">
        <f t="shared" si="4"/>
        <v>95.769860000000008</v>
      </c>
      <c r="KB4" s="261">
        <f t="shared" si="4"/>
        <v>114.92383200000002</v>
      </c>
      <c r="KC4" s="261">
        <f t="shared" si="4"/>
        <v>195.08589999999998</v>
      </c>
      <c r="KD4" s="261">
        <f t="shared" si="4"/>
        <v>54.188132448729</v>
      </c>
      <c r="KE4" s="261">
        <f t="shared" si="4"/>
        <v>40.844390000000004</v>
      </c>
      <c r="KF4" s="261">
        <f t="shared" si="4"/>
        <v>40.857189455968005</v>
      </c>
      <c r="KG4" s="261">
        <f t="shared" si="4"/>
        <v>13.706059999999999</v>
      </c>
      <c r="KH4" s="261">
        <f t="shared" si="4"/>
        <v>28.695716408865</v>
      </c>
      <c r="KI4" s="261">
        <f t="shared" si="4"/>
        <v>11.16845</v>
      </c>
      <c r="KJ4" s="261">
        <f t="shared" si="4"/>
        <v>13.402139999999999</v>
      </c>
      <c r="KK4" s="261">
        <f t="shared" si="4"/>
        <v>29.110144347826086</v>
      </c>
      <c r="KL4" s="261">
        <f t="shared" si="4"/>
        <v>0</v>
      </c>
      <c r="KM4" s="261">
        <f t="shared" si="4"/>
        <v>0.56330000000000002</v>
      </c>
      <c r="KN4" s="261">
        <f t="shared" si="4"/>
        <v>0.56372669448699997</v>
      </c>
      <c r="KO4" s="261">
        <f t="shared" si="4"/>
        <v>0</v>
      </c>
      <c r="KP4" s="261">
        <f t="shared" si="4"/>
        <v>1</v>
      </c>
      <c r="KQ4" s="261">
        <f t="shared" si="4"/>
        <v>0.75165000000000004</v>
      </c>
      <c r="KR4" s="261">
        <f t="shared" si="4"/>
        <v>0.90198000000000012</v>
      </c>
      <c r="KS4" s="261">
        <f t="shared" si="4"/>
        <v>1</v>
      </c>
      <c r="KT4" s="261">
        <f t="shared" si="4"/>
        <v>49.458271022384999</v>
      </c>
      <c r="KU4" s="261">
        <f t="shared" si="4"/>
        <v>58.353019999999994</v>
      </c>
      <c r="KV4" s="261">
        <f t="shared" si="4"/>
        <v>56.910186602358003</v>
      </c>
      <c r="KW4" s="261">
        <f t="shared" si="4"/>
        <v>59.827540000000006</v>
      </c>
      <c r="KX4" s="261">
        <f t="shared" si="4"/>
        <v>59.392721637415001</v>
      </c>
      <c r="KY4" s="261">
        <f t="shared" si="4"/>
        <v>30.686870000000003</v>
      </c>
      <c r="KZ4" s="261">
        <f t="shared" si="4"/>
        <v>36.824244</v>
      </c>
      <c r="LA4" s="261">
        <f t="shared" si="4"/>
        <v>59.22634260869566</v>
      </c>
      <c r="LB4" s="261">
        <f t="shared" si="4"/>
        <v>79.537355494208995</v>
      </c>
      <c r="LC4" s="261">
        <f t="shared" si="4"/>
        <v>66.58775</v>
      </c>
      <c r="LD4" s="261">
        <f t="shared" si="4"/>
        <v>63.863423699294003</v>
      </c>
      <c r="LE4" s="261">
        <f t="shared" si="4"/>
        <v>30.443550000000002</v>
      </c>
      <c r="LF4" s="261">
        <f t="shared" si="4"/>
        <v>24.869670559808</v>
      </c>
      <c r="LG4" s="261">
        <f t="shared" si="4"/>
        <v>11.23354</v>
      </c>
      <c r="LH4" s="261">
        <f t="shared" si="4"/>
        <v>13.480248000000001</v>
      </c>
      <c r="LI4" s="261">
        <f t="shared" si="4"/>
        <v>25.119917391304352</v>
      </c>
      <c r="LJ4" s="261">
        <f t="shared" si="4"/>
        <v>95.96184865861801</v>
      </c>
      <c r="LK4" s="261">
        <f t="shared" ref="LK4:NV4" si="5">SUM(LK5:LK23)</f>
        <v>109.81611999999902</v>
      </c>
      <c r="LL4" s="261">
        <f t="shared" si="5"/>
        <v>104.16972258064702</v>
      </c>
      <c r="LM4" s="261">
        <f t="shared" si="5"/>
        <v>67.659490000000005</v>
      </c>
      <c r="LN4" s="261">
        <f t="shared" si="5"/>
        <v>70.000708421111995</v>
      </c>
      <c r="LO4" s="261">
        <f t="shared" si="5"/>
        <v>27.393510000000003</v>
      </c>
      <c r="LP4" s="261">
        <f t="shared" si="5"/>
        <v>32.872212000000005</v>
      </c>
      <c r="LQ4" s="261">
        <f t="shared" si="5"/>
        <v>69.717773043478246</v>
      </c>
      <c r="LR4" s="261">
        <f t="shared" si="5"/>
        <v>0</v>
      </c>
      <c r="LS4" s="261">
        <f t="shared" si="5"/>
        <v>0</v>
      </c>
      <c r="LT4" s="261">
        <f t="shared" si="5"/>
        <v>0</v>
      </c>
      <c r="LU4" s="261">
        <f t="shared" si="5"/>
        <v>0</v>
      </c>
      <c r="LV4" s="261">
        <f t="shared" si="5"/>
        <v>0</v>
      </c>
      <c r="LW4" s="261">
        <f t="shared" si="5"/>
        <v>0</v>
      </c>
      <c r="LX4" s="261">
        <f t="shared" si="5"/>
        <v>0</v>
      </c>
      <c r="LY4" s="261">
        <f t="shared" si="5"/>
        <v>0</v>
      </c>
      <c r="LZ4" s="261">
        <f t="shared" si="5"/>
        <v>0</v>
      </c>
      <c r="MA4" s="261">
        <f t="shared" si="5"/>
        <v>0</v>
      </c>
      <c r="MB4" s="261">
        <f t="shared" si="5"/>
        <v>0</v>
      </c>
      <c r="MC4" s="261">
        <f t="shared" si="5"/>
        <v>0</v>
      </c>
      <c r="MD4" s="261">
        <f t="shared" si="5"/>
        <v>922.51039294609893</v>
      </c>
      <c r="ME4" s="261">
        <f t="shared" si="5"/>
        <v>901.55295999999794</v>
      </c>
      <c r="MF4" s="261">
        <f t="shared" si="5"/>
        <v>893.80586841480795</v>
      </c>
      <c r="MG4" s="261">
        <f t="shared" si="5"/>
        <v>917.9118299999999</v>
      </c>
      <c r="MH4" s="261">
        <f t="shared" si="5"/>
        <v>910.58117658722597</v>
      </c>
      <c r="MI4" s="261">
        <f t="shared" si="5"/>
        <v>756.14254000000005</v>
      </c>
      <c r="MJ4" s="261">
        <f t="shared" si="5"/>
        <v>907.37104800000009</v>
      </c>
      <c r="MK4" s="261">
        <f t="shared" si="5"/>
        <v>911.00261999999998</v>
      </c>
      <c r="ML4" s="261">
        <f t="shared" si="5"/>
        <v>926.30322298167505</v>
      </c>
      <c r="MM4" s="261">
        <f t="shared" si="5"/>
        <v>-366.80894000000177</v>
      </c>
      <c r="MN4" s="261">
        <f t="shared" si="5"/>
        <v>40.203173516315999</v>
      </c>
      <c r="MO4" s="261">
        <f t="shared" si="5"/>
        <v>-544.39222000000291</v>
      </c>
      <c r="MP4" s="261">
        <f t="shared" si="5"/>
        <v>76.607109480421997</v>
      </c>
      <c r="MQ4" s="261">
        <f t="shared" si="5"/>
        <v>-16.532670000000003</v>
      </c>
      <c r="MR4" s="261">
        <f t="shared" si="5"/>
        <v>-19.839204000000009</v>
      </c>
      <c r="MS4" s="261">
        <f t="shared" si="5"/>
        <v>77.259006956521731</v>
      </c>
      <c r="MT4" s="261">
        <f t="shared" si="5"/>
        <v>7908.7475143914653</v>
      </c>
      <c r="MU4" s="261">
        <f t="shared" si="5"/>
        <v>8142.802099999999</v>
      </c>
      <c r="MV4" s="261">
        <f t="shared" si="5"/>
        <v>7914.8353796832835</v>
      </c>
      <c r="MW4" s="261">
        <f t="shared" si="5"/>
        <v>8006.6597000000011</v>
      </c>
      <c r="MX4" s="261">
        <f t="shared" si="5"/>
        <v>7733.9023882869478</v>
      </c>
      <c r="MY4" s="261">
        <f t="shared" si="5"/>
        <v>6812.4308699999992</v>
      </c>
      <c r="MZ4" s="261">
        <f t="shared" si="5"/>
        <v>8174.9170440000007</v>
      </c>
      <c r="NA4" s="310">
        <f t="shared" si="5"/>
        <v>7734.1072130434795</v>
      </c>
      <c r="NB4" s="261">
        <f t="shared" si="5"/>
        <v>0</v>
      </c>
      <c r="NC4" s="261">
        <f t="shared" si="5"/>
        <v>0</v>
      </c>
      <c r="ND4" s="261">
        <f t="shared" si="5"/>
        <v>0</v>
      </c>
      <c r="NE4" s="261">
        <f t="shared" si="5"/>
        <v>0</v>
      </c>
      <c r="NF4" s="261">
        <f t="shared" si="5"/>
        <v>0</v>
      </c>
      <c r="NG4" s="261">
        <f t="shared" si="5"/>
        <v>0.77005000000000001</v>
      </c>
      <c r="NH4" s="261">
        <f t="shared" si="5"/>
        <v>0.77063330568099997</v>
      </c>
      <c r="NI4" s="261">
        <f t="shared" si="5"/>
        <v>0</v>
      </c>
      <c r="NJ4" s="261">
        <f t="shared" si="5"/>
        <v>0</v>
      </c>
      <c r="NK4" s="261">
        <f t="shared" si="5"/>
        <v>0.40909000000000001</v>
      </c>
      <c r="NL4" s="261">
        <f t="shared" si="5"/>
        <v>0.49090800000000001</v>
      </c>
      <c r="NM4" s="261">
        <f t="shared" si="5"/>
        <v>1</v>
      </c>
      <c r="NN4" s="261">
        <f t="shared" si="5"/>
        <v>71.951522474911997</v>
      </c>
      <c r="NO4" s="261">
        <f t="shared" si="5"/>
        <v>57.249229999999002</v>
      </c>
      <c r="NP4" s="261">
        <f t="shared" si="5"/>
        <v>57.292595756887998</v>
      </c>
      <c r="NQ4" s="261">
        <f t="shared" si="5"/>
        <v>55.505649999999989</v>
      </c>
      <c r="NR4" s="261">
        <f t="shared" si="5"/>
        <v>54.521861176843004</v>
      </c>
      <c r="NS4" s="261">
        <f t="shared" si="5"/>
        <v>49.485009999999996</v>
      </c>
      <c r="NT4" s="261">
        <f t="shared" si="5"/>
        <v>59.382011999999989</v>
      </c>
      <c r="NU4" s="261">
        <f t="shared" si="5"/>
        <v>55.092360869565205</v>
      </c>
      <c r="NV4" s="261">
        <f t="shared" si="5"/>
        <v>0</v>
      </c>
      <c r="NW4" s="261">
        <f t="shared" ref="NW4:QH4" si="6">SUM(NW5:NW23)</f>
        <v>0</v>
      </c>
      <c r="NX4" s="261">
        <f t="shared" si="6"/>
        <v>0</v>
      </c>
      <c r="NY4" s="261">
        <f t="shared" si="6"/>
        <v>0</v>
      </c>
      <c r="NZ4" s="261">
        <f t="shared" si="6"/>
        <v>0</v>
      </c>
      <c r="OA4" s="261">
        <f t="shared" si="6"/>
        <v>0</v>
      </c>
      <c r="OB4" s="261">
        <f t="shared" si="6"/>
        <v>0</v>
      </c>
      <c r="OC4" s="261">
        <f t="shared" si="6"/>
        <v>0</v>
      </c>
      <c r="OD4" s="261">
        <f t="shared" si="6"/>
        <v>7593.9190081377792</v>
      </c>
      <c r="OE4" s="261">
        <f t="shared" si="6"/>
        <v>7492.7530600000009</v>
      </c>
      <c r="OF4" s="261">
        <f t="shared" si="6"/>
        <v>7614.1855086365085</v>
      </c>
      <c r="OG4" s="261">
        <f t="shared" si="6"/>
        <v>7775.2173500000017</v>
      </c>
      <c r="OH4" s="261">
        <f t="shared" si="6"/>
        <v>8278.696501461618</v>
      </c>
      <c r="OI4" s="261">
        <f t="shared" si="6"/>
        <v>7088.6948000000002</v>
      </c>
      <c r="OJ4" s="261">
        <f t="shared" si="6"/>
        <v>8506.4337600000017</v>
      </c>
      <c r="OK4" s="310">
        <f t="shared" si="6"/>
        <v>8279.4749965217397</v>
      </c>
      <c r="OL4" s="261">
        <f t="shared" si="6"/>
        <v>1879.164523784646</v>
      </c>
      <c r="OM4" s="261">
        <f t="shared" si="6"/>
        <v>1798.1791099999969</v>
      </c>
      <c r="ON4" s="261">
        <f t="shared" si="6"/>
        <v>1780.546586813972</v>
      </c>
      <c r="OO4" s="261">
        <f t="shared" si="6"/>
        <v>1972.5050299999991</v>
      </c>
      <c r="OP4" s="261">
        <f t="shared" si="6"/>
        <v>1913.6369770211959</v>
      </c>
      <c r="OQ4" s="261">
        <f t="shared" si="6"/>
        <v>1632.99371</v>
      </c>
      <c r="OR4" s="261">
        <f t="shared" si="6"/>
        <v>1959.5924520000001</v>
      </c>
      <c r="OS4" s="261">
        <f t="shared" si="6"/>
        <v>1913.5379608695644</v>
      </c>
      <c r="OT4" s="261">
        <f t="shared" si="6"/>
        <v>0</v>
      </c>
      <c r="OU4" s="261">
        <f t="shared" si="6"/>
        <v>355.75200000000103</v>
      </c>
      <c r="OV4" s="261">
        <f t="shared" si="6"/>
        <v>0</v>
      </c>
      <c r="OW4" s="261">
        <f t="shared" si="6"/>
        <v>26.754749999999998</v>
      </c>
      <c r="OX4" s="261">
        <f t="shared" si="6"/>
        <v>0</v>
      </c>
      <c r="OY4" s="261">
        <f t="shared" si="6"/>
        <v>0.64559999999999995</v>
      </c>
      <c r="OZ4" s="261">
        <f t="shared" si="6"/>
        <v>0.77471999999999985</v>
      </c>
      <c r="PA4" s="261">
        <f t="shared" si="6"/>
        <v>0</v>
      </c>
      <c r="PB4" s="261">
        <f t="shared" si="6"/>
        <v>0</v>
      </c>
      <c r="PC4" s="261">
        <f t="shared" si="6"/>
        <v>0</v>
      </c>
      <c r="PD4" s="261">
        <f t="shared" si="6"/>
        <v>0</v>
      </c>
      <c r="PE4" s="261">
        <f t="shared" si="6"/>
        <v>0</v>
      </c>
      <c r="PF4" s="261">
        <f t="shared" si="6"/>
        <v>0</v>
      </c>
      <c r="PG4" s="261">
        <f t="shared" si="6"/>
        <v>627.35288999999909</v>
      </c>
      <c r="PH4" s="261">
        <f t="shared" si="6"/>
        <v>0</v>
      </c>
      <c r="PI4" s="261">
        <f t="shared" si="6"/>
        <v>670.78976999999998</v>
      </c>
      <c r="PJ4" s="261">
        <f t="shared" si="6"/>
        <v>581.99998166841101</v>
      </c>
      <c r="PK4" s="261">
        <f t="shared" si="6"/>
        <v>0.39444999999999997</v>
      </c>
      <c r="PL4" s="261">
        <f t="shared" si="6"/>
        <v>0.47333999999999993</v>
      </c>
      <c r="PM4" s="261">
        <f t="shared" si="6"/>
        <v>0</v>
      </c>
      <c r="PN4" s="261">
        <f t="shared" si="6"/>
        <v>-132487.74802098735</v>
      </c>
      <c r="PO4" s="261">
        <f t="shared" si="6"/>
        <v>-86366.627250000092</v>
      </c>
      <c r="PP4" s="261">
        <f t="shared" si="6"/>
        <v>-118805.28094928263</v>
      </c>
      <c r="PQ4" s="261">
        <f t="shared" si="6"/>
        <v>-63792.622229999994</v>
      </c>
      <c r="PR4" s="261">
        <f t="shared" si="6"/>
        <v>-200642.56901757745</v>
      </c>
      <c r="PS4" s="261">
        <f t="shared" si="6"/>
        <v>-59069.310660000097</v>
      </c>
      <c r="PT4" s="261">
        <f t="shared" si="6"/>
        <v>-70883.172792000114</v>
      </c>
      <c r="PU4" s="261">
        <f t="shared" si="6"/>
        <v>-75000</v>
      </c>
      <c r="PV4" s="261">
        <f t="shared" si="6"/>
        <v>0</v>
      </c>
      <c r="PW4" s="261">
        <f t="shared" si="6"/>
        <v>0.26962000000000003</v>
      </c>
      <c r="PX4" s="261">
        <f t="shared" si="6"/>
        <v>177.317231131119</v>
      </c>
      <c r="PY4" s="261">
        <f t="shared" si="6"/>
        <v>0.10004</v>
      </c>
      <c r="PZ4" s="261">
        <f t="shared" si="6"/>
        <v>9.5690648983999996E-2</v>
      </c>
      <c r="QA4" s="261">
        <f t="shared" si="6"/>
        <v>0</v>
      </c>
      <c r="QB4" s="261">
        <f t="shared" si="6"/>
        <v>0</v>
      </c>
      <c r="QC4" s="261">
        <f t="shared" si="6"/>
        <v>0</v>
      </c>
      <c r="QD4" s="261">
        <f t="shared" si="6"/>
        <v>0</v>
      </c>
      <c r="QE4" s="261">
        <f t="shared" si="6"/>
        <v>0</v>
      </c>
      <c r="QF4" s="261">
        <f t="shared" si="6"/>
        <v>0</v>
      </c>
      <c r="QG4" s="261">
        <f t="shared" si="6"/>
        <v>0</v>
      </c>
      <c r="QH4" s="261">
        <f t="shared" si="6"/>
        <v>0</v>
      </c>
      <c r="QI4" s="261">
        <f t="shared" ref="QI4:RE4" si="7">SUM(QI5:QI23)</f>
        <v>0</v>
      </c>
      <c r="QJ4" s="261">
        <f t="shared" si="7"/>
        <v>0</v>
      </c>
      <c r="QK4" s="261">
        <f t="shared" si="7"/>
        <v>0</v>
      </c>
      <c r="QL4" s="261">
        <f t="shared" si="7"/>
        <v>1.6</v>
      </c>
      <c r="QM4" s="261">
        <f t="shared" si="7"/>
        <v>1.999955756559757E-12</v>
      </c>
      <c r="QN4" s="261">
        <f t="shared" si="7"/>
        <v>0</v>
      </c>
      <c r="QO4" s="261">
        <f t="shared" si="7"/>
        <v>0</v>
      </c>
      <c r="QP4" s="261">
        <f t="shared" si="7"/>
        <v>0</v>
      </c>
      <c r="QQ4" s="261">
        <f t="shared" si="7"/>
        <v>0</v>
      </c>
      <c r="QR4" s="261">
        <f t="shared" si="7"/>
        <v>0</v>
      </c>
      <c r="QS4" s="261">
        <f t="shared" si="7"/>
        <v>0</v>
      </c>
      <c r="QT4" s="261">
        <f t="shared" si="7"/>
        <v>0</v>
      </c>
      <c r="QU4" s="261">
        <f t="shared" si="7"/>
        <v>0</v>
      </c>
      <c r="QV4" s="261">
        <f t="shared" si="7"/>
        <v>0</v>
      </c>
      <c r="QW4" s="261">
        <f t="shared" si="7"/>
        <v>0</v>
      </c>
      <c r="QX4" s="261">
        <f t="shared" si="7"/>
        <v>0</v>
      </c>
      <c r="QY4" s="261">
        <f t="shared" si="7"/>
        <v>0</v>
      </c>
      <c r="QZ4" s="261">
        <f t="shared" si="7"/>
        <v>0</v>
      </c>
      <c r="RA4" s="261">
        <f t="shared" si="7"/>
        <v>0</v>
      </c>
      <c r="RB4" s="261">
        <f t="shared" si="7"/>
        <v>20</v>
      </c>
      <c r="RC4" s="261">
        <f t="shared" si="7"/>
        <v>6.9828000000000001</v>
      </c>
      <c r="RD4" s="261">
        <f t="shared" si="7"/>
        <v>8.3793600000000001</v>
      </c>
      <c r="RE4" s="288">
        <f t="shared" si="7"/>
        <v>0</v>
      </c>
      <c r="RF4" s="266">
        <f t="shared" ref="RF4" si="8">SUM(RF5:RF23)</f>
        <v>1019362.569553901</v>
      </c>
      <c r="RG4" s="266">
        <f t="shared" ref="RG4:RH4" si="9">SUM(RG5:RG23)</f>
        <v>947795.33878000011</v>
      </c>
      <c r="RH4" s="266">
        <f t="shared" si="9"/>
        <v>1137354.4065360003</v>
      </c>
      <c r="RI4" s="255">
        <f t="shared" ref="RI4" si="10">SUM(RI5:RI23)</f>
        <v>1156877.3922652176</v>
      </c>
    </row>
    <row r="5" spans="1:477">
      <c r="A5" s="7" t="s">
        <v>8</v>
      </c>
      <c r="B5" s="262">
        <v>4018.3857662556875</v>
      </c>
      <c r="C5" s="243">
        <v>3864.1915999999937</v>
      </c>
      <c r="D5" s="243">
        <v>3867.0107455058146</v>
      </c>
      <c r="E5" s="243">
        <v>3784.2588700000006</v>
      </c>
      <c r="F5" s="243">
        <v>3696.008273461819</v>
      </c>
      <c r="G5" s="243">
        <v>3054.7776399999998</v>
      </c>
      <c r="H5" s="254">
        <f>G5/10*12</f>
        <v>3665.7331679999998</v>
      </c>
      <c r="I5" s="243">
        <f>E5/115*110+144</f>
        <v>3763.7258756521746</v>
      </c>
      <c r="J5" s="262">
        <v>4064.5523715522859</v>
      </c>
      <c r="K5" s="243">
        <v>4435.65949</v>
      </c>
      <c r="L5" s="243">
        <v>4433.7819972624802</v>
      </c>
      <c r="M5" s="243">
        <v>4247.2655200000017</v>
      </c>
      <c r="N5" s="243">
        <v>4242.183409110552</v>
      </c>
      <c r="O5" s="243">
        <v>3338.7818899999997</v>
      </c>
      <c r="P5" s="243">
        <f>O5/10*12</f>
        <v>4006.5382679999993</v>
      </c>
      <c r="Q5" s="243">
        <f>M5/115*110+137</f>
        <v>4199.6018017391325</v>
      </c>
      <c r="R5" s="243">
        <v>23559.283527682292</v>
      </c>
      <c r="S5" s="243">
        <v>21292.069620000013</v>
      </c>
      <c r="T5" s="243">
        <v>23436.260399547591</v>
      </c>
      <c r="U5" s="243">
        <v>22211.292460000008</v>
      </c>
      <c r="V5" s="243">
        <v>20223.42273369012</v>
      </c>
      <c r="W5" s="243">
        <v>15926.002130000001</v>
      </c>
      <c r="X5" s="243">
        <f>W5/10*12</f>
        <v>19111.202556000004</v>
      </c>
      <c r="Y5" s="244">
        <f>U5/115*110-1111</f>
        <v>20134.584092173922</v>
      </c>
      <c r="Z5" s="243">
        <v>4681.991063589182</v>
      </c>
      <c r="AA5" s="243">
        <v>3935.5676499999981</v>
      </c>
      <c r="AB5" s="243">
        <v>4554.5630558486291</v>
      </c>
      <c r="AC5" s="243">
        <v>3993.33133</v>
      </c>
      <c r="AD5" s="243">
        <v>3933.2867630989354</v>
      </c>
      <c r="AE5" s="243">
        <v>2944.3243900000002</v>
      </c>
      <c r="AF5" s="243">
        <f>AE5/10*12</f>
        <v>3533.1892680000005</v>
      </c>
      <c r="AG5" s="244">
        <f>AC5/115*110-200-40</f>
        <v>3579.708228695652</v>
      </c>
      <c r="AH5" s="243">
        <v>3520.7911764056134</v>
      </c>
      <c r="AI5" s="243">
        <v>3516.1065499999995</v>
      </c>
      <c r="AJ5" s="243">
        <v>3748.533804602193</v>
      </c>
      <c r="AK5" s="243">
        <v>3807.5625399999994</v>
      </c>
      <c r="AL5" s="243">
        <v>3349.1379666782213</v>
      </c>
      <c r="AM5" s="243">
        <v>2324.9364399999999</v>
      </c>
      <c r="AN5" s="243">
        <f>AM5/10*12</f>
        <v>2789.9237279999998</v>
      </c>
      <c r="AO5" s="244">
        <f>AK5/115*110-268-35-4</f>
        <v>3335.0163426086956</v>
      </c>
      <c r="AP5" s="243">
        <v>4625.9911524481686</v>
      </c>
      <c r="AQ5" s="243">
        <v>4258.1758700000009</v>
      </c>
      <c r="AR5" s="243">
        <v>4201.0118969765608</v>
      </c>
      <c r="AS5" s="243">
        <v>4389.7611600000018</v>
      </c>
      <c r="AT5" s="243">
        <v>4208.7050733002079</v>
      </c>
      <c r="AU5" s="243">
        <v>3328.3869500000001</v>
      </c>
      <c r="AV5" s="243">
        <f>AU5/10*12</f>
        <v>3994.0643400000004</v>
      </c>
      <c r="AW5" s="243">
        <f>AS5/115*110-180+9</f>
        <v>4027.9019791304363</v>
      </c>
      <c r="AX5" s="243">
        <v>15524.970200259615</v>
      </c>
      <c r="AY5" s="243">
        <v>14670.033590000012</v>
      </c>
      <c r="AZ5" s="243">
        <v>15413.452356280011</v>
      </c>
      <c r="BA5" s="243">
        <v>14451.726280000004</v>
      </c>
      <c r="BB5" s="243">
        <v>14371.313798234076</v>
      </c>
      <c r="BC5" s="243">
        <v>12297.838840000006</v>
      </c>
      <c r="BD5" s="243">
        <f>BC5/10*12</f>
        <v>14757.406608000008</v>
      </c>
      <c r="BE5" s="243">
        <f>BA5/115*110+361+39+45+33+50</f>
        <v>14351.390354782612</v>
      </c>
      <c r="BF5" s="243">
        <v>9993.3727709444593</v>
      </c>
      <c r="BG5" s="243">
        <v>8938.94643</v>
      </c>
      <c r="BH5" s="243">
        <v>9308.9286950236274</v>
      </c>
      <c r="BI5" s="243">
        <v>7419.1493000000009</v>
      </c>
      <c r="BJ5" s="243">
        <v>7620.3498472790989</v>
      </c>
      <c r="BK5" s="243">
        <v>5689.5758700000006</v>
      </c>
      <c r="BL5" s="243">
        <f>BK5/10*12</f>
        <v>6827.4910440000012</v>
      </c>
      <c r="BM5" s="244">
        <f>BI5/115*110+595-255</f>
        <v>7436.577591304349</v>
      </c>
      <c r="BN5" s="243">
        <v>2072.8250482043477</v>
      </c>
      <c r="BO5" s="243">
        <v>1767.8064300000001</v>
      </c>
      <c r="BP5" s="243">
        <v>1743.0045547997959</v>
      </c>
      <c r="BQ5" s="243">
        <v>1535.4266600000001</v>
      </c>
      <c r="BR5" s="243">
        <v>1757.2208803653259</v>
      </c>
      <c r="BS5" s="243">
        <v>1482.3325400000001</v>
      </c>
      <c r="BT5" s="243">
        <f>BS5/10*12</f>
        <v>1778.7990480000003</v>
      </c>
      <c r="BU5" s="243">
        <f>BQ5/115*110+282+88</f>
        <v>1838.6689791304348</v>
      </c>
      <c r="BV5" s="243">
        <v>8793.5156178940506</v>
      </c>
      <c r="BW5" s="243">
        <v>8704.042300000001</v>
      </c>
      <c r="BX5" s="243">
        <v>8417.2117733768446</v>
      </c>
      <c r="BY5" s="243">
        <v>6153.5302100000026</v>
      </c>
      <c r="BZ5" s="243">
        <v>5989.1432817730129</v>
      </c>
      <c r="CA5" s="243">
        <v>5817.3508500000007</v>
      </c>
      <c r="CB5" s="243">
        <f>CA5/10*12</f>
        <v>6980.8210200000003</v>
      </c>
      <c r="CC5" s="243">
        <f>BY5/115*110-345+113+10+22+129+482+170</f>
        <v>6466.9854182608724</v>
      </c>
      <c r="CD5" s="243">
        <v>2376.4969483629584</v>
      </c>
      <c r="CE5" s="243">
        <v>2269.677109999996</v>
      </c>
      <c r="CF5" s="243">
        <v>2248.006177983043</v>
      </c>
      <c r="CG5" s="243">
        <v>2173.6648499999997</v>
      </c>
      <c r="CH5" s="243">
        <v>2175.3960620166081</v>
      </c>
      <c r="CI5" s="243">
        <v>1722.2669100000001</v>
      </c>
      <c r="CJ5" s="243">
        <f>CI5/10*12</f>
        <v>2066.720292</v>
      </c>
      <c r="CK5" s="243">
        <f>CG5/115*110</f>
        <v>2079.1576826086953</v>
      </c>
      <c r="CL5" s="243">
        <v>2110.1990957320513</v>
      </c>
      <c r="CM5" s="243">
        <v>2021.6927999999989</v>
      </c>
      <c r="CN5" s="243">
        <v>3262.7568757424028</v>
      </c>
      <c r="CO5" s="243">
        <v>2823.6842500000012</v>
      </c>
      <c r="CP5" s="243">
        <v>2577.8318573963847</v>
      </c>
      <c r="CQ5" s="243">
        <v>2155.5888500000001</v>
      </c>
      <c r="CR5" s="243">
        <f>CQ5/10*12</f>
        <v>2586.7066199999999</v>
      </c>
      <c r="CS5" s="243">
        <f>CO5/115*110-73-20-30</f>
        <v>2577.9153695652185</v>
      </c>
      <c r="CT5" s="243">
        <v>760.35225850958204</v>
      </c>
      <c r="CU5" s="243">
        <v>785.69502999999713</v>
      </c>
      <c r="CV5" s="243">
        <v>887.66223898523594</v>
      </c>
      <c r="CW5" s="243">
        <v>773.54178999999999</v>
      </c>
      <c r="CX5" s="243">
        <v>751.82776991226501</v>
      </c>
      <c r="CY5" s="243">
        <v>608.79656</v>
      </c>
      <c r="CZ5" s="243">
        <f>CY5/10*12</f>
        <v>730.55587199999991</v>
      </c>
      <c r="DA5" s="243">
        <f>CW5/115*110</f>
        <v>739.90953826086957</v>
      </c>
      <c r="DB5" s="243">
        <v>1834.3833730320969</v>
      </c>
      <c r="DC5" s="243">
        <v>1550.2600199999993</v>
      </c>
      <c r="DD5" s="243">
        <v>1555.0043268085301</v>
      </c>
      <c r="DE5" s="243">
        <v>1574.35304</v>
      </c>
      <c r="DF5" s="243">
        <v>1651.916741270333</v>
      </c>
      <c r="DG5" s="243">
        <v>1291.71711</v>
      </c>
      <c r="DH5" s="243">
        <f>DG5/10*12</f>
        <v>1550.0605320000002</v>
      </c>
      <c r="DI5" s="243">
        <f>DE5/115*110+204-35</f>
        <v>1674.9029078260869</v>
      </c>
      <c r="DJ5" s="243">
        <v>51.999900960494003</v>
      </c>
      <c r="DK5" s="243">
        <v>43.111309999999001</v>
      </c>
      <c r="DL5" s="243">
        <v>43.143966414569</v>
      </c>
      <c r="DM5" s="243">
        <v>40.505009999999999</v>
      </c>
      <c r="DN5" s="243">
        <v>140.99999555884199</v>
      </c>
      <c r="DO5" s="243">
        <v>38.375010000000003</v>
      </c>
      <c r="DP5" s="243">
        <f>DO5/10*12</f>
        <v>46.050012000000009</v>
      </c>
      <c r="DQ5" s="243">
        <f>DM5/115*110+115</f>
        <v>153.74392260869564</v>
      </c>
      <c r="DR5" s="243">
        <v>7398.1040229686059</v>
      </c>
      <c r="DS5" s="243">
        <v>7084.7127600000013</v>
      </c>
      <c r="DT5" s="243">
        <v>6982.908337087053</v>
      </c>
      <c r="DU5" s="243">
        <v>5663.9827400000049</v>
      </c>
      <c r="DV5" s="243">
        <v>6252.9825892068202</v>
      </c>
      <c r="DW5" s="243">
        <v>4125.1120999999985</v>
      </c>
      <c r="DX5" s="243">
        <f>DW5/10*12</f>
        <v>4950.1345199999978</v>
      </c>
      <c r="DY5" s="243">
        <v>-300</v>
      </c>
      <c r="DZ5" s="243">
        <v>7619.4960627221581</v>
      </c>
      <c r="EA5" s="243">
        <v>9710.9031599999998</v>
      </c>
      <c r="EB5" s="243">
        <v>9692.027558323789</v>
      </c>
      <c r="EC5" s="243">
        <v>10629.20334</v>
      </c>
      <c r="ED5" s="243">
        <v>9675.7605680005945</v>
      </c>
      <c r="EE5" s="243">
        <v>8225.5372800000023</v>
      </c>
      <c r="EF5" s="243">
        <f>EE5/10*12</f>
        <v>9870.644736000002</v>
      </c>
      <c r="EG5" s="243">
        <f>EC5/115*110-267</f>
        <v>9900.0640643478255</v>
      </c>
      <c r="EH5" s="243">
        <v>2619.1501863361623</v>
      </c>
      <c r="EI5" s="243">
        <v>2348.4894200000008</v>
      </c>
      <c r="EJ5" s="243">
        <v>2342.2682789743121</v>
      </c>
      <c r="EK5" s="243">
        <v>2073.8449499999997</v>
      </c>
      <c r="EL5" s="243">
        <v>2245.9180709338389</v>
      </c>
      <c r="EM5" s="243">
        <v>1760.7867499999988</v>
      </c>
      <c r="EN5" s="243">
        <f>EM5/10*12</f>
        <v>2112.9440999999988</v>
      </c>
      <c r="EO5" s="243">
        <f>EK5/115*110+272-3</f>
        <v>2252.6777782608692</v>
      </c>
      <c r="EP5" s="243">
        <v>1002.8653169644531</v>
      </c>
      <c r="EQ5" s="243">
        <v>582.40260999999794</v>
      </c>
      <c r="ER5" s="243">
        <v>799.00226389419993</v>
      </c>
      <c r="ES5" s="243">
        <v>545.49551999999994</v>
      </c>
      <c r="ET5" s="243">
        <v>668.61019232655701</v>
      </c>
      <c r="EU5" s="243">
        <v>415.61386999999996</v>
      </c>
      <c r="EV5" s="243">
        <f>EU5/10*12</f>
        <v>498.73664399999996</v>
      </c>
      <c r="EW5" s="243">
        <f>ES5/115*110+147</f>
        <v>668.77832347826086</v>
      </c>
      <c r="EX5" s="243">
        <v>680.00844632585699</v>
      </c>
      <c r="EY5" s="243">
        <v>689.590409999999</v>
      </c>
      <c r="EZ5" s="243">
        <v>686.11268162678107</v>
      </c>
      <c r="FA5" s="243">
        <v>682.28505999999993</v>
      </c>
      <c r="FB5" s="243">
        <v>660.00147740389593</v>
      </c>
      <c r="FC5" s="243">
        <v>598.96612000000005</v>
      </c>
      <c r="FD5" s="243">
        <f>FC5/10*12</f>
        <v>718.75934400000006</v>
      </c>
      <c r="FE5" s="272">
        <f>FA5/115*110+100+15</f>
        <v>767.62049217391291</v>
      </c>
      <c r="FF5" s="243">
        <v>61966.831770954021</v>
      </c>
      <c r="FG5" s="243">
        <v>62578.936100000014</v>
      </c>
      <c r="FH5" s="243">
        <v>31947.725689005423</v>
      </c>
      <c r="FI5" s="243">
        <v>32133.647820000027</v>
      </c>
      <c r="FJ5" s="243">
        <v>31400.472106834706</v>
      </c>
      <c r="FK5" s="243">
        <v>25778.019740000014</v>
      </c>
      <c r="FL5" s="243">
        <f>FK5/10*12</f>
        <v>30933.623688000014</v>
      </c>
      <c r="FM5" s="243">
        <f>FI5/115*110+1568-50</f>
        <v>32254.532697391329</v>
      </c>
      <c r="FN5" s="243">
        <v>208.736858692608</v>
      </c>
      <c r="FO5" s="243">
        <v>195.886699999998</v>
      </c>
      <c r="FP5" s="243">
        <v>196.03508234522999</v>
      </c>
      <c r="FQ5" s="243">
        <v>123.82053999999999</v>
      </c>
      <c r="FR5" s="243">
        <v>187.47868053791601</v>
      </c>
      <c r="FS5" s="243">
        <v>113.62884</v>
      </c>
      <c r="FT5" s="243">
        <f>FS5/10*12</f>
        <v>136.35460799999998</v>
      </c>
      <c r="FU5" s="243">
        <f>FQ5/115*110+69</f>
        <v>187.43703826086954</v>
      </c>
      <c r="FV5" s="243">
        <v>244.33301712349299</v>
      </c>
      <c r="FW5" s="243">
        <v>254.01763</v>
      </c>
      <c r="FX5" s="243">
        <v>254.21004598163501</v>
      </c>
      <c r="FY5" s="243">
        <v>249.32192000000001</v>
      </c>
      <c r="FZ5" s="243">
        <v>255.99999193662001</v>
      </c>
      <c r="GA5" s="243">
        <v>193.60939000000002</v>
      </c>
      <c r="GB5" s="243">
        <f>GA5/10*12</f>
        <v>232.33126800000002</v>
      </c>
      <c r="GC5" s="243">
        <f>FY5/115*110+23-13</f>
        <v>248.48183652173913</v>
      </c>
      <c r="GD5" s="243">
        <v>615.64879194825107</v>
      </c>
      <c r="GE5" s="243">
        <v>598.74151000000006</v>
      </c>
      <c r="GF5" s="243">
        <v>738.49206775067103</v>
      </c>
      <c r="GG5" s="243">
        <v>697.05243999999993</v>
      </c>
      <c r="GH5" s="243">
        <v>754.13254461074098</v>
      </c>
      <c r="GI5" s="243">
        <v>586.05167000000006</v>
      </c>
      <c r="GJ5" s="243">
        <f>GI5/10*12</f>
        <v>703.26200400000016</v>
      </c>
      <c r="GK5" s="243">
        <f>GG5/115*110</f>
        <v>666.7458121739129</v>
      </c>
      <c r="GL5" s="243">
        <v>595.99893711183802</v>
      </c>
      <c r="GM5" s="243">
        <v>465.56333000000001</v>
      </c>
      <c r="GN5" s="243">
        <v>556.088045407344</v>
      </c>
      <c r="GO5" s="243">
        <v>516.65332000000001</v>
      </c>
      <c r="GP5" s="243">
        <v>512.22083547060492</v>
      </c>
      <c r="GQ5" s="243">
        <v>328.16956999999996</v>
      </c>
      <c r="GR5" s="243">
        <f>GQ5/10*12</f>
        <v>393.80348399999991</v>
      </c>
      <c r="GS5" s="244">
        <f>GO5/115*110+22+271</f>
        <v>787.19013217391307</v>
      </c>
      <c r="GT5" s="243">
        <v>2.0734680508530001</v>
      </c>
      <c r="GU5" s="243">
        <v>1.6395899999990002</v>
      </c>
      <c r="GV5" s="243">
        <v>1.6408319741070001</v>
      </c>
      <c r="GW5" s="243">
        <v>1.6068500000000001</v>
      </c>
      <c r="GX5" s="243">
        <v>7</v>
      </c>
      <c r="GY5" s="243">
        <v>3.8569399999999998</v>
      </c>
      <c r="GZ5" s="243">
        <f>GY5/10*12</f>
        <v>4.6283279999999998</v>
      </c>
      <c r="HA5" s="243">
        <f>GW5/115*110+5</f>
        <v>6.5369869565217389</v>
      </c>
      <c r="HB5" s="243">
        <v>85.999838105546999</v>
      </c>
      <c r="HC5" s="243">
        <v>88.754489999998981</v>
      </c>
      <c r="HD5" s="243">
        <v>87.821719923201996</v>
      </c>
      <c r="HE5" s="243">
        <v>59.789429999999996</v>
      </c>
      <c r="HF5" s="243">
        <v>59.304480578319996</v>
      </c>
      <c r="HG5" s="243">
        <v>22.07751</v>
      </c>
      <c r="HH5" s="243">
        <f>HG5/10*12</f>
        <v>26.493012</v>
      </c>
      <c r="HI5" s="243">
        <f>HE5/115*110+2</f>
        <v>59.189889565217385</v>
      </c>
      <c r="HJ5" s="243">
        <v>117.10822703865401</v>
      </c>
      <c r="HK5" s="243">
        <v>115.86833</v>
      </c>
      <c r="HL5" s="243">
        <v>115.95609917750599</v>
      </c>
      <c r="HM5" s="243">
        <v>118.01635999999999</v>
      </c>
      <c r="HN5" s="243">
        <v>160.86234101131998</v>
      </c>
      <c r="HO5" s="243">
        <v>116.84416</v>
      </c>
      <c r="HP5" s="243">
        <f>HO5/10*12</f>
        <v>140.21299200000001</v>
      </c>
      <c r="HQ5" s="243">
        <f>HM5/115*110+48</f>
        <v>160.88521391304346</v>
      </c>
      <c r="HR5" s="243">
        <v>1956.4422272586992</v>
      </c>
      <c r="HS5" s="243">
        <v>1841.3282299999998</v>
      </c>
      <c r="HT5" s="243">
        <v>1828.248817867046</v>
      </c>
      <c r="HU5" s="243">
        <v>1790.5444000000011</v>
      </c>
      <c r="HV5" s="243">
        <v>1760.960463624024</v>
      </c>
      <c r="HW5" s="243">
        <v>1506.676400000001</v>
      </c>
      <c r="HX5" s="243">
        <f>HW5/10*12</f>
        <v>1808.011680000001</v>
      </c>
      <c r="HY5" s="243">
        <f>HU5/115*110+15+62</f>
        <v>1789.6946434782619</v>
      </c>
      <c r="HZ5" s="243">
        <v>1900.506640679667</v>
      </c>
      <c r="IA5" s="243">
        <v>1389.4138799999978</v>
      </c>
      <c r="IB5" s="243">
        <v>1344.003797810949</v>
      </c>
      <c r="IC5" s="243">
        <v>1148.0625</v>
      </c>
      <c r="ID5" s="243">
        <v>1317.9739565846689</v>
      </c>
      <c r="IE5" s="243">
        <v>972.19519999999989</v>
      </c>
      <c r="IF5" s="243">
        <f>IE5/10*12</f>
        <v>1166.6342399999999</v>
      </c>
      <c r="IG5" s="243">
        <f>IC5/115*110+264-40-2</f>
        <v>1320.1467391304348</v>
      </c>
      <c r="IH5" s="243">
        <v>37652.510783752448</v>
      </c>
      <c r="II5" s="243">
        <v>43291.497040000031</v>
      </c>
      <c r="IJ5" s="243">
        <v>48395.178342267216</v>
      </c>
      <c r="IK5" s="243">
        <v>36243.331510000018</v>
      </c>
      <c r="IL5" s="243">
        <v>36185.638956733907</v>
      </c>
      <c r="IM5" s="243">
        <v>26789.994020000009</v>
      </c>
      <c r="IN5" s="243">
        <f>IM5/10*12</f>
        <v>32147.992824000008</v>
      </c>
      <c r="IO5" s="311">
        <f>IK5/115*110+3345-12-816</f>
        <v>37184.534487826102</v>
      </c>
      <c r="IP5" s="243">
        <v>20.047773080696</v>
      </c>
      <c r="IQ5" s="243">
        <v>31.847499999998</v>
      </c>
      <c r="IR5" s="243">
        <v>31.871621862297999</v>
      </c>
      <c r="IS5" s="243">
        <v>10.291</v>
      </c>
      <c r="IT5" s="243">
        <v>19.130477605907998</v>
      </c>
      <c r="IU5" s="243">
        <v>6.3910200000000001</v>
      </c>
      <c r="IV5" s="243">
        <f>IU5/10*12</f>
        <v>7.6692240000000007</v>
      </c>
      <c r="IW5" s="243">
        <f>IS5/115*110+9</f>
        <v>18.843565217391305</v>
      </c>
      <c r="IX5" s="243">
        <v>308.99941147678101</v>
      </c>
      <c r="IY5" s="243">
        <v>285.72475999999898</v>
      </c>
      <c r="IZ5" s="243">
        <v>284.94118300308401</v>
      </c>
      <c r="JA5" s="243">
        <v>282.91119000000003</v>
      </c>
      <c r="JB5" s="243">
        <v>273.56582976451398</v>
      </c>
      <c r="JC5" s="243">
        <v>241.49801000000002</v>
      </c>
      <c r="JD5" s="243">
        <f>JC5/10*12</f>
        <v>289.79761200000007</v>
      </c>
      <c r="JE5" s="243">
        <f>JA5/115*110</f>
        <v>270.61070347826092</v>
      </c>
      <c r="JF5" s="243">
        <v>291.99944385508098</v>
      </c>
      <c r="JG5" s="243">
        <v>198.51465999999996</v>
      </c>
      <c r="JH5" s="243">
        <v>198.66503300038099</v>
      </c>
      <c r="JI5" s="243">
        <v>140.34773999999999</v>
      </c>
      <c r="JJ5" s="243">
        <v>190.34825217880399</v>
      </c>
      <c r="JK5" s="243">
        <v>66.833510000000004</v>
      </c>
      <c r="JL5" s="243">
        <f>JK5/10*12</f>
        <v>80.200211999999993</v>
      </c>
      <c r="JM5" s="269">
        <f>JI5/115*110+56</f>
        <v>190.24566434782608</v>
      </c>
      <c r="JN5" s="243">
        <v>0</v>
      </c>
      <c r="JO5" s="243">
        <v>0.47911999999999999</v>
      </c>
      <c r="JP5" s="243">
        <v>0.47948292892299998</v>
      </c>
      <c r="JQ5" s="243">
        <v>0</v>
      </c>
      <c r="JR5" s="243">
        <v>0</v>
      </c>
      <c r="JS5" s="243">
        <v>0.33857999999999999</v>
      </c>
      <c r="JT5" s="243">
        <f>JS5/10*12</f>
        <v>0.40629599999999999</v>
      </c>
      <c r="JU5" s="243">
        <f>JQ5/115*110</f>
        <v>0</v>
      </c>
      <c r="JV5" s="243">
        <v>292.22533541316807</v>
      </c>
      <c r="JW5" s="243">
        <v>204.3305</v>
      </c>
      <c r="JX5" s="243">
        <v>204.48527844484801</v>
      </c>
      <c r="JY5" s="243">
        <v>138.76254999999998</v>
      </c>
      <c r="JZ5" s="243">
        <v>195.13087158028301</v>
      </c>
      <c r="KA5" s="243">
        <v>95.769860000000008</v>
      </c>
      <c r="KB5" s="243">
        <f>KA5/10*12</f>
        <v>114.92383200000002</v>
      </c>
      <c r="KC5" s="269">
        <f>JY5/115*110+64-2</f>
        <v>194.72939565217391</v>
      </c>
      <c r="KD5" s="243">
        <v>53.283357985510001</v>
      </c>
      <c r="KE5" s="243">
        <v>39.94012</v>
      </c>
      <c r="KF5" s="243">
        <v>39.970374267769998</v>
      </c>
      <c r="KG5" s="243">
        <v>13.706059999999999</v>
      </c>
      <c r="KH5" s="243">
        <v>28.695716408865</v>
      </c>
      <c r="KI5" s="243">
        <v>9.81325</v>
      </c>
      <c r="KJ5" s="243">
        <f>KI5/10*12</f>
        <v>11.7759</v>
      </c>
      <c r="KK5" s="269">
        <f>KG5/115*110+16</f>
        <v>29.110144347826086</v>
      </c>
      <c r="KL5" s="243">
        <v>0</v>
      </c>
      <c r="KM5" s="243">
        <v>0.56330000000000002</v>
      </c>
      <c r="KN5" s="243">
        <v>0.56372669448699997</v>
      </c>
      <c r="KO5" s="243">
        <v>0</v>
      </c>
      <c r="KP5" s="243">
        <v>1</v>
      </c>
      <c r="KQ5" s="243">
        <v>0.75165000000000004</v>
      </c>
      <c r="KR5" s="243">
        <f>KQ5/10*12</f>
        <v>0.90198000000000012</v>
      </c>
      <c r="KS5" s="243">
        <f>KO5/115*110+1</f>
        <v>1</v>
      </c>
      <c r="KT5" s="243">
        <v>45.249227044198001</v>
      </c>
      <c r="KU5" s="243">
        <v>45.33455</v>
      </c>
      <c r="KV5" s="243">
        <v>45.368890498098999</v>
      </c>
      <c r="KW5" s="243">
        <v>36.247630000000001</v>
      </c>
      <c r="KX5" s="243">
        <v>35.391383570933002</v>
      </c>
      <c r="KY5" s="243">
        <v>24.659030000000001</v>
      </c>
      <c r="KZ5" s="243">
        <f>KY5/10*12</f>
        <v>29.590835999999999</v>
      </c>
      <c r="LA5" s="243">
        <f>KW5/115*110+2</f>
        <v>36.671646086956521</v>
      </c>
      <c r="LB5" s="243">
        <v>76.169931414855995</v>
      </c>
      <c r="LC5" s="243">
        <v>23.119910000000001</v>
      </c>
      <c r="LD5" s="243">
        <v>23.137423115832998</v>
      </c>
      <c r="LE5" s="243">
        <v>17.845890000000001</v>
      </c>
      <c r="LF5" s="243">
        <v>22.000049246795999</v>
      </c>
      <c r="LG5" s="243">
        <v>10.81954</v>
      </c>
      <c r="LH5" s="243">
        <f>LG5/10*12</f>
        <v>12.983448000000001</v>
      </c>
      <c r="LI5" s="243">
        <f>LE5/115*110+5</f>
        <v>22.069981739130437</v>
      </c>
      <c r="LJ5" s="243">
        <v>90.922730069018002</v>
      </c>
      <c r="LK5" s="243">
        <v>108.46248999999902</v>
      </c>
      <c r="LL5" s="243">
        <v>102.81140457513101</v>
      </c>
      <c r="LM5" s="243">
        <v>63.240629999999996</v>
      </c>
      <c r="LN5" s="243">
        <v>66.000147740388996</v>
      </c>
      <c r="LO5" s="243">
        <v>26.111370000000001</v>
      </c>
      <c r="LP5" s="243">
        <f>LO5/10*12</f>
        <v>31.333644000000003</v>
      </c>
      <c r="LQ5" s="269">
        <f>LM5/115*110+5</f>
        <v>65.491037391304332</v>
      </c>
      <c r="LR5" s="244">
        <v>0</v>
      </c>
      <c r="LS5" s="244">
        <v>0</v>
      </c>
      <c r="LT5" s="244">
        <f>LS5/10*12</f>
        <v>0</v>
      </c>
      <c r="LU5" s="244"/>
      <c r="LV5" s="243"/>
      <c r="LW5" s="243"/>
      <c r="LX5" s="243"/>
      <c r="LY5" s="243"/>
      <c r="LZ5" s="243"/>
      <c r="MA5" s="243"/>
      <c r="MB5" s="243">
        <f>MA5/10*12</f>
        <v>0</v>
      </c>
      <c r="MC5" s="243">
        <f>LY5/115*110</f>
        <v>0</v>
      </c>
      <c r="MD5" s="243">
        <v>739.99857537841297</v>
      </c>
      <c r="ME5" s="243">
        <v>701.34277999999892</v>
      </c>
      <c r="MF5" s="243">
        <v>701.87404060374706</v>
      </c>
      <c r="MG5" s="243">
        <v>722.58897999999999</v>
      </c>
      <c r="MH5" s="243">
        <v>699.16601100907792</v>
      </c>
      <c r="MI5" s="243">
        <v>584.4608300000001</v>
      </c>
      <c r="MJ5" s="243">
        <f>MI5/10*12</f>
        <v>701.35299600000008</v>
      </c>
      <c r="MK5" s="243">
        <f>MG5/115*110+33-12</f>
        <v>712.17206782608696</v>
      </c>
      <c r="ML5" s="243">
        <v>925.75123579529702</v>
      </c>
      <c r="MM5" s="243">
        <v>440.57683999999801</v>
      </c>
      <c r="MN5" s="243">
        <v>36.000102362733998</v>
      </c>
      <c r="MO5" s="243">
        <v>92.181709999999995</v>
      </c>
      <c r="MP5" s="243">
        <v>76.521910423639</v>
      </c>
      <c r="MQ5" s="243">
        <v>62.928800000000003</v>
      </c>
      <c r="MR5" s="243">
        <f>MQ5/10*12</f>
        <v>75.514560000000003</v>
      </c>
      <c r="MS5" s="243">
        <f>MO5/115*110-11</f>
        <v>77.173809565217383</v>
      </c>
      <c r="MT5" s="243">
        <v>5719.8765648224371</v>
      </c>
      <c r="MU5" s="243">
        <v>5701.3209300000008</v>
      </c>
      <c r="MV5" s="243">
        <v>5729.8757698964309</v>
      </c>
      <c r="MW5" s="243">
        <v>5875.4904700000016</v>
      </c>
      <c r="MX5" s="243">
        <v>5665.954132474686</v>
      </c>
      <c r="MY5" s="243">
        <v>4857.9745700000003</v>
      </c>
      <c r="MZ5" s="243">
        <f>MY5/10*12</f>
        <v>5829.5694839999996</v>
      </c>
      <c r="NA5" s="243">
        <f>MW5/115*110</f>
        <v>5620.0343626086969</v>
      </c>
      <c r="NB5" s="244">
        <v>0</v>
      </c>
      <c r="NC5" s="244">
        <v>0</v>
      </c>
      <c r="ND5" s="243">
        <f>NC5/10*12</f>
        <v>0</v>
      </c>
      <c r="NE5" s="245"/>
      <c r="NF5" s="243">
        <v>0</v>
      </c>
      <c r="NG5" s="243">
        <v>0.77005000000000001</v>
      </c>
      <c r="NH5" s="243">
        <v>0.77063330568099997</v>
      </c>
      <c r="NI5" s="243">
        <v>0</v>
      </c>
      <c r="NJ5" s="243">
        <v>0</v>
      </c>
      <c r="NK5" s="243">
        <v>0.40909000000000001</v>
      </c>
      <c r="NL5" s="243">
        <f>NK5/10*12</f>
        <v>0.49090800000000001</v>
      </c>
      <c r="NM5" s="243">
        <v>1</v>
      </c>
      <c r="NN5" s="243">
        <v>71.951522474911997</v>
      </c>
      <c r="NO5" s="243">
        <v>57.249229999999002</v>
      </c>
      <c r="NP5" s="243">
        <v>57.292595756887998</v>
      </c>
      <c r="NQ5" s="243">
        <v>55.505649999999989</v>
      </c>
      <c r="NR5" s="243">
        <v>54.521861176843004</v>
      </c>
      <c r="NS5" s="243">
        <v>49.485009999999996</v>
      </c>
      <c r="NT5" s="243">
        <f>NS5/10*12</f>
        <v>59.382011999999989</v>
      </c>
      <c r="NU5" s="243">
        <f>NQ5/115*110+2</f>
        <v>55.092360869565205</v>
      </c>
      <c r="NV5" s="243"/>
      <c r="NW5" s="243"/>
      <c r="NX5" s="243"/>
      <c r="NY5" s="243"/>
      <c r="NZ5" s="243"/>
      <c r="OA5" s="243"/>
      <c r="OB5" s="243">
        <f>OA5/10*12</f>
        <v>0</v>
      </c>
      <c r="OC5" s="243">
        <f>NY5/115*110</f>
        <v>0</v>
      </c>
      <c r="OD5" s="243">
        <v>3995.9980111987302</v>
      </c>
      <c r="OE5" s="243">
        <v>3482.0260000000003</v>
      </c>
      <c r="OF5" s="243">
        <v>3514.8277298511198</v>
      </c>
      <c r="OG5" s="243">
        <v>3317.3073700000009</v>
      </c>
      <c r="OH5" s="243">
        <v>3569.3113916345701</v>
      </c>
      <c r="OI5" s="243">
        <v>2796.2002800000009</v>
      </c>
      <c r="OJ5" s="243">
        <f>OI5/10*12</f>
        <v>3355.4403360000015</v>
      </c>
      <c r="OK5" s="243">
        <f>OG5/115*110+514-200-87</f>
        <v>3400.0766147826098</v>
      </c>
      <c r="OL5" s="243">
        <v>1477.7473485600269</v>
      </c>
      <c r="OM5" s="243">
        <v>1454.9801799999968</v>
      </c>
      <c r="ON5" s="243">
        <v>1460.082306155517</v>
      </c>
      <c r="OO5" s="243">
        <v>1516.9663200000002</v>
      </c>
      <c r="OP5" s="243">
        <v>1460.4379654200779</v>
      </c>
      <c r="OQ5" s="243">
        <v>1271.1405999999999</v>
      </c>
      <c r="OR5" s="243">
        <f>OQ5/10*12</f>
        <v>1525.3687199999999</v>
      </c>
      <c r="OS5" s="243">
        <f>OO5/115*110+17+65</f>
        <v>1533.0112626086959</v>
      </c>
      <c r="OT5" s="243">
        <v>0</v>
      </c>
      <c r="OU5" s="243">
        <v>1.0000056338554941E-12</v>
      </c>
      <c r="OV5" s="243"/>
      <c r="OW5" s="243"/>
      <c r="OX5" s="243">
        <v>0</v>
      </c>
      <c r="OY5" s="243">
        <v>0.64559999999999995</v>
      </c>
      <c r="OZ5" s="243">
        <f>OY5/10*12</f>
        <v>0.77471999999999985</v>
      </c>
      <c r="PA5" s="243">
        <v>0</v>
      </c>
      <c r="PB5" s="243"/>
      <c r="PC5" s="243"/>
      <c r="PD5" s="243">
        <f>PC5/10*12</f>
        <v>0</v>
      </c>
      <c r="PE5" s="243">
        <v>0</v>
      </c>
      <c r="PF5" s="243">
        <v>0</v>
      </c>
      <c r="PG5" s="243">
        <v>287.83952999999906</v>
      </c>
      <c r="PH5" s="243">
        <v>0</v>
      </c>
      <c r="PI5" s="243">
        <v>326.90207999999996</v>
      </c>
      <c r="PJ5" s="243">
        <v>294.99999070821502</v>
      </c>
      <c r="PK5" s="243">
        <v>0.39444999999999997</v>
      </c>
      <c r="PL5" s="243">
        <f>PK5/10*12</f>
        <v>0.47333999999999993</v>
      </c>
      <c r="PM5" s="275">
        <v>0</v>
      </c>
      <c r="PN5" s="243">
        <v>-5696.0540409032201</v>
      </c>
      <c r="PO5" s="243">
        <v>166.08891000000099</v>
      </c>
      <c r="PP5" s="243">
        <v>-17520.9340235727</v>
      </c>
      <c r="PQ5" s="243">
        <v>-166.08891000000099</v>
      </c>
      <c r="PR5" s="243">
        <v>-1689.9817351598199</v>
      </c>
      <c r="PS5" s="243">
        <v>0</v>
      </c>
      <c r="PT5" s="243">
        <f>PS5/10*12</f>
        <v>0</v>
      </c>
      <c r="PU5" s="269">
        <v>5000</v>
      </c>
      <c r="PV5" s="243">
        <v>0</v>
      </c>
      <c r="PW5" s="243">
        <v>0.26962000000000003</v>
      </c>
      <c r="PX5" s="243">
        <v>0</v>
      </c>
      <c r="PY5" s="243">
        <v>0.10004</v>
      </c>
      <c r="PZ5" s="243">
        <v>9.5690648983999996E-2</v>
      </c>
      <c r="QA5" s="243">
        <v>0</v>
      </c>
      <c r="QB5" s="243">
        <f>QA5/10*12</f>
        <v>0</v>
      </c>
      <c r="QC5" s="243"/>
      <c r="QD5" s="243"/>
      <c r="QE5" s="243"/>
      <c r="QF5" s="243"/>
      <c r="QG5" s="243"/>
      <c r="QH5" s="243"/>
      <c r="QI5" s="243"/>
      <c r="QJ5" s="243">
        <f>QI5/10*12</f>
        <v>0</v>
      </c>
      <c r="QK5" s="243"/>
      <c r="QL5" s="243">
        <v>0</v>
      </c>
      <c r="QM5" s="243">
        <v>9.999778782798785E-13</v>
      </c>
      <c r="QN5" s="243"/>
      <c r="QO5" s="243"/>
      <c r="QP5" s="243">
        <f>QO5/10*12</f>
        <v>0</v>
      </c>
      <c r="QQ5" s="245"/>
      <c r="QR5" s="243"/>
      <c r="QS5" s="243"/>
      <c r="QT5" s="243"/>
      <c r="QU5" s="243"/>
      <c r="QV5" s="243">
        <f>QU5/10*12</f>
        <v>0</v>
      </c>
      <c r="QW5" s="243"/>
      <c r="QX5" s="243"/>
      <c r="QY5" s="243"/>
      <c r="QZ5" s="243"/>
      <c r="RA5" s="243"/>
      <c r="RB5" s="243">
        <v>20</v>
      </c>
      <c r="RC5" s="243">
        <v>6.9828000000000001</v>
      </c>
      <c r="RD5" s="243">
        <f>RC5/10*12</f>
        <v>8.3793600000000001</v>
      </c>
      <c r="RE5" s="299"/>
      <c r="RF5" s="259">
        <f>RB5+QT5+QN5+QH5+PZ5+PR5+PJ5+PB5+OX5+OP5+OH5+NZ5+NR5+NJ5+NB5+MX5+MP5+MH5+LZ5+LR5+LN5+LF5+KX5+KP5+KH5+JZ5+JR5+JJ5+JB5+IT5+IL5+ID5+HV5+HN5+HF5+GX5+GP5+GH5+FZ5+FR5+FJ5+FB5+ET5+EL5+ED5+DV5+DN5+DF5+CX5+CP5+CH5+BZ5+BR5+BJ5+BB5+AT5+AL5+AD5+V5+N5+F5</f>
        <v>179776.35165537312</v>
      </c>
      <c r="RG5" s="259">
        <f t="shared" ref="RG5:RH20" si="11">RC5+QU5+QO5+QI5+QA5+PS5+PK5+PC5+OY5+OQ5+OI5+OA5+NS5+NK5+NC5+MY5+MQ5+MI5+MA5+LS5+LO5+LG5+KY5+KQ5+KI5+KA5+JS5+JK5+JC5+IU5+IM5+IE5+HW5+HO5+HG5+GY5+GQ5+GI5+GA5+FS5+FK5+FC5+EU5+EM5+EE5+DW5+DO5+DG5+CY5+CQ5+CI5+CA5+BS5+BK5+BC5+AU5+AM5+AE5+W5+O5+G5</f>
        <v>143671.79939000006</v>
      </c>
      <c r="RH5" s="259">
        <f t="shared" si="11"/>
        <v>172406.15926800005</v>
      </c>
      <c r="RI5" s="256">
        <f t="shared" ref="RI5:RI20" si="12">RE5+QW5+QQ5+QK5+QC5+PU5+PM5+PE5+PA5+OS5+OK5+OC5+NU5+NM5+NE5+NA5+MS5+MK5+MC5+LU5+LQ5+LI5+LA5+KS5+KK5+KC5+JU5+JM5+JE5+IW5+IO5+IG5+HY5+HQ5+HI5+HA5+GS5+GK5+GC5+FU5+FM5+FE5+EW5+EO5+EG5+DY5+DQ5+DI5+DA5+CS5+CK5+CC5+BU5+BM5+BE5+AW5+AO5+AG5+Y5+Q5+I5</f>
        <v>181541.63883652177</v>
      </c>
    </row>
    <row r="6" spans="1:477">
      <c r="A6" s="5" t="s">
        <v>128</v>
      </c>
      <c r="B6" s="263"/>
      <c r="C6" s="246"/>
      <c r="D6" s="246"/>
      <c r="E6" s="246"/>
      <c r="F6" s="246">
        <v>79</v>
      </c>
      <c r="G6" s="246">
        <v>88.645289999999989</v>
      </c>
      <c r="H6" s="254">
        <f t="shared" ref="H6:H23" si="13">G6/10*12</f>
        <v>106.374348</v>
      </c>
      <c r="I6" s="246">
        <f>80+50+70</f>
        <v>200</v>
      </c>
      <c r="J6" s="263"/>
      <c r="K6" s="246"/>
      <c r="L6" s="246"/>
      <c r="M6" s="246"/>
      <c r="N6" s="246">
        <v>1421</v>
      </c>
      <c r="O6" s="246">
        <v>1309.99153</v>
      </c>
      <c r="P6" s="243">
        <f t="shared" ref="P6:P23" si="14">O6/10*12</f>
        <v>1571.9898360000002</v>
      </c>
      <c r="Q6" s="246">
        <v>1650</v>
      </c>
      <c r="R6" s="246"/>
      <c r="S6" s="246"/>
      <c r="T6" s="246"/>
      <c r="U6" s="246"/>
      <c r="V6" s="246">
        <v>164</v>
      </c>
      <c r="W6" s="246">
        <v>138.47674000000001</v>
      </c>
      <c r="X6" s="243">
        <f t="shared" ref="X6:X23" si="15">W6/10*12</f>
        <v>166.17208800000003</v>
      </c>
      <c r="Y6" s="247">
        <f>165+15</f>
        <v>180</v>
      </c>
      <c r="Z6" s="246"/>
      <c r="AA6" s="246"/>
      <c r="AB6" s="246"/>
      <c r="AC6" s="246"/>
      <c r="AD6" s="246">
        <v>1309</v>
      </c>
      <c r="AE6" s="246">
        <v>1327.9419600000001</v>
      </c>
      <c r="AF6" s="243">
        <f t="shared" ref="AF6:AF23" si="16">AE6/10*12</f>
        <v>1593.530352</v>
      </c>
      <c r="AG6" s="246">
        <f>1474+90+40</f>
        <v>1604</v>
      </c>
      <c r="AH6" s="246"/>
      <c r="AI6" s="246"/>
      <c r="AJ6" s="246"/>
      <c r="AK6" s="246"/>
      <c r="AL6" s="246">
        <v>85</v>
      </c>
      <c r="AM6" s="246">
        <v>81.654859999999999</v>
      </c>
      <c r="AN6" s="243">
        <f t="shared" ref="AN6:AN23" si="17">AM6/10*12</f>
        <v>97.985831999999988</v>
      </c>
      <c r="AO6" s="246">
        <f>85+20</f>
        <v>105</v>
      </c>
      <c r="AP6" s="246"/>
      <c r="AQ6" s="246"/>
      <c r="AR6" s="246"/>
      <c r="AS6" s="246"/>
      <c r="AT6" s="246">
        <v>176</v>
      </c>
      <c r="AU6" s="246">
        <v>154.38661000000002</v>
      </c>
      <c r="AV6" s="243">
        <f t="shared" ref="AV6:AV23" si="18">AU6/10*12</f>
        <v>185.26393200000001</v>
      </c>
      <c r="AW6" s="246">
        <f>176+19</f>
        <v>195</v>
      </c>
      <c r="AX6" s="246"/>
      <c r="AY6" s="246"/>
      <c r="AZ6" s="246"/>
      <c r="BA6" s="246"/>
      <c r="BB6" s="246">
        <v>1096</v>
      </c>
      <c r="BC6" s="246">
        <v>924.91850000000011</v>
      </c>
      <c r="BD6" s="243">
        <f t="shared" ref="BD6:BD23" si="19">BC6/10*12</f>
        <v>1109.9022000000002</v>
      </c>
      <c r="BE6" s="246">
        <f>1096+10</f>
        <v>1106</v>
      </c>
      <c r="BF6" s="246"/>
      <c r="BG6" s="246"/>
      <c r="BH6" s="246"/>
      <c r="BI6" s="246"/>
      <c r="BJ6" s="246">
        <v>15</v>
      </c>
      <c r="BK6" s="246">
        <v>11.95326</v>
      </c>
      <c r="BL6" s="243">
        <f t="shared" ref="BL6:BL23" si="20">BK6/10*12</f>
        <v>14.343912000000001</v>
      </c>
      <c r="BM6" s="246">
        <f>16+4</f>
        <v>20</v>
      </c>
      <c r="BN6" s="246"/>
      <c r="BO6" s="246"/>
      <c r="BP6" s="246"/>
      <c r="BQ6" s="246"/>
      <c r="BR6" s="246">
        <v>125</v>
      </c>
      <c r="BS6" s="246">
        <v>93.934790000000007</v>
      </c>
      <c r="BT6" s="243">
        <f t="shared" ref="BT6:BT23" si="21">BS6/10*12</f>
        <v>112.72174800000002</v>
      </c>
      <c r="BU6" s="246">
        <v>125</v>
      </c>
      <c r="BV6" s="246"/>
      <c r="BW6" s="246"/>
      <c r="BX6" s="246"/>
      <c r="BY6" s="246"/>
      <c r="BZ6" s="246">
        <v>373</v>
      </c>
      <c r="CA6" s="246">
        <v>282.44382999999999</v>
      </c>
      <c r="CB6" s="243">
        <f t="shared" ref="CB6:CB23" si="22">CA6/10*12</f>
        <v>338.93259599999999</v>
      </c>
      <c r="CC6" s="246">
        <f>372-22</f>
        <v>350</v>
      </c>
      <c r="CD6" s="246"/>
      <c r="CE6" s="246"/>
      <c r="CF6" s="246"/>
      <c r="CG6" s="246"/>
      <c r="CH6" s="246">
        <v>3</v>
      </c>
      <c r="CI6" s="246">
        <v>2.2965800000000001</v>
      </c>
      <c r="CJ6" s="243">
        <f t="shared" ref="CJ6:CJ23" si="23">CI6/10*12</f>
        <v>2.7558959999999999</v>
      </c>
      <c r="CK6" s="246">
        <v>3</v>
      </c>
      <c r="CL6" s="246"/>
      <c r="CM6" s="246"/>
      <c r="CN6" s="246"/>
      <c r="CO6" s="246"/>
      <c r="CP6" s="246">
        <v>69</v>
      </c>
      <c r="CQ6" s="246">
        <v>51.392940000000003</v>
      </c>
      <c r="CR6" s="243">
        <f t="shared" ref="CR6:CR23" si="24">CQ6/10*12</f>
        <v>61.671528000000009</v>
      </c>
      <c r="CS6" s="246">
        <v>69</v>
      </c>
      <c r="CT6" s="246"/>
      <c r="CU6" s="246"/>
      <c r="CV6" s="246"/>
      <c r="CW6" s="246"/>
      <c r="CX6" s="246">
        <v>28</v>
      </c>
      <c r="CY6" s="246">
        <v>22.965799999999998</v>
      </c>
      <c r="CZ6" s="243">
        <f t="shared" ref="CZ6:CZ23" si="25">CY6/10*12</f>
        <v>27.558959999999995</v>
      </c>
      <c r="DA6" s="246">
        <v>28</v>
      </c>
      <c r="DB6" s="246"/>
      <c r="DC6" s="246"/>
      <c r="DD6" s="246"/>
      <c r="DE6" s="246"/>
      <c r="DF6" s="246"/>
      <c r="DG6" s="246"/>
      <c r="DH6" s="243">
        <f t="shared" ref="DH6:DH23" si="26">DG6/10*12</f>
        <v>0</v>
      </c>
      <c r="DI6" s="246">
        <f t="shared" ref="DI6:DI23" si="27">DE6/115*110</f>
        <v>0</v>
      </c>
      <c r="DJ6" s="246"/>
      <c r="DK6" s="246"/>
      <c r="DL6" s="246"/>
      <c r="DM6" s="246"/>
      <c r="DN6" s="246"/>
      <c r="DO6" s="246"/>
      <c r="DP6" s="243">
        <f t="shared" ref="DP6:DP23" si="28">DO6/10*12</f>
        <v>0</v>
      </c>
      <c r="DQ6" s="246">
        <f t="shared" ref="DQ6:DQ23" si="29">DM6/115*110</f>
        <v>0</v>
      </c>
      <c r="DR6" s="246"/>
      <c r="DS6" s="246"/>
      <c r="DT6" s="246"/>
      <c r="DU6" s="246"/>
      <c r="DV6" s="246">
        <v>211</v>
      </c>
      <c r="DW6" s="246">
        <v>165.47042999999999</v>
      </c>
      <c r="DX6" s="243">
        <f t="shared" ref="DX6:DX23" si="30">DW6/10*12</f>
        <v>198.56451599999997</v>
      </c>
      <c r="DY6" s="246">
        <v>212</v>
      </c>
      <c r="DZ6" s="246"/>
      <c r="EA6" s="246"/>
      <c r="EB6" s="246"/>
      <c r="EC6" s="246"/>
      <c r="ED6" s="246">
        <v>176</v>
      </c>
      <c r="EE6" s="246">
        <v>154.75484</v>
      </c>
      <c r="EF6" s="243">
        <f t="shared" ref="EF6:EF23" si="31">EE6/10*12</f>
        <v>185.70580799999999</v>
      </c>
      <c r="EG6" s="246">
        <v>206</v>
      </c>
      <c r="EH6" s="246"/>
      <c r="EI6" s="246"/>
      <c r="EJ6" s="246"/>
      <c r="EK6" s="246"/>
      <c r="EL6" s="246">
        <v>2</v>
      </c>
      <c r="EM6" s="246">
        <v>1.68058</v>
      </c>
      <c r="EN6" s="243">
        <f t="shared" ref="EN6:EN23" si="32">EM6/10*12</f>
        <v>2.0166959999999996</v>
      </c>
      <c r="EO6" s="246">
        <f>2+3</f>
        <v>5</v>
      </c>
      <c r="EP6" s="246"/>
      <c r="EQ6" s="246"/>
      <c r="ER6" s="246"/>
      <c r="ES6" s="246"/>
      <c r="ET6" s="246"/>
      <c r="EU6" s="246"/>
      <c r="EV6" s="243">
        <f t="shared" ref="EV6:EV23" si="33">EU6/10*12</f>
        <v>0</v>
      </c>
      <c r="EW6" s="246">
        <f t="shared" ref="EW6:EW23" si="34">ES6/115*110</f>
        <v>0</v>
      </c>
      <c r="EX6" s="246"/>
      <c r="EY6" s="246"/>
      <c r="EZ6" s="246"/>
      <c r="FA6" s="246"/>
      <c r="FB6" s="246"/>
      <c r="FC6" s="246"/>
      <c r="FD6" s="243">
        <f t="shared" ref="FD6:FD23" si="35">FC6/10*12</f>
        <v>0</v>
      </c>
      <c r="FE6" s="246">
        <f t="shared" ref="FE6:FE23" si="36">FA6/115*110</f>
        <v>0</v>
      </c>
      <c r="FF6" s="246"/>
      <c r="FG6" s="246"/>
      <c r="FH6" s="246"/>
      <c r="FI6" s="246"/>
      <c r="FJ6" s="246">
        <v>135</v>
      </c>
      <c r="FK6" s="246">
        <v>115.50463999999999</v>
      </c>
      <c r="FL6" s="243">
        <f t="shared" ref="FL6:FL23" si="37">FK6/10*12</f>
        <v>138.60556800000001</v>
      </c>
      <c r="FM6" s="246">
        <f>136+8+50</f>
        <v>194</v>
      </c>
      <c r="FN6" s="246"/>
      <c r="FO6" s="246"/>
      <c r="FP6" s="246"/>
      <c r="FQ6" s="246"/>
      <c r="FR6" s="246"/>
      <c r="FS6" s="246"/>
      <c r="FT6" s="243">
        <f t="shared" ref="FT6:FT23" si="38">FS6/10*12</f>
        <v>0</v>
      </c>
      <c r="FU6" s="246">
        <f t="shared" ref="FU6:FU23" si="39">FQ6/115*110</f>
        <v>0</v>
      </c>
      <c r="FV6" s="246"/>
      <c r="FW6" s="246"/>
      <c r="FX6" s="246"/>
      <c r="FY6" s="246"/>
      <c r="FZ6" s="246"/>
      <c r="GA6" s="246"/>
      <c r="GB6" s="243">
        <f t="shared" ref="GB6:GB23" si="40">GA6/10*12</f>
        <v>0</v>
      </c>
      <c r="GC6" s="246">
        <f t="shared" ref="GC6:GC23" si="41">FY6/115*110</f>
        <v>0</v>
      </c>
      <c r="GD6" s="246"/>
      <c r="GE6" s="246"/>
      <c r="GF6" s="246"/>
      <c r="GG6" s="246"/>
      <c r="GH6" s="246">
        <v>2</v>
      </c>
      <c r="GI6" s="246">
        <v>5.48468</v>
      </c>
      <c r="GJ6" s="243">
        <f t="shared" ref="GJ6:GJ23" si="42">GI6/10*12</f>
        <v>6.5816159999999995</v>
      </c>
      <c r="GK6" s="246">
        <f>2+25</f>
        <v>27</v>
      </c>
      <c r="GL6" s="246"/>
      <c r="GM6" s="246"/>
      <c r="GN6" s="246"/>
      <c r="GO6" s="246"/>
      <c r="GP6" s="246"/>
      <c r="GQ6" s="246"/>
      <c r="GR6" s="243">
        <f t="shared" ref="GR6:GR23" si="43">GQ6/10*12</f>
        <v>0</v>
      </c>
      <c r="GS6" s="247">
        <f t="shared" ref="GS6:GS23" si="44">GO6/115*110</f>
        <v>0</v>
      </c>
      <c r="GT6" s="246"/>
      <c r="GU6" s="246"/>
      <c r="GV6" s="246"/>
      <c r="GW6" s="246"/>
      <c r="GX6" s="246"/>
      <c r="GY6" s="246"/>
      <c r="GZ6" s="243">
        <f t="shared" ref="GZ6:GZ23" si="45">GY6/10*12</f>
        <v>0</v>
      </c>
      <c r="HA6" s="246">
        <f t="shared" ref="HA6:HA23" si="46">GW6/115*110</f>
        <v>0</v>
      </c>
      <c r="HB6" s="246"/>
      <c r="HC6" s="246"/>
      <c r="HD6" s="246"/>
      <c r="HE6" s="246"/>
      <c r="HF6" s="246"/>
      <c r="HG6" s="246"/>
      <c r="HH6" s="243">
        <f t="shared" ref="HH6:HH23" si="47">HG6/10*12</f>
        <v>0</v>
      </c>
      <c r="HI6" s="246">
        <f t="shared" ref="HI6:HI23" si="48">HE6/115*110</f>
        <v>0</v>
      </c>
      <c r="HJ6" s="246"/>
      <c r="HK6" s="246"/>
      <c r="HL6" s="246"/>
      <c r="HM6" s="246"/>
      <c r="HN6" s="246"/>
      <c r="HO6" s="246"/>
      <c r="HP6" s="243">
        <f t="shared" ref="HP6:HP23" si="49">HO6/10*12</f>
        <v>0</v>
      </c>
      <c r="HQ6" s="246">
        <f t="shared" ref="HQ6:HQ23" si="50">HM6/115*110</f>
        <v>0</v>
      </c>
      <c r="HR6" s="246"/>
      <c r="HS6" s="246"/>
      <c r="HT6" s="246"/>
      <c r="HU6" s="246"/>
      <c r="HV6" s="246">
        <v>45</v>
      </c>
      <c r="HW6" s="246">
        <v>47.375869999999999</v>
      </c>
      <c r="HX6" s="243">
        <f t="shared" ref="HX6:HX23" si="51">HW6/10*12</f>
        <v>56.851043999999995</v>
      </c>
      <c r="HY6" s="246">
        <f>45+42</f>
        <v>87</v>
      </c>
      <c r="HZ6" s="246"/>
      <c r="IA6" s="246"/>
      <c r="IB6" s="246"/>
      <c r="IC6" s="246"/>
      <c r="ID6" s="246">
        <v>41</v>
      </c>
      <c r="IE6" s="246">
        <v>56.797110000000004</v>
      </c>
      <c r="IF6" s="243">
        <f t="shared" ref="IF6:IF23" si="52">IE6/10*12</f>
        <v>68.156531999999999</v>
      </c>
      <c r="IG6" s="246">
        <f>70+15</f>
        <v>85</v>
      </c>
      <c r="IH6" s="246"/>
      <c r="II6" s="246"/>
      <c r="IJ6" s="246"/>
      <c r="IK6" s="246"/>
      <c r="IL6" s="246">
        <v>695</v>
      </c>
      <c r="IM6" s="246">
        <v>931.87587000000008</v>
      </c>
      <c r="IN6" s="243">
        <f t="shared" ref="IN6:IN23" si="53">IM6/10*12</f>
        <v>1118.2510440000001</v>
      </c>
      <c r="IO6" s="270">
        <v>1073</v>
      </c>
      <c r="IP6" s="246"/>
      <c r="IQ6" s="246"/>
      <c r="IR6" s="246"/>
      <c r="IS6" s="246"/>
      <c r="IT6" s="246"/>
      <c r="IU6" s="246"/>
      <c r="IV6" s="243">
        <f t="shared" ref="IV6:IV23" si="54">IU6/10*12</f>
        <v>0</v>
      </c>
      <c r="IW6" s="246">
        <f t="shared" ref="IW6:IW23" si="55">IS6/115*110</f>
        <v>0</v>
      </c>
      <c r="IX6" s="246"/>
      <c r="IY6" s="246"/>
      <c r="IZ6" s="246"/>
      <c r="JA6" s="246"/>
      <c r="JB6" s="246"/>
      <c r="JC6" s="246"/>
      <c r="JD6" s="243">
        <f t="shared" ref="JD6:JD23" si="56">JC6/10*12</f>
        <v>0</v>
      </c>
      <c r="JE6" s="246">
        <f t="shared" ref="JE6:JE23" si="57">JA6/115*110</f>
        <v>0</v>
      </c>
      <c r="JF6" s="246"/>
      <c r="JG6" s="246"/>
      <c r="JH6" s="246"/>
      <c r="JI6" s="246"/>
      <c r="JJ6" s="246"/>
      <c r="JK6" s="246"/>
      <c r="JL6" s="243">
        <f t="shared" ref="JL6:JL23" si="58">JK6/10*12</f>
        <v>0</v>
      </c>
      <c r="JM6" s="246">
        <f t="shared" ref="JM6:JM23" si="59">JI6/115*110</f>
        <v>0</v>
      </c>
      <c r="JN6" s="246"/>
      <c r="JO6" s="246"/>
      <c r="JP6" s="246"/>
      <c r="JQ6" s="246"/>
      <c r="JR6" s="246"/>
      <c r="JS6" s="246"/>
      <c r="JT6" s="243">
        <f t="shared" ref="JT6:JT23" si="60">JS6/10*12</f>
        <v>0</v>
      </c>
      <c r="JU6" s="246">
        <f t="shared" ref="JU6:JU23" si="61">JQ6/115*110</f>
        <v>0</v>
      </c>
      <c r="JV6" s="246"/>
      <c r="JW6" s="246"/>
      <c r="JX6" s="246"/>
      <c r="JY6" s="246"/>
      <c r="JZ6" s="246"/>
      <c r="KA6" s="246"/>
      <c r="KB6" s="243">
        <f t="shared" ref="KB6:KB23" si="62">KA6/10*12</f>
        <v>0</v>
      </c>
      <c r="KC6" s="246">
        <f t="shared" ref="KC6:KC23" si="63">JY6/115*110</f>
        <v>0</v>
      </c>
      <c r="KD6" s="246"/>
      <c r="KE6" s="246"/>
      <c r="KF6" s="246"/>
      <c r="KG6" s="246"/>
      <c r="KH6" s="246"/>
      <c r="KI6" s="246"/>
      <c r="KJ6" s="243">
        <f t="shared" ref="KJ6:KJ23" si="64">KI6/10*12</f>
        <v>0</v>
      </c>
      <c r="KK6" s="246">
        <f t="shared" ref="KK6:KK23" si="65">KG6/115*110</f>
        <v>0</v>
      </c>
      <c r="KL6" s="246"/>
      <c r="KM6" s="246"/>
      <c r="KN6" s="246"/>
      <c r="KO6" s="246"/>
      <c r="KP6" s="246"/>
      <c r="KQ6" s="246"/>
      <c r="KR6" s="243">
        <f t="shared" ref="KR6:KR23" si="66">KQ6/10*12</f>
        <v>0</v>
      </c>
      <c r="KS6" s="246">
        <f t="shared" ref="KS6:KS23" si="67">KO6/115*110</f>
        <v>0</v>
      </c>
      <c r="KT6" s="246"/>
      <c r="KU6" s="246"/>
      <c r="KV6" s="246"/>
      <c r="KW6" s="246"/>
      <c r="KX6" s="246"/>
      <c r="KY6" s="246"/>
      <c r="KZ6" s="243">
        <f t="shared" ref="KZ6:KZ23" si="68">KY6/10*12</f>
        <v>0</v>
      </c>
      <c r="LA6" s="246">
        <f t="shared" ref="LA6:LA23" si="69">KW6/115*110</f>
        <v>0</v>
      </c>
      <c r="LB6" s="246"/>
      <c r="LC6" s="246"/>
      <c r="LD6" s="246"/>
      <c r="LE6" s="246"/>
      <c r="LF6" s="246"/>
      <c r="LG6" s="246"/>
      <c r="LH6" s="243">
        <f t="shared" ref="LH6:LH23" si="70">LG6/10*12</f>
        <v>0</v>
      </c>
      <c r="LI6" s="246">
        <f t="shared" ref="LI6:LI23" si="71">LE6/115*110</f>
        <v>0</v>
      </c>
      <c r="LJ6" s="246"/>
      <c r="LK6" s="246"/>
      <c r="LL6" s="246"/>
      <c r="LM6" s="246"/>
      <c r="LN6" s="246"/>
      <c r="LO6" s="246"/>
      <c r="LP6" s="243">
        <f t="shared" ref="LP6:LP23" si="72">LO6/10*12</f>
        <v>0</v>
      </c>
      <c r="LQ6" s="246">
        <f t="shared" ref="LQ6:LQ23" si="73">LM6/115*110</f>
        <v>0</v>
      </c>
      <c r="LR6" s="246"/>
      <c r="LS6" s="246"/>
      <c r="LT6" s="244">
        <f t="shared" ref="LT6:LT23" si="74">LS6/10*12</f>
        <v>0</v>
      </c>
      <c r="LU6" s="246"/>
      <c r="LV6" s="246"/>
      <c r="LW6" s="246"/>
      <c r="LX6" s="246"/>
      <c r="LY6" s="246"/>
      <c r="LZ6" s="246"/>
      <c r="MA6" s="246"/>
      <c r="MB6" s="243">
        <f t="shared" ref="MB6:MB23" si="75">MA6/10*12</f>
        <v>0</v>
      </c>
      <c r="MC6" s="246">
        <f t="shared" ref="MC6:MC23" si="76">LY6/115*110</f>
        <v>0</v>
      </c>
      <c r="MD6" s="246"/>
      <c r="ME6" s="246"/>
      <c r="MF6" s="246"/>
      <c r="MG6" s="246"/>
      <c r="MH6" s="246"/>
      <c r="MI6" s="246"/>
      <c r="MJ6" s="243">
        <f t="shared" ref="MJ6:MJ23" si="77">MI6/10*12</f>
        <v>0</v>
      </c>
      <c r="MK6" s="246">
        <f t="shared" ref="MK6:MK23" si="78">MG6/115*110</f>
        <v>0</v>
      </c>
      <c r="ML6" s="246"/>
      <c r="MM6" s="246"/>
      <c r="MN6" s="246"/>
      <c r="MO6" s="246"/>
      <c r="MP6" s="246"/>
      <c r="MQ6" s="246"/>
      <c r="MR6" s="243">
        <f t="shared" ref="MR6:MR23" si="79">MQ6/10*12</f>
        <v>0</v>
      </c>
      <c r="MS6" s="246">
        <f t="shared" ref="MS6:MS22" si="80">MO6/115*110</f>
        <v>0</v>
      </c>
      <c r="MT6" s="246"/>
      <c r="MU6" s="246"/>
      <c r="MV6" s="246"/>
      <c r="MW6" s="246"/>
      <c r="MX6" s="246">
        <v>358</v>
      </c>
      <c r="MY6" s="246">
        <v>356.43770999999998</v>
      </c>
      <c r="MZ6" s="243">
        <f t="shared" ref="MZ6:MZ23" si="81">MY6/10*12</f>
        <v>427.72525200000001</v>
      </c>
      <c r="NA6" s="246">
        <f>417+25</f>
        <v>442</v>
      </c>
      <c r="NB6" s="246"/>
      <c r="NC6" s="246"/>
      <c r="ND6" s="243">
        <f t="shared" ref="ND6:ND23" si="82">NC6/10*12</f>
        <v>0</v>
      </c>
      <c r="NE6" s="248"/>
      <c r="NF6" s="246"/>
      <c r="NG6" s="246"/>
      <c r="NH6" s="246"/>
      <c r="NI6" s="246"/>
      <c r="NJ6" s="246"/>
      <c r="NK6" s="246"/>
      <c r="NL6" s="243">
        <f t="shared" ref="NL6:NL23" si="83">NK6/10*12</f>
        <v>0</v>
      </c>
      <c r="NM6" s="246">
        <f t="shared" ref="NM6:NM23" si="84">NI6/115*110</f>
        <v>0</v>
      </c>
      <c r="NN6" s="246"/>
      <c r="NO6" s="246"/>
      <c r="NP6" s="246"/>
      <c r="NQ6" s="246"/>
      <c r="NR6" s="246"/>
      <c r="NS6" s="246"/>
      <c r="NT6" s="243">
        <f t="shared" ref="NT6:NT23" si="85">NS6/10*12</f>
        <v>0</v>
      </c>
      <c r="NU6" s="246">
        <f t="shared" ref="NU6:NU23" si="86">NQ6/115*110</f>
        <v>0</v>
      </c>
      <c r="NV6" s="246"/>
      <c r="NW6" s="246"/>
      <c r="NX6" s="246"/>
      <c r="NY6" s="246"/>
      <c r="NZ6" s="246"/>
      <c r="OA6" s="246"/>
      <c r="OB6" s="243">
        <f t="shared" ref="OB6:OB23" si="87">OA6/10*12</f>
        <v>0</v>
      </c>
      <c r="OC6" s="246">
        <f t="shared" ref="OC6:OC23" si="88">NY6/115*110</f>
        <v>0</v>
      </c>
      <c r="OD6" s="246"/>
      <c r="OE6" s="246"/>
      <c r="OF6" s="246"/>
      <c r="OG6" s="246"/>
      <c r="OH6" s="246">
        <v>1564</v>
      </c>
      <c r="OI6" s="246">
        <v>1259.98507</v>
      </c>
      <c r="OJ6" s="243">
        <f t="shared" ref="OJ6:OJ23" si="89">OI6/10*12</f>
        <v>1511.9820839999998</v>
      </c>
      <c r="OK6" s="246">
        <v>1563</v>
      </c>
      <c r="OL6" s="246"/>
      <c r="OM6" s="246"/>
      <c r="ON6" s="246"/>
      <c r="OO6" s="246"/>
      <c r="OP6" s="246"/>
      <c r="OQ6" s="246"/>
      <c r="OR6" s="243">
        <f t="shared" ref="OR6:OR22" si="90">OQ6/10*12</f>
        <v>0</v>
      </c>
      <c r="OS6" s="246">
        <f t="shared" ref="OS6:OS23" si="91">OO6/115*110</f>
        <v>0</v>
      </c>
      <c r="OT6" s="246"/>
      <c r="OU6" s="246"/>
      <c r="OV6" s="246"/>
      <c r="OW6" s="246"/>
      <c r="OX6" s="246"/>
      <c r="OY6" s="246"/>
      <c r="OZ6" s="243">
        <f t="shared" ref="OZ6:OZ23" si="92">OY6/10*12</f>
        <v>0</v>
      </c>
      <c r="PA6" s="246">
        <v>0</v>
      </c>
      <c r="PB6" s="246"/>
      <c r="PC6" s="246"/>
      <c r="PD6" s="243">
        <f t="shared" ref="PD6:PD23" si="93">PC6/10*12</f>
        <v>0</v>
      </c>
      <c r="PE6" s="246">
        <v>0</v>
      </c>
      <c r="PF6" s="246"/>
      <c r="PG6" s="246"/>
      <c r="PH6" s="246"/>
      <c r="PI6" s="246"/>
      <c r="PJ6" s="246"/>
      <c r="PK6" s="246"/>
      <c r="PL6" s="243">
        <f t="shared" ref="PL6:PL23" si="94">PK6/10*12</f>
        <v>0</v>
      </c>
      <c r="PM6" s="276">
        <v>0</v>
      </c>
      <c r="PN6" s="246"/>
      <c r="PO6" s="246"/>
      <c r="PP6" s="246"/>
      <c r="PQ6" s="246"/>
      <c r="PR6" s="246"/>
      <c r="PS6" s="246"/>
      <c r="PT6" s="243">
        <f t="shared" ref="PT6:PT23" si="95">PS6/10*12</f>
        <v>0</v>
      </c>
      <c r="PU6" s="246"/>
      <c r="PV6" s="246"/>
      <c r="PW6" s="246"/>
      <c r="PX6" s="246"/>
      <c r="PY6" s="246"/>
      <c r="PZ6" s="246"/>
      <c r="QA6" s="246"/>
      <c r="QB6" s="243">
        <f t="shared" ref="QB6:QB23" si="96">QA6/10*12</f>
        <v>0</v>
      </c>
      <c r="QC6" s="246"/>
      <c r="QD6" s="246"/>
      <c r="QE6" s="246"/>
      <c r="QF6" s="246"/>
      <c r="QG6" s="246"/>
      <c r="QH6" s="246"/>
      <c r="QI6" s="246"/>
      <c r="QJ6" s="243">
        <f t="shared" ref="QJ6:QJ23" si="97">QI6/10*12</f>
        <v>0</v>
      </c>
      <c r="QK6" s="246"/>
      <c r="QL6" s="246"/>
      <c r="QM6" s="246"/>
      <c r="QN6" s="246"/>
      <c r="QO6" s="246"/>
      <c r="QP6" s="243">
        <f t="shared" ref="QP6:QP23" si="98">QO6/10*12</f>
        <v>0</v>
      </c>
      <c r="QQ6" s="248"/>
      <c r="QR6" s="246"/>
      <c r="QS6" s="246"/>
      <c r="QT6" s="246"/>
      <c r="QU6" s="246"/>
      <c r="QV6" s="243">
        <f t="shared" ref="QV6:QV23" si="99">QU6/10*12</f>
        <v>0</v>
      </c>
      <c r="QW6" s="246"/>
      <c r="QX6" s="246"/>
      <c r="QY6" s="246"/>
      <c r="QZ6" s="246"/>
      <c r="RA6" s="246"/>
      <c r="RB6" s="246"/>
      <c r="RC6" s="246"/>
      <c r="RD6" s="243">
        <f t="shared" ref="RD6:RD23" si="100">RC6/10*12</f>
        <v>0</v>
      </c>
      <c r="RE6" s="300"/>
      <c r="RF6" s="259">
        <f t="shared" ref="RF6:RF75" si="101">RB6+QT6+QN6+QH6+PZ6+PR6+PJ6+PB6+OX6+OP6+OH6+NZ6+NR6+NJ6+NB6+MX6+MP6+MH6+LZ6+LR6+LN6+LF6+KX6+KP6+KH6+JZ6+JR6+JJ6+JB6+IT6+IL6+ID6+HV6+HN6+HF6+GX6+GP6+GH6+FZ6+FR6+FJ6+FB6+ET6+EL6+ED6+DV6+DN6+DF6+CX6+CP6+CH6+BZ6+BR6+BJ6+BB6+AT6+AL6+AD6+V6+N6+F6</f>
        <v>8172</v>
      </c>
      <c r="RG6" s="259">
        <f t="shared" si="11"/>
        <v>7586.369490000001</v>
      </c>
      <c r="RH6" s="259">
        <f t="shared" si="11"/>
        <v>9103.6433880000004</v>
      </c>
      <c r="RI6" s="256">
        <f t="shared" si="12"/>
        <v>9529</v>
      </c>
    </row>
    <row r="7" spans="1:477">
      <c r="A7" s="5" t="s">
        <v>119</v>
      </c>
      <c r="B7" s="263"/>
      <c r="C7" s="246"/>
      <c r="D7" s="246"/>
      <c r="E7" s="246"/>
      <c r="F7" s="246"/>
      <c r="G7" s="246"/>
      <c r="H7" s="254">
        <f t="shared" si="13"/>
        <v>0</v>
      </c>
      <c r="I7" s="246">
        <f t="shared" ref="I7:I23" si="102">E7/115*110</f>
        <v>0</v>
      </c>
      <c r="J7" s="263"/>
      <c r="K7" s="246"/>
      <c r="L7" s="246"/>
      <c r="M7" s="246"/>
      <c r="N7" s="246"/>
      <c r="O7" s="246"/>
      <c r="P7" s="243">
        <f t="shared" si="14"/>
        <v>0</v>
      </c>
      <c r="Q7" s="246">
        <f t="shared" ref="Q7:Q19" si="103">M7/115*110</f>
        <v>0</v>
      </c>
      <c r="R7" s="246"/>
      <c r="S7" s="246"/>
      <c r="T7" s="246"/>
      <c r="U7" s="246"/>
      <c r="V7" s="246"/>
      <c r="W7" s="246"/>
      <c r="X7" s="243">
        <f t="shared" si="15"/>
        <v>0</v>
      </c>
      <c r="Y7" s="246">
        <f t="shared" ref="Y7:Y19" si="104">U7/115*110</f>
        <v>0</v>
      </c>
      <c r="Z7" s="246"/>
      <c r="AA7" s="246"/>
      <c r="AB7" s="246"/>
      <c r="AC7" s="246"/>
      <c r="AD7" s="246"/>
      <c r="AE7" s="246"/>
      <c r="AF7" s="243">
        <f t="shared" si="16"/>
        <v>0</v>
      </c>
      <c r="AG7" s="246">
        <f t="shared" ref="AG7:AG21" si="105">AC7/115*110</f>
        <v>0</v>
      </c>
      <c r="AH7" s="246"/>
      <c r="AI7" s="246"/>
      <c r="AJ7" s="246"/>
      <c r="AK7" s="246"/>
      <c r="AL7" s="246"/>
      <c r="AM7" s="246"/>
      <c r="AN7" s="243">
        <f t="shared" si="17"/>
        <v>0</v>
      </c>
      <c r="AO7" s="246">
        <f t="shared" ref="AO7:AO21" si="106">AK7/115*110</f>
        <v>0</v>
      </c>
      <c r="AP7" s="246"/>
      <c r="AQ7" s="246"/>
      <c r="AR7" s="246"/>
      <c r="AS7" s="246"/>
      <c r="AT7" s="246"/>
      <c r="AU7" s="246"/>
      <c r="AV7" s="243">
        <f t="shared" si="18"/>
        <v>0</v>
      </c>
      <c r="AW7" s="246">
        <f t="shared" ref="AW7:AW20" si="107">AS7/115*110</f>
        <v>0</v>
      </c>
      <c r="AX7" s="246"/>
      <c r="AY7" s="246"/>
      <c r="AZ7" s="246"/>
      <c r="BA7" s="246"/>
      <c r="BB7" s="246"/>
      <c r="BC7" s="246"/>
      <c r="BD7" s="243">
        <f t="shared" si="19"/>
        <v>0</v>
      </c>
      <c r="BE7" s="246">
        <f t="shared" ref="BE7:BE21" si="108">BA7/115*110</f>
        <v>0</v>
      </c>
      <c r="BF7" s="246"/>
      <c r="BG7" s="246"/>
      <c r="BH7" s="246"/>
      <c r="BI7" s="246"/>
      <c r="BJ7" s="246"/>
      <c r="BK7" s="246"/>
      <c r="BL7" s="243">
        <f t="shared" si="20"/>
        <v>0</v>
      </c>
      <c r="BM7" s="246">
        <f t="shared" ref="BM7:BM21" si="109">BI7/115*110</f>
        <v>0</v>
      </c>
      <c r="BN7" s="246"/>
      <c r="BO7" s="246"/>
      <c r="BP7" s="246"/>
      <c r="BQ7" s="246"/>
      <c r="BR7" s="246"/>
      <c r="BS7" s="246"/>
      <c r="BT7" s="243">
        <f t="shared" si="21"/>
        <v>0</v>
      </c>
      <c r="BU7" s="246">
        <f t="shared" ref="BU7:BU21" si="110">BQ7/115*110</f>
        <v>0</v>
      </c>
      <c r="BV7" s="246"/>
      <c r="BW7" s="246"/>
      <c r="BX7" s="246"/>
      <c r="BY7" s="246"/>
      <c r="BZ7" s="246"/>
      <c r="CA7" s="246"/>
      <c r="CB7" s="243">
        <f t="shared" si="22"/>
        <v>0</v>
      </c>
      <c r="CC7" s="246">
        <f t="shared" ref="CC7:CC23" si="111">BY7/115*110</f>
        <v>0</v>
      </c>
      <c r="CD7" s="246"/>
      <c r="CE7" s="246"/>
      <c r="CF7" s="246"/>
      <c r="CG7" s="246"/>
      <c r="CH7" s="246"/>
      <c r="CI7" s="246"/>
      <c r="CJ7" s="243">
        <f t="shared" si="23"/>
        <v>0</v>
      </c>
      <c r="CK7" s="246">
        <f t="shared" ref="CK7:CK23" si="112">CG7/115*110</f>
        <v>0</v>
      </c>
      <c r="CL7" s="246"/>
      <c r="CM7" s="246"/>
      <c r="CN7" s="246"/>
      <c r="CO7" s="246"/>
      <c r="CP7" s="246"/>
      <c r="CQ7" s="246"/>
      <c r="CR7" s="243">
        <f t="shared" si="24"/>
        <v>0</v>
      </c>
      <c r="CS7" s="246">
        <f t="shared" ref="CS7:CS23" si="113">CO7/115*110</f>
        <v>0</v>
      </c>
      <c r="CT7" s="246"/>
      <c r="CU7" s="246"/>
      <c r="CV7" s="246"/>
      <c r="CW7" s="246"/>
      <c r="CX7" s="246"/>
      <c r="CY7" s="246"/>
      <c r="CZ7" s="243">
        <f t="shared" si="25"/>
        <v>0</v>
      </c>
      <c r="DA7" s="246">
        <f t="shared" ref="DA7:DA23" si="114">CW7/115*110</f>
        <v>0</v>
      </c>
      <c r="DB7" s="246"/>
      <c r="DC7" s="246"/>
      <c r="DD7" s="246"/>
      <c r="DE7" s="246"/>
      <c r="DF7" s="246"/>
      <c r="DG7" s="246"/>
      <c r="DH7" s="243">
        <f t="shared" si="26"/>
        <v>0</v>
      </c>
      <c r="DI7" s="246">
        <f t="shared" si="27"/>
        <v>0</v>
      </c>
      <c r="DJ7" s="246"/>
      <c r="DK7" s="246"/>
      <c r="DL7" s="246"/>
      <c r="DM7" s="246"/>
      <c r="DN7" s="246"/>
      <c r="DO7" s="246"/>
      <c r="DP7" s="243">
        <f t="shared" si="28"/>
        <v>0</v>
      </c>
      <c r="DQ7" s="246">
        <f t="shared" si="29"/>
        <v>0</v>
      </c>
      <c r="DR7" s="246"/>
      <c r="DS7" s="246"/>
      <c r="DT7" s="246"/>
      <c r="DU7" s="246"/>
      <c r="DV7" s="246"/>
      <c r="DW7" s="246"/>
      <c r="DX7" s="243">
        <f t="shared" si="30"/>
        <v>0</v>
      </c>
      <c r="DY7" s="246">
        <f t="shared" ref="DY7:DY23" si="115">DU7/115*110</f>
        <v>0</v>
      </c>
      <c r="DZ7" s="246"/>
      <c r="EA7" s="246"/>
      <c r="EB7" s="246"/>
      <c r="EC7" s="246"/>
      <c r="ED7" s="246"/>
      <c r="EE7" s="246"/>
      <c r="EF7" s="243">
        <f t="shared" si="31"/>
        <v>0</v>
      </c>
      <c r="EG7" s="246">
        <f t="shared" ref="EG7:EG23" si="116">EC7/115*110</f>
        <v>0</v>
      </c>
      <c r="EH7" s="246"/>
      <c r="EI7" s="246"/>
      <c r="EJ7" s="246"/>
      <c r="EK7" s="246"/>
      <c r="EL7" s="246"/>
      <c r="EM7" s="246"/>
      <c r="EN7" s="243">
        <f t="shared" si="32"/>
        <v>0</v>
      </c>
      <c r="EO7" s="246">
        <f t="shared" ref="EO7:EO23" si="117">EK7/115*110</f>
        <v>0</v>
      </c>
      <c r="EP7" s="246"/>
      <c r="EQ7" s="246"/>
      <c r="ER7" s="246"/>
      <c r="ES7" s="246"/>
      <c r="ET7" s="246"/>
      <c r="EU7" s="246"/>
      <c r="EV7" s="243">
        <f t="shared" si="33"/>
        <v>0</v>
      </c>
      <c r="EW7" s="246">
        <f t="shared" si="34"/>
        <v>0</v>
      </c>
      <c r="EX7" s="246"/>
      <c r="EY7" s="246"/>
      <c r="EZ7" s="246"/>
      <c r="FA7" s="246"/>
      <c r="FB7" s="246"/>
      <c r="FC7" s="246"/>
      <c r="FD7" s="243">
        <f t="shared" si="35"/>
        <v>0</v>
      </c>
      <c r="FE7" s="246">
        <f t="shared" si="36"/>
        <v>0</v>
      </c>
      <c r="FF7" s="246"/>
      <c r="FG7" s="246"/>
      <c r="FH7" s="246"/>
      <c r="FI7" s="246"/>
      <c r="FJ7" s="246"/>
      <c r="FK7" s="246"/>
      <c r="FL7" s="243">
        <f t="shared" si="37"/>
        <v>0</v>
      </c>
      <c r="FM7" s="246">
        <f t="shared" ref="FM7:FM23" si="118">FI7/115*110</f>
        <v>0</v>
      </c>
      <c r="FN7" s="246"/>
      <c r="FO7" s="246"/>
      <c r="FP7" s="246"/>
      <c r="FQ7" s="246"/>
      <c r="FR7" s="246"/>
      <c r="FS7" s="246"/>
      <c r="FT7" s="243">
        <f t="shared" si="38"/>
        <v>0</v>
      </c>
      <c r="FU7" s="246">
        <f t="shared" si="39"/>
        <v>0</v>
      </c>
      <c r="FV7" s="246"/>
      <c r="FW7" s="246"/>
      <c r="FX7" s="246"/>
      <c r="FY7" s="246"/>
      <c r="FZ7" s="246"/>
      <c r="GA7" s="246"/>
      <c r="GB7" s="243">
        <f t="shared" si="40"/>
        <v>0</v>
      </c>
      <c r="GC7" s="246">
        <f t="shared" si="41"/>
        <v>0</v>
      </c>
      <c r="GD7" s="246"/>
      <c r="GE7" s="246"/>
      <c r="GF7" s="246"/>
      <c r="GG7" s="246"/>
      <c r="GH7" s="246"/>
      <c r="GI7" s="246"/>
      <c r="GJ7" s="243">
        <f t="shared" si="42"/>
        <v>0</v>
      </c>
      <c r="GK7" s="246">
        <f t="shared" ref="GK7:GK23" si="119">GG7/115*110</f>
        <v>0</v>
      </c>
      <c r="GL7" s="246"/>
      <c r="GM7" s="246"/>
      <c r="GN7" s="246"/>
      <c r="GO7" s="246"/>
      <c r="GP7" s="246"/>
      <c r="GQ7" s="246"/>
      <c r="GR7" s="243">
        <f t="shared" si="43"/>
        <v>0</v>
      </c>
      <c r="GS7" s="247">
        <f t="shared" si="44"/>
        <v>0</v>
      </c>
      <c r="GT7" s="246"/>
      <c r="GU7" s="246"/>
      <c r="GV7" s="246"/>
      <c r="GW7" s="246"/>
      <c r="GX7" s="246"/>
      <c r="GY7" s="246"/>
      <c r="GZ7" s="243">
        <f t="shared" si="45"/>
        <v>0</v>
      </c>
      <c r="HA7" s="246">
        <f t="shared" si="46"/>
        <v>0</v>
      </c>
      <c r="HB7" s="246"/>
      <c r="HC7" s="246"/>
      <c r="HD7" s="246"/>
      <c r="HE7" s="246"/>
      <c r="HF7" s="246"/>
      <c r="HG7" s="246"/>
      <c r="HH7" s="243">
        <f t="shared" si="47"/>
        <v>0</v>
      </c>
      <c r="HI7" s="246">
        <f t="shared" si="48"/>
        <v>0</v>
      </c>
      <c r="HJ7" s="246"/>
      <c r="HK7" s="246"/>
      <c r="HL7" s="246"/>
      <c r="HM7" s="246"/>
      <c r="HN7" s="246"/>
      <c r="HO7" s="246"/>
      <c r="HP7" s="243">
        <f t="shared" si="49"/>
        <v>0</v>
      </c>
      <c r="HQ7" s="246">
        <f t="shared" si="50"/>
        <v>0</v>
      </c>
      <c r="HR7" s="246"/>
      <c r="HS7" s="246"/>
      <c r="HT7" s="246"/>
      <c r="HU7" s="246"/>
      <c r="HV7" s="246"/>
      <c r="HW7" s="246"/>
      <c r="HX7" s="243">
        <f t="shared" si="51"/>
        <v>0</v>
      </c>
      <c r="HY7" s="246">
        <f t="shared" ref="HY7:HY23" si="120">HU7/115*110</f>
        <v>0</v>
      </c>
      <c r="HZ7" s="246"/>
      <c r="IA7" s="246"/>
      <c r="IB7" s="246"/>
      <c r="IC7" s="246"/>
      <c r="ID7" s="246"/>
      <c r="IE7" s="246"/>
      <c r="IF7" s="243">
        <f t="shared" si="52"/>
        <v>0</v>
      </c>
      <c r="IG7" s="246">
        <f t="shared" ref="IG7:IG23" si="121">IC7/115*110</f>
        <v>0</v>
      </c>
      <c r="IH7" s="246"/>
      <c r="II7" s="246"/>
      <c r="IJ7" s="246"/>
      <c r="IK7" s="246"/>
      <c r="IL7" s="246"/>
      <c r="IM7" s="246"/>
      <c r="IN7" s="243">
        <f t="shared" si="53"/>
        <v>0</v>
      </c>
      <c r="IO7" s="270">
        <f t="shared" ref="IO7:IO23" si="122">IK7/115*110</f>
        <v>0</v>
      </c>
      <c r="IP7" s="246"/>
      <c r="IQ7" s="246"/>
      <c r="IR7" s="246"/>
      <c r="IS7" s="246"/>
      <c r="IT7" s="246"/>
      <c r="IU7" s="246"/>
      <c r="IV7" s="243">
        <f t="shared" si="54"/>
        <v>0</v>
      </c>
      <c r="IW7" s="246">
        <f t="shared" si="55"/>
        <v>0</v>
      </c>
      <c r="IX7" s="246"/>
      <c r="IY7" s="246"/>
      <c r="IZ7" s="246"/>
      <c r="JA7" s="246"/>
      <c r="JB7" s="246"/>
      <c r="JC7" s="246"/>
      <c r="JD7" s="243">
        <f t="shared" si="56"/>
        <v>0</v>
      </c>
      <c r="JE7" s="246">
        <f t="shared" si="57"/>
        <v>0</v>
      </c>
      <c r="JF7" s="246"/>
      <c r="JG7" s="246"/>
      <c r="JH7" s="246"/>
      <c r="JI7" s="246"/>
      <c r="JJ7" s="246"/>
      <c r="JK7" s="246"/>
      <c r="JL7" s="243">
        <f t="shared" si="58"/>
        <v>0</v>
      </c>
      <c r="JM7" s="246">
        <f t="shared" si="59"/>
        <v>0</v>
      </c>
      <c r="JN7" s="246"/>
      <c r="JO7" s="246"/>
      <c r="JP7" s="246"/>
      <c r="JQ7" s="246"/>
      <c r="JR7" s="246"/>
      <c r="JS7" s="246"/>
      <c r="JT7" s="243">
        <f t="shared" si="60"/>
        <v>0</v>
      </c>
      <c r="JU7" s="246">
        <f t="shared" si="61"/>
        <v>0</v>
      </c>
      <c r="JV7" s="246"/>
      <c r="JW7" s="246"/>
      <c r="JX7" s="246"/>
      <c r="JY7" s="246"/>
      <c r="JZ7" s="246"/>
      <c r="KA7" s="246"/>
      <c r="KB7" s="243">
        <f t="shared" si="62"/>
        <v>0</v>
      </c>
      <c r="KC7" s="246">
        <f t="shared" si="63"/>
        <v>0</v>
      </c>
      <c r="KD7" s="246"/>
      <c r="KE7" s="246"/>
      <c r="KF7" s="246"/>
      <c r="KG7" s="246"/>
      <c r="KH7" s="246"/>
      <c r="KI7" s="246"/>
      <c r="KJ7" s="243">
        <f t="shared" si="64"/>
        <v>0</v>
      </c>
      <c r="KK7" s="246">
        <f t="shared" si="65"/>
        <v>0</v>
      </c>
      <c r="KL7" s="246"/>
      <c r="KM7" s="246"/>
      <c r="KN7" s="246"/>
      <c r="KO7" s="246"/>
      <c r="KP7" s="246"/>
      <c r="KQ7" s="246"/>
      <c r="KR7" s="243">
        <f t="shared" si="66"/>
        <v>0</v>
      </c>
      <c r="KS7" s="246">
        <f t="shared" si="67"/>
        <v>0</v>
      </c>
      <c r="KT7" s="246"/>
      <c r="KU7" s="246"/>
      <c r="KV7" s="246"/>
      <c r="KW7" s="246"/>
      <c r="KX7" s="246"/>
      <c r="KY7" s="246"/>
      <c r="KZ7" s="243">
        <f t="shared" si="68"/>
        <v>0</v>
      </c>
      <c r="LA7" s="246">
        <f t="shared" si="69"/>
        <v>0</v>
      </c>
      <c r="LB7" s="246"/>
      <c r="LC7" s="246"/>
      <c r="LD7" s="246"/>
      <c r="LE7" s="246"/>
      <c r="LF7" s="246"/>
      <c r="LG7" s="246"/>
      <c r="LH7" s="243">
        <f t="shared" si="70"/>
        <v>0</v>
      </c>
      <c r="LI7" s="246">
        <f t="shared" si="71"/>
        <v>0</v>
      </c>
      <c r="LJ7" s="246"/>
      <c r="LK7" s="246"/>
      <c r="LL7" s="246"/>
      <c r="LM7" s="246"/>
      <c r="LN7" s="246"/>
      <c r="LO7" s="246"/>
      <c r="LP7" s="243">
        <f t="shared" si="72"/>
        <v>0</v>
      </c>
      <c r="LQ7" s="246">
        <f t="shared" si="73"/>
        <v>0</v>
      </c>
      <c r="LR7" s="246"/>
      <c r="LS7" s="246"/>
      <c r="LT7" s="244">
        <f t="shared" si="74"/>
        <v>0</v>
      </c>
      <c r="LU7" s="246"/>
      <c r="LV7" s="246"/>
      <c r="LW7" s="246"/>
      <c r="LX7" s="246"/>
      <c r="LY7" s="246"/>
      <c r="LZ7" s="246"/>
      <c r="MA7" s="246"/>
      <c r="MB7" s="243">
        <f t="shared" si="75"/>
        <v>0</v>
      </c>
      <c r="MC7" s="246">
        <f t="shared" si="76"/>
        <v>0</v>
      </c>
      <c r="MD7" s="246"/>
      <c r="ME7" s="246"/>
      <c r="MF7" s="246"/>
      <c r="MG7" s="246"/>
      <c r="MH7" s="246"/>
      <c r="MI7" s="246"/>
      <c r="MJ7" s="243">
        <f t="shared" si="77"/>
        <v>0</v>
      </c>
      <c r="MK7" s="246">
        <f t="shared" si="78"/>
        <v>0</v>
      </c>
      <c r="ML7" s="246"/>
      <c r="MM7" s="246"/>
      <c r="MN7" s="246"/>
      <c r="MO7" s="246"/>
      <c r="MP7" s="246"/>
      <c r="MQ7" s="246"/>
      <c r="MR7" s="243">
        <f t="shared" si="79"/>
        <v>0</v>
      </c>
      <c r="MS7" s="246">
        <f t="shared" si="80"/>
        <v>0</v>
      </c>
      <c r="MT7" s="246"/>
      <c r="MU7" s="246"/>
      <c r="MV7" s="246"/>
      <c r="MW7" s="246"/>
      <c r="MX7" s="246"/>
      <c r="MY7" s="246"/>
      <c r="MZ7" s="243">
        <f t="shared" si="81"/>
        <v>0</v>
      </c>
      <c r="NA7" s="246">
        <f t="shared" ref="NA7:NA23" si="123">MW7/115*110</f>
        <v>0</v>
      </c>
      <c r="NB7" s="246"/>
      <c r="NC7" s="246"/>
      <c r="ND7" s="243">
        <f t="shared" si="82"/>
        <v>0</v>
      </c>
      <c r="NE7" s="248"/>
      <c r="NF7" s="246"/>
      <c r="NG7" s="246"/>
      <c r="NH7" s="246"/>
      <c r="NI7" s="246"/>
      <c r="NJ7" s="246"/>
      <c r="NK7" s="246"/>
      <c r="NL7" s="243">
        <f t="shared" si="83"/>
        <v>0</v>
      </c>
      <c r="NM7" s="246">
        <f t="shared" si="84"/>
        <v>0</v>
      </c>
      <c r="NN7" s="246"/>
      <c r="NO7" s="246"/>
      <c r="NP7" s="246"/>
      <c r="NQ7" s="246"/>
      <c r="NR7" s="246"/>
      <c r="NS7" s="246"/>
      <c r="NT7" s="243">
        <f t="shared" si="85"/>
        <v>0</v>
      </c>
      <c r="NU7" s="246">
        <f t="shared" si="86"/>
        <v>0</v>
      </c>
      <c r="NV7" s="246"/>
      <c r="NW7" s="246"/>
      <c r="NX7" s="246"/>
      <c r="NY7" s="246"/>
      <c r="NZ7" s="246"/>
      <c r="OA7" s="246"/>
      <c r="OB7" s="243">
        <f t="shared" si="87"/>
        <v>0</v>
      </c>
      <c r="OC7" s="246">
        <f t="shared" si="88"/>
        <v>0</v>
      </c>
      <c r="OD7" s="246"/>
      <c r="OE7" s="246"/>
      <c r="OF7" s="246"/>
      <c r="OG7" s="246"/>
      <c r="OH7" s="246"/>
      <c r="OI7" s="246"/>
      <c r="OJ7" s="243">
        <f t="shared" si="89"/>
        <v>0</v>
      </c>
      <c r="OK7" s="246">
        <f t="shared" ref="OK7:OK23" si="124">OG7/115*110</f>
        <v>0</v>
      </c>
      <c r="OL7" s="246"/>
      <c r="OM7" s="246"/>
      <c r="ON7" s="246"/>
      <c r="OO7" s="246"/>
      <c r="OP7" s="246"/>
      <c r="OQ7" s="246"/>
      <c r="OR7" s="243">
        <f t="shared" si="90"/>
        <v>0</v>
      </c>
      <c r="OS7" s="246">
        <f t="shared" si="91"/>
        <v>0</v>
      </c>
      <c r="OT7" s="246"/>
      <c r="OU7" s="246"/>
      <c r="OV7" s="246"/>
      <c r="OW7" s="246"/>
      <c r="OX7" s="246"/>
      <c r="OY7" s="246"/>
      <c r="OZ7" s="243">
        <f t="shared" si="92"/>
        <v>0</v>
      </c>
      <c r="PA7" s="246">
        <v>0</v>
      </c>
      <c r="PB7" s="246"/>
      <c r="PC7" s="246"/>
      <c r="PD7" s="243">
        <f t="shared" si="93"/>
        <v>0</v>
      </c>
      <c r="PE7" s="246">
        <v>0</v>
      </c>
      <c r="PF7" s="246">
        <v>0</v>
      </c>
      <c r="PG7" s="246">
        <v>259.23815999999999</v>
      </c>
      <c r="PH7" s="246">
        <v>0</v>
      </c>
      <c r="PI7" s="246">
        <v>314.21699999999998</v>
      </c>
      <c r="PJ7" s="246">
        <v>286.99999096019599</v>
      </c>
      <c r="PK7" s="246">
        <v>0</v>
      </c>
      <c r="PL7" s="243">
        <f t="shared" si="94"/>
        <v>0</v>
      </c>
      <c r="PM7" s="276">
        <v>0</v>
      </c>
      <c r="PN7" s="246"/>
      <c r="PO7" s="246"/>
      <c r="PP7" s="246"/>
      <c r="PQ7" s="246"/>
      <c r="PR7" s="246"/>
      <c r="PS7" s="246"/>
      <c r="PT7" s="243">
        <f t="shared" si="95"/>
        <v>0</v>
      </c>
      <c r="PU7" s="246"/>
      <c r="PV7" s="246"/>
      <c r="PW7" s="246"/>
      <c r="PX7" s="246"/>
      <c r="PY7" s="246"/>
      <c r="PZ7" s="246"/>
      <c r="QA7" s="246"/>
      <c r="QB7" s="243">
        <f t="shared" si="96"/>
        <v>0</v>
      </c>
      <c r="QC7" s="246"/>
      <c r="QD7" s="246"/>
      <c r="QE7" s="246"/>
      <c r="QF7" s="246"/>
      <c r="QG7" s="246"/>
      <c r="QH7" s="246"/>
      <c r="QI7" s="246"/>
      <c r="QJ7" s="243">
        <f t="shared" si="97"/>
        <v>0</v>
      </c>
      <c r="QK7" s="246"/>
      <c r="QL7" s="246"/>
      <c r="QM7" s="246"/>
      <c r="QN7" s="246"/>
      <c r="QO7" s="246"/>
      <c r="QP7" s="243">
        <f t="shared" si="98"/>
        <v>0</v>
      </c>
      <c r="QQ7" s="248"/>
      <c r="QR7" s="246"/>
      <c r="QS7" s="246"/>
      <c r="QT7" s="246"/>
      <c r="QU7" s="246"/>
      <c r="QV7" s="243">
        <f t="shared" si="99"/>
        <v>0</v>
      </c>
      <c r="QW7" s="246"/>
      <c r="QX7" s="246"/>
      <c r="QY7" s="246"/>
      <c r="QZ7" s="246"/>
      <c r="RA7" s="246"/>
      <c r="RB7" s="246"/>
      <c r="RC7" s="246"/>
      <c r="RD7" s="243">
        <f t="shared" si="100"/>
        <v>0</v>
      </c>
      <c r="RE7" s="300"/>
      <c r="RF7" s="259">
        <f t="shared" si="101"/>
        <v>286.99999096019599</v>
      </c>
      <c r="RG7" s="259">
        <f t="shared" si="11"/>
        <v>0</v>
      </c>
      <c r="RH7" s="259">
        <f t="shared" si="11"/>
        <v>0</v>
      </c>
      <c r="RI7" s="256">
        <f t="shared" si="12"/>
        <v>0</v>
      </c>
    </row>
    <row r="8" spans="1:477">
      <c r="A8" s="5" t="s">
        <v>129</v>
      </c>
      <c r="B8" s="263"/>
      <c r="C8" s="246"/>
      <c r="D8" s="246"/>
      <c r="E8" s="246"/>
      <c r="F8" s="246"/>
      <c r="G8" s="246"/>
      <c r="H8" s="254">
        <f t="shared" si="13"/>
        <v>0</v>
      </c>
      <c r="I8" s="246">
        <f t="shared" si="102"/>
        <v>0</v>
      </c>
      <c r="J8" s="263"/>
      <c r="K8" s="246"/>
      <c r="L8" s="246"/>
      <c r="M8" s="246"/>
      <c r="N8" s="246"/>
      <c r="O8" s="246"/>
      <c r="P8" s="243">
        <f t="shared" si="14"/>
        <v>0</v>
      </c>
      <c r="Q8" s="246">
        <f t="shared" si="103"/>
        <v>0</v>
      </c>
      <c r="R8" s="246"/>
      <c r="S8" s="246"/>
      <c r="T8" s="246"/>
      <c r="U8" s="246"/>
      <c r="V8" s="246"/>
      <c r="W8" s="246"/>
      <c r="X8" s="243">
        <f t="shared" si="15"/>
        <v>0</v>
      </c>
      <c r="Y8" s="246">
        <f t="shared" si="104"/>
        <v>0</v>
      </c>
      <c r="Z8" s="246"/>
      <c r="AA8" s="246"/>
      <c r="AB8" s="246"/>
      <c r="AC8" s="246"/>
      <c r="AD8" s="246"/>
      <c r="AE8" s="246"/>
      <c r="AF8" s="243">
        <f t="shared" si="16"/>
        <v>0</v>
      </c>
      <c r="AG8" s="246">
        <f t="shared" si="105"/>
        <v>0</v>
      </c>
      <c r="AH8" s="246"/>
      <c r="AI8" s="246"/>
      <c r="AJ8" s="246"/>
      <c r="AK8" s="246"/>
      <c r="AL8" s="246"/>
      <c r="AM8" s="246"/>
      <c r="AN8" s="243">
        <f t="shared" si="17"/>
        <v>0</v>
      </c>
      <c r="AO8" s="246">
        <f t="shared" si="106"/>
        <v>0</v>
      </c>
      <c r="AP8" s="246"/>
      <c r="AQ8" s="246"/>
      <c r="AR8" s="246"/>
      <c r="AS8" s="246"/>
      <c r="AT8" s="246"/>
      <c r="AU8" s="246"/>
      <c r="AV8" s="243">
        <f t="shared" si="18"/>
        <v>0</v>
      </c>
      <c r="AW8" s="246">
        <f t="shared" si="107"/>
        <v>0</v>
      </c>
      <c r="AX8" s="246"/>
      <c r="AY8" s="246"/>
      <c r="AZ8" s="246"/>
      <c r="BA8" s="246"/>
      <c r="BB8" s="246"/>
      <c r="BC8" s="246"/>
      <c r="BD8" s="243">
        <f t="shared" si="19"/>
        <v>0</v>
      </c>
      <c r="BE8" s="246">
        <f t="shared" si="108"/>
        <v>0</v>
      </c>
      <c r="BF8" s="246"/>
      <c r="BG8" s="246"/>
      <c r="BH8" s="246"/>
      <c r="BI8" s="246"/>
      <c r="BJ8" s="246"/>
      <c r="BK8" s="246"/>
      <c r="BL8" s="243">
        <f t="shared" si="20"/>
        <v>0</v>
      </c>
      <c r="BM8" s="246">
        <f t="shared" si="109"/>
        <v>0</v>
      </c>
      <c r="BN8" s="246"/>
      <c r="BO8" s="246"/>
      <c r="BP8" s="246"/>
      <c r="BQ8" s="246"/>
      <c r="BR8" s="246">
        <v>0</v>
      </c>
      <c r="BS8" s="246">
        <v>25.414740000000002</v>
      </c>
      <c r="BT8" s="243">
        <f t="shared" si="21"/>
        <v>30.497688</v>
      </c>
      <c r="BU8" s="246">
        <f>17+83</f>
        <v>100</v>
      </c>
      <c r="BV8" s="246"/>
      <c r="BW8" s="246"/>
      <c r="BX8" s="246"/>
      <c r="BY8" s="246"/>
      <c r="BZ8" s="246"/>
      <c r="CA8" s="246"/>
      <c r="CB8" s="243">
        <f t="shared" si="22"/>
        <v>0</v>
      </c>
      <c r="CC8" s="246">
        <f t="shared" si="111"/>
        <v>0</v>
      </c>
      <c r="CD8" s="246"/>
      <c r="CE8" s="246"/>
      <c r="CF8" s="246"/>
      <c r="CG8" s="246"/>
      <c r="CH8" s="246"/>
      <c r="CI8" s="246"/>
      <c r="CJ8" s="243">
        <f t="shared" si="23"/>
        <v>0</v>
      </c>
      <c r="CK8" s="246">
        <f t="shared" si="112"/>
        <v>0</v>
      </c>
      <c r="CL8" s="246"/>
      <c r="CM8" s="246"/>
      <c r="CN8" s="246"/>
      <c r="CO8" s="246"/>
      <c r="CP8" s="246"/>
      <c r="CQ8" s="246"/>
      <c r="CR8" s="243">
        <f t="shared" si="24"/>
        <v>0</v>
      </c>
      <c r="CS8" s="246">
        <f t="shared" si="113"/>
        <v>0</v>
      </c>
      <c r="CT8" s="246"/>
      <c r="CU8" s="246"/>
      <c r="CV8" s="246"/>
      <c r="CW8" s="246"/>
      <c r="CX8" s="246"/>
      <c r="CY8" s="246"/>
      <c r="CZ8" s="243">
        <f t="shared" si="25"/>
        <v>0</v>
      </c>
      <c r="DA8" s="246">
        <f t="shared" si="114"/>
        <v>0</v>
      </c>
      <c r="DB8" s="246"/>
      <c r="DC8" s="246"/>
      <c r="DD8" s="246"/>
      <c r="DE8" s="246"/>
      <c r="DF8" s="246"/>
      <c r="DG8" s="246"/>
      <c r="DH8" s="243">
        <f t="shared" si="26"/>
        <v>0</v>
      </c>
      <c r="DI8" s="246">
        <f t="shared" si="27"/>
        <v>0</v>
      </c>
      <c r="DJ8" s="246"/>
      <c r="DK8" s="246"/>
      <c r="DL8" s="246"/>
      <c r="DM8" s="246"/>
      <c r="DN8" s="246"/>
      <c r="DO8" s="246"/>
      <c r="DP8" s="243">
        <f t="shared" si="28"/>
        <v>0</v>
      </c>
      <c r="DQ8" s="246">
        <f t="shared" si="29"/>
        <v>0</v>
      </c>
      <c r="DR8" s="246"/>
      <c r="DS8" s="246"/>
      <c r="DT8" s="246"/>
      <c r="DU8" s="246"/>
      <c r="DV8" s="246"/>
      <c r="DW8" s="246"/>
      <c r="DX8" s="243">
        <f t="shared" si="30"/>
        <v>0</v>
      </c>
      <c r="DY8" s="246">
        <f t="shared" si="115"/>
        <v>0</v>
      </c>
      <c r="DZ8" s="246"/>
      <c r="EA8" s="246"/>
      <c r="EB8" s="246"/>
      <c r="EC8" s="246"/>
      <c r="ED8" s="246"/>
      <c r="EE8" s="246"/>
      <c r="EF8" s="243">
        <f t="shared" si="31"/>
        <v>0</v>
      </c>
      <c r="EG8" s="246">
        <f t="shared" si="116"/>
        <v>0</v>
      </c>
      <c r="EH8" s="246"/>
      <c r="EI8" s="246"/>
      <c r="EJ8" s="246"/>
      <c r="EK8" s="246"/>
      <c r="EL8" s="246"/>
      <c r="EM8" s="246"/>
      <c r="EN8" s="243">
        <f t="shared" si="32"/>
        <v>0</v>
      </c>
      <c r="EO8" s="246">
        <f t="shared" si="117"/>
        <v>0</v>
      </c>
      <c r="EP8" s="246"/>
      <c r="EQ8" s="246"/>
      <c r="ER8" s="246"/>
      <c r="ES8" s="246"/>
      <c r="ET8" s="246"/>
      <c r="EU8" s="246"/>
      <c r="EV8" s="243">
        <f t="shared" si="33"/>
        <v>0</v>
      </c>
      <c r="EW8" s="246">
        <f t="shared" si="34"/>
        <v>0</v>
      </c>
      <c r="EX8" s="246"/>
      <c r="EY8" s="246"/>
      <c r="EZ8" s="246"/>
      <c r="FA8" s="246"/>
      <c r="FB8" s="246"/>
      <c r="FC8" s="246"/>
      <c r="FD8" s="243">
        <f t="shared" si="35"/>
        <v>0</v>
      </c>
      <c r="FE8" s="246">
        <f t="shared" si="36"/>
        <v>0</v>
      </c>
      <c r="FF8" s="246"/>
      <c r="FG8" s="246"/>
      <c r="FH8" s="246"/>
      <c r="FI8" s="246"/>
      <c r="FJ8" s="246"/>
      <c r="FK8" s="246"/>
      <c r="FL8" s="243">
        <f t="shared" si="37"/>
        <v>0</v>
      </c>
      <c r="FM8" s="246">
        <f t="shared" si="118"/>
        <v>0</v>
      </c>
      <c r="FN8" s="246"/>
      <c r="FO8" s="246"/>
      <c r="FP8" s="246"/>
      <c r="FQ8" s="246"/>
      <c r="FR8" s="246"/>
      <c r="FS8" s="246"/>
      <c r="FT8" s="243">
        <f t="shared" si="38"/>
        <v>0</v>
      </c>
      <c r="FU8" s="246">
        <f t="shared" si="39"/>
        <v>0</v>
      </c>
      <c r="FV8" s="246"/>
      <c r="FW8" s="246"/>
      <c r="FX8" s="246"/>
      <c r="FY8" s="246"/>
      <c r="FZ8" s="246"/>
      <c r="GA8" s="246"/>
      <c r="GB8" s="243">
        <f t="shared" si="40"/>
        <v>0</v>
      </c>
      <c r="GC8" s="246">
        <f t="shared" si="41"/>
        <v>0</v>
      </c>
      <c r="GD8" s="246"/>
      <c r="GE8" s="246"/>
      <c r="GF8" s="246"/>
      <c r="GG8" s="246"/>
      <c r="GH8" s="246"/>
      <c r="GI8" s="246"/>
      <c r="GJ8" s="243">
        <f t="shared" si="42"/>
        <v>0</v>
      </c>
      <c r="GK8" s="246">
        <f t="shared" si="119"/>
        <v>0</v>
      </c>
      <c r="GL8" s="246"/>
      <c r="GM8" s="246"/>
      <c r="GN8" s="246"/>
      <c r="GO8" s="246"/>
      <c r="GP8" s="246"/>
      <c r="GQ8" s="246"/>
      <c r="GR8" s="243">
        <f t="shared" si="43"/>
        <v>0</v>
      </c>
      <c r="GS8" s="247">
        <f t="shared" si="44"/>
        <v>0</v>
      </c>
      <c r="GT8" s="246"/>
      <c r="GU8" s="246"/>
      <c r="GV8" s="246"/>
      <c r="GW8" s="246"/>
      <c r="GX8" s="246"/>
      <c r="GY8" s="246"/>
      <c r="GZ8" s="243">
        <f t="shared" si="45"/>
        <v>0</v>
      </c>
      <c r="HA8" s="246">
        <f t="shared" si="46"/>
        <v>0</v>
      </c>
      <c r="HB8" s="246"/>
      <c r="HC8" s="246"/>
      <c r="HD8" s="246"/>
      <c r="HE8" s="246"/>
      <c r="HF8" s="246"/>
      <c r="HG8" s="246"/>
      <c r="HH8" s="243">
        <f t="shared" si="47"/>
        <v>0</v>
      </c>
      <c r="HI8" s="246">
        <f t="shared" si="48"/>
        <v>0</v>
      </c>
      <c r="HJ8" s="246"/>
      <c r="HK8" s="246"/>
      <c r="HL8" s="246"/>
      <c r="HM8" s="246"/>
      <c r="HN8" s="246"/>
      <c r="HO8" s="246"/>
      <c r="HP8" s="243">
        <f t="shared" si="49"/>
        <v>0</v>
      </c>
      <c r="HQ8" s="246">
        <f t="shared" si="50"/>
        <v>0</v>
      </c>
      <c r="HR8" s="246"/>
      <c r="HS8" s="246"/>
      <c r="HT8" s="246"/>
      <c r="HU8" s="246"/>
      <c r="HV8" s="246"/>
      <c r="HW8" s="246"/>
      <c r="HX8" s="243">
        <f t="shared" si="51"/>
        <v>0</v>
      </c>
      <c r="HY8" s="246">
        <f t="shared" si="120"/>
        <v>0</v>
      </c>
      <c r="HZ8" s="246"/>
      <c r="IA8" s="246"/>
      <c r="IB8" s="246"/>
      <c r="IC8" s="246"/>
      <c r="ID8" s="246"/>
      <c r="IE8" s="246"/>
      <c r="IF8" s="243">
        <f t="shared" si="52"/>
        <v>0</v>
      </c>
      <c r="IG8" s="246">
        <f t="shared" si="121"/>
        <v>0</v>
      </c>
      <c r="IH8" s="246"/>
      <c r="II8" s="246"/>
      <c r="IJ8" s="246"/>
      <c r="IK8" s="246"/>
      <c r="IL8" s="246"/>
      <c r="IM8" s="246"/>
      <c r="IN8" s="243">
        <f t="shared" si="53"/>
        <v>0</v>
      </c>
      <c r="IO8" s="270">
        <f t="shared" si="122"/>
        <v>0</v>
      </c>
      <c r="IP8" s="246"/>
      <c r="IQ8" s="246"/>
      <c r="IR8" s="246"/>
      <c r="IS8" s="246"/>
      <c r="IT8" s="246"/>
      <c r="IU8" s="246"/>
      <c r="IV8" s="243">
        <f t="shared" si="54"/>
        <v>0</v>
      </c>
      <c r="IW8" s="246">
        <f t="shared" si="55"/>
        <v>0</v>
      </c>
      <c r="IX8" s="246"/>
      <c r="IY8" s="246"/>
      <c r="IZ8" s="246"/>
      <c r="JA8" s="246"/>
      <c r="JB8" s="246"/>
      <c r="JC8" s="246"/>
      <c r="JD8" s="243">
        <f t="shared" si="56"/>
        <v>0</v>
      </c>
      <c r="JE8" s="246">
        <f t="shared" si="57"/>
        <v>0</v>
      </c>
      <c r="JF8" s="246"/>
      <c r="JG8" s="246"/>
      <c r="JH8" s="246"/>
      <c r="JI8" s="246"/>
      <c r="JJ8" s="246"/>
      <c r="JK8" s="246"/>
      <c r="JL8" s="243">
        <f t="shared" si="58"/>
        <v>0</v>
      </c>
      <c r="JM8" s="246">
        <f t="shared" si="59"/>
        <v>0</v>
      </c>
      <c r="JN8" s="246"/>
      <c r="JO8" s="246"/>
      <c r="JP8" s="246"/>
      <c r="JQ8" s="246"/>
      <c r="JR8" s="246"/>
      <c r="JS8" s="246"/>
      <c r="JT8" s="243">
        <f t="shared" si="60"/>
        <v>0</v>
      </c>
      <c r="JU8" s="246">
        <f t="shared" si="61"/>
        <v>0</v>
      </c>
      <c r="JV8" s="246"/>
      <c r="JW8" s="246"/>
      <c r="JX8" s="246"/>
      <c r="JY8" s="246"/>
      <c r="JZ8" s="246"/>
      <c r="KA8" s="246"/>
      <c r="KB8" s="243">
        <f t="shared" si="62"/>
        <v>0</v>
      </c>
      <c r="KC8" s="246">
        <f t="shared" si="63"/>
        <v>0</v>
      </c>
      <c r="KD8" s="246"/>
      <c r="KE8" s="246"/>
      <c r="KF8" s="246"/>
      <c r="KG8" s="246"/>
      <c r="KH8" s="246"/>
      <c r="KI8" s="246"/>
      <c r="KJ8" s="243">
        <f t="shared" si="64"/>
        <v>0</v>
      </c>
      <c r="KK8" s="246">
        <f t="shared" si="65"/>
        <v>0</v>
      </c>
      <c r="KL8" s="246"/>
      <c r="KM8" s="246"/>
      <c r="KN8" s="246"/>
      <c r="KO8" s="246"/>
      <c r="KP8" s="246"/>
      <c r="KQ8" s="246"/>
      <c r="KR8" s="243">
        <f t="shared" si="66"/>
        <v>0</v>
      </c>
      <c r="KS8" s="246">
        <f t="shared" si="67"/>
        <v>0</v>
      </c>
      <c r="KT8" s="246"/>
      <c r="KU8" s="246"/>
      <c r="KV8" s="246"/>
      <c r="KW8" s="246"/>
      <c r="KX8" s="246"/>
      <c r="KY8" s="246"/>
      <c r="KZ8" s="243">
        <f t="shared" si="68"/>
        <v>0</v>
      </c>
      <c r="LA8" s="246">
        <f t="shared" si="69"/>
        <v>0</v>
      </c>
      <c r="LB8" s="246"/>
      <c r="LC8" s="246"/>
      <c r="LD8" s="246"/>
      <c r="LE8" s="246"/>
      <c r="LF8" s="246"/>
      <c r="LG8" s="246"/>
      <c r="LH8" s="243">
        <f t="shared" si="70"/>
        <v>0</v>
      </c>
      <c r="LI8" s="246">
        <f t="shared" si="71"/>
        <v>0</v>
      </c>
      <c r="LJ8" s="246"/>
      <c r="LK8" s="246"/>
      <c r="LL8" s="246"/>
      <c r="LM8" s="246"/>
      <c r="LN8" s="246"/>
      <c r="LO8" s="246"/>
      <c r="LP8" s="243">
        <f t="shared" si="72"/>
        <v>0</v>
      </c>
      <c r="LQ8" s="246">
        <f t="shared" si="73"/>
        <v>0</v>
      </c>
      <c r="LR8" s="246"/>
      <c r="LS8" s="246"/>
      <c r="LT8" s="244">
        <f t="shared" si="74"/>
        <v>0</v>
      </c>
      <c r="LU8" s="246"/>
      <c r="LV8" s="246"/>
      <c r="LW8" s="246"/>
      <c r="LX8" s="246"/>
      <c r="LY8" s="246"/>
      <c r="LZ8" s="246"/>
      <c r="MA8" s="246"/>
      <c r="MB8" s="243">
        <f t="shared" si="75"/>
        <v>0</v>
      </c>
      <c r="MC8" s="246">
        <f t="shared" si="76"/>
        <v>0</v>
      </c>
      <c r="MD8" s="246"/>
      <c r="ME8" s="246"/>
      <c r="MF8" s="246"/>
      <c r="MG8" s="246"/>
      <c r="MH8" s="246"/>
      <c r="MI8" s="246"/>
      <c r="MJ8" s="243">
        <f t="shared" si="77"/>
        <v>0</v>
      </c>
      <c r="MK8" s="246">
        <f t="shared" si="78"/>
        <v>0</v>
      </c>
      <c r="ML8" s="246"/>
      <c r="MM8" s="246"/>
      <c r="MN8" s="246"/>
      <c r="MO8" s="246"/>
      <c r="MP8" s="246"/>
      <c r="MQ8" s="246"/>
      <c r="MR8" s="243">
        <f t="shared" si="79"/>
        <v>0</v>
      </c>
      <c r="MS8" s="246">
        <f t="shared" si="80"/>
        <v>0</v>
      </c>
      <c r="MT8" s="246"/>
      <c r="MU8" s="246"/>
      <c r="MV8" s="246"/>
      <c r="MW8" s="246"/>
      <c r="MX8" s="246"/>
      <c r="MY8" s="246"/>
      <c r="MZ8" s="243">
        <f t="shared" si="81"/>
        <v>0</v>
      </c>
      <c r="NA8" s="246">
        <f t="shared" si="123"/>
        <v>0</v>
      </c>
      <c r="NB8" s="246"/>
      <c r="NC8" s="246"/>
      <c r="ND8" s="243">
        <f t="shared" si="82"/>
        <v>0</v>
      </c>
      <c r="NE8" s="248"/>
      <c r="NF8" s="246"/>
      <c r="NG8" s="246"/>
      <c r="NH8" s="246"/>
      <c r="NI8" s="246"/>
      <c r="NJ8" s="246"/>
      <c r="NK8" s="246"/>
      <c r="NL8" s="243">
        <f t="shared" si="83"/>
        <v>0</v>
      </c>
      <c r="NM8" s="246">
        <f t="shared" si="84"/>
        <v>0</v>
      </c>
      <c r="NN8" s="246"/>
      <c r="NO8" s="246"/>
      <c r="NP8" s="246"/>
      <c r="NQ8" s="246"/>
      <c r="NR8" s="246"/>
      <c r="NS8" s="246"/>
      <c r="NT8" s="243">
        <f t="shared" si="85"/>
        <v>0</v>
      </c>
      <c r="NU8" s="246">
        <f t="shared" si="86"/>
        <v>0</v>
      </c>
      <c r="NV8" s="246"/>
      <c r="NW8" s="246"/>
      <c r="NX8" s="246"/>
      <c r="NY8" s="246"/>
      <c r="NZ8" s="246"/>
      <c r="OA8" s="246"/>
      <c r="OB8" s="243">
        <f t="shared" si="87"/>
        <v>0</v>
      </c>
      <c r="OC8" s="246">
        <f t="shared" si="88"/>
        <v>0</v>
      </c>
      <c r="OD8" s="246"/>
      <c r="OE8" s="246"/>
      <c r="OF8" s="246"/>
      <c r="OG8" s="246"/>
      <c r="OH8" s="246"/>
      <c r="OI8" s="246"/>
      <c r="OJ8" s="243">
        <f t="shared" si="89"/>
        <v>0</v>
      </c>
      <c r="OK8" s="246">
        <f t="shared" si="124"/>
        <v>0</v>
      </c>
      <c r="OL8" s="246"/>
      <c r="OM8" s="246"/>
      <c r="ON8" s="246"/>
      <c r="OO8" s="246"/>
      <c r="OP8" s="246"/>
      <c r="OQ8" s="246"/>
      <c r="OR8" s="243">
        <f t="shared" si="90"/>
        <v>0</v>
      </c>
      <c r="OS8" s="246">
        <f t="shared" si="91"/>
        <v>0</v>
      </c>
      <c r="OT8" s="246"/>
      <c r="OU8" s="246"/>
      <c r="OV8" s="246"/>
      <c r="OW8" s="246"/>
      <c r="OX8" s="246"/>
      <c r="OY8" s="246"/>
      <c r="OZ8" s="243">
        <f t="shared" si="92"/>
        <v>0</v>
      </c>
      <c r="PA8" s="246">
        <v>0</v>
      </c>
      <c r="PB8" s="246"/>
      <c r="PC8" s="246"/>
      <c r="PD8" s="243">
        <f t="shared" si="93"/>
        <v>0</v>
      </c>
      <c r="PE8" s="246">
        <v>0</v>
      </c>
      <c r="PF8" s="246"/>
      <c r="PG8" s="246"/>
      <c r="PH8" s="246"/>
      <c r="PI8" s="246"/>
      <c r="PJ8" s="246"/>
      <c r="PK8" s="246"/>
      <c r="PL8" s="243">
        <f t="shared" si="94"/>
        <v>0</v>
      </c>
      <c r="PM8" s="276">
        <v>0</v>
      </c>
      <c r="PN8" s="246"/>
      <c r="PO8" s="246"/>
      <c r="PP8" s="246"/>
      <c r="PQ8" s="246"/>
      <c r="PR8" s="246"/>
      <c r="PS8" s="246"/>
      <c r="PT8" s="243">
        <f t="shared" si="95"/>
        <v>0</v>
      </c>
      <c r="PU8" s="246"/>
      <c r="PV8" s="246"/>
      <c r="PW8" s="246"/>
      <c r="PX8" s="246"/>
      <c r="PY8" s="246"/>
      <c r="PZ8" s="246"/>
      <c r="QA8" s="246"/>
      <c r="QB8" s="243">
        <f t="shared" si="96"/>
        <v>0</v>
      </c>
      <c r="QC8" s="246"/>
      <c r="QD8" s="246"/>
      <c r="QE8" s="246"/>
      <c r="QF8" s="246"/>
      <c r="QG8" s="246"/>
      <c r="QH8" s="246"/>
      <c r="QI8" s="246"/>
      <c r="QJ8" s="243">
        <f t="shared" si="97"/>
        <v>0</v>
      </c>
      <c r="QK8" s="246"/>
      <c r="QL8" s="246"/>
      <c r="QM8" s="246"/>
      <c r="QN8" s="246"/>
      <c r="QO8" s="246"/>
      <c r="QP8" s="243">
        <f t="shared" si="98"/>
        <v>0</v>
      </c>
      <c r="QQ8" s="248"/>
      <c r="QR8" s="246"/>
      <c r="QS8" s="246"/>
      <c r="QT8" s="246"/>
      <c r="QU8" s="246"/>
      <c r="QV8" s="243">
        <f t="shared" si="99"/>
        <v>0</v>
      </c>
      <c r="QW8" s="246"/>
      <c r="QX8" s="246"/>
      <c r="QY8" s="246"/>
      <c r="QZ8" s="246"/>
      <c r="RA8" s="246"/>
      <c r="RB8" s="246"/>
      <c r="RC8" s="246"/>
      <c r="RD8" s="243">
        <f t="shared" si="100"/>
        <v>0</v>
      </c>
      <c r="RE8" s="300"/>
      <c r="RF8" s="259">
        <f t="shared" si="101"/>
        <v>0</v>
      </c>
      <c r="RG8" s="259">
        <f t="shared" si="11"/>
        <v>25.414740000000002</v>
      </c>
      <c r="RH8" s="259">
        <f t="shared" si="11"/>
        <v>30.497688</v>
      </c>
      <c r="RI8" s="256">
        <f t="shared" si="12"/>
        <v>100</v>
      </c>
    </row>
    <row r="9" spans="1:477">
      <c r="A9" s="5" t="s">
        <v>42</v>
      </c>
      <c r="B9" s="263"/>
      <c r="C9" s="246"/>
      <c r="D9" s="246"/>
      <c r="E9" s="246"/>
      <c r="F9" s="246"/>
      <c r="G9" s="246"/>
      <c r="H9" s="254">
        <f t="shared" si="13"/>
        <v>0</v>
      </c>
      <c r="I9" s="246">
        <f t="shared" si="102"/>
        <v>0</v>
      </c>
      <c r="J9" s="263"/>
      <c r="K9" s="246"/>
      <c r="L9" s="246"/>
      <c r="M9" s="246"/>
      <c r="N9" s="246"/>
      <c r="O9" s="246"/>
      <c r="P9" s="243">
        <f t="shared" si="14"/>
        <v>0</v>
      </c>
      <c r="Q9" s="246">
        <f t="shared" si="103"/>
        <v>0</v>
      </c>
      <c r="R9" s="246"/>
      <c r="S9" s="246"/>
      <c r="T9" s="246"/>
      <c r="U9" s="246"/>
      <c r="V9" s="246"/>
      <c r="W9" s="246"/>
      <c r="X9" s="243">
        <f t="shared" si="15"/>
        <v>0</v>
      </c>
      <c r="Y9" s="246">
        <f t="shared" si="104"/>
        <v>0</v>
      </c>
      <c r="Z9" s="246"/>
      <c r="AA9" s="246"/>
      <c r="AB9" s="246"/>
      <c r="AC9" s="246"/>
      <c r="AD9" s="246"/>
      <c r="AE9" s="246"/>
      <c r="AF9" s="243">
        <f t="shared" si="16"/>
        <v>0</v>
      </c>
      <c r="AG9" s="246">
        <f t="shared" si="105"/>
        <v>0</v>
      </c>
      <c r="AH9" s="246"/>
      <c r="AI9" s="246"/>
      <c r="AJ9" s="246"/>
      <c r="AK9" s="246"/>
      <c r="AL9" s="246"/>
      <c r="AM9" s="246"/>
      <c r="AN9" s="243">
        <f t="shared" si="17"/>
        <v>0</v>
      </c>
      <c r="AO9" s="246">
        <f t="shared" si="106"/>
        <v>0</v>
      </c>
      <c r="AP9" s="246"/>
      <c r="AQ9" s="246"/>
      <c r="AR9" s="246"/>
      <c r="AS9" s="246"/>
      <c r="AT9" s="246"/>
      <c r="AU9" s="246"/>
      <c r="AV9" s="243">
        <f t="shared" si="18"/>
        <v>0</v>
      </c>
      <c r="AW9" s="246">
        <f t="shared" si="107"/>
        <v>0</v>
      </c>
      <c r="AX9" s="246"/>
      <c r="AY9" s="246"/>
      <c r="AZ9" s="246"/>
      <c r="BA9" s="246"/>
      <c r="BB9" s="246"/>
      <c r="BC9" s="246"/>
      <c r="BD9" s="243">
        <f t="shared" si="19"/>
        <v>0</v>
      </c>
      <c r="BE9" s="246">
        <f t="shared" si="108"/>
        <v>0</v>
      </c>
      <c r="BF9" s="246"/>
      <c r="BG9" s="246"/>
      <c r="BH9" s="246"/>
      <c r="BI9" s="246"/>
      <c r="BJ9" s="246"/>
      <c r="BK9" s="246"/>
      <c r="BL9" s="243">
        <f t="shared" si="20"/>
        <v>0</v>
      </c>
      <c r="BM9" s="246">
        <f t="shared" si="109"/>
        <v>0</v>
      </c>
      <c r="BN9" s="246"/>
      <c r="BO9" s="246"/>
      <c r="BP9" s="246"/>
      <c r="BQ9" s="246"/>
      <c r="BR9" s="246"/>
      <c r="BS9" s="246"/>
      <c r="BT9" s="243">
        <f t="shared" si="21"/>
        <v>0</v>
      </c>
      <c r="BU9" s="246">
        <f t="shared" si="110"/>
        <v>0</v>
      </c>
      <c r="BV9" s="246"/>
      <c r="BW9" s="246"/>
      <c r="BX9" s="246"/>
      <c r="BY9" s="246"/>
      <c r="BZ9" s="246"/>
      <c r="CA9" s="246"/>
      <c r="CB9" s="243">
        <f t="shared" si="22"/>
        <v>0</v>
      </c>
      <c r="CC9" s="246">
        <f t="shared" si="111"/>
        <v>0</v>
      </c>
      <c r="CD9" s="246"/>
      <c r="CE9" s="246"/>
      <c r="CF9" s="246"/>
      <c r="CG9" s="246"/>
      <c r="CH9" s="246"/>
      <c r="CI9" s="246"/>
      <c r="CJ9" s="243">
        <f t="shared" si="23"/>
        <v>0</v>
      </c>
      <c r="CK9" s="246">
        <f t="shared" si="112"/>
        <v>0</v>
      </c>
      <c r="CL9" s="246"/>
      <c r="CM9" s="246"/>
      <c r="CN9" s="246"/>
      <c r="CO9" s="246"/>
      <c r="CP9" s="246"/>
      <c r="CQ9" s="246"/>
      <c r="CR9" s="243">
        <f t="shared" si="24"/>
        <v>0</v>
      </c>
      <c r="CS9" s="246">
        <f t="shared" si="113"/>
        <v>0</v>
      </c>
      <c r="CT9" s="246"/>
      <c r="CU9" s="246"/>
      <c r="CV9" s="246"/>
      <c r="CW9" s="246"/>
      <c r="CX9" s="246"/>
      <c r="CY9" s="246"/>
      <c r="CZ9" s="243">
        <f t="shared" si="25"/>
        <v>0</v>
      </c>
      <c r="DA9" s="246">
        <f t="shared" si="114"/>
        <v>0</v>
      </c>
      <c r="DB9" s="246"/>
      <c r="DC9" s="246"/>
      <c r="DD9" s="246"/>
      <c r="DE9" s="246"/>
      <c r="DF9" s="246"/>
      <c r="DG9" s="246"/>
      <c r="DH9" s="243">
        <f t="shared" si="26"/>
        <v>0</v>
      </c>
      <c r="DI9" s="246">
        <f t="shared" si="27"/>
        <v>0</v>
      </c>
      <c r="DJ9" s="246"/>
      <c r="DK9" s="246"/>
      <c r="DL9" s="246"/>
      <c r="DM9" s="246"/>
      <c r="DN9" s="246"/>
      <c r="DO9" s="246"/>
      <c r="DP9" s="243">
        <f t="shared" si="28"/>
        <v>0</v>
      </c>
      <c r="DQ9" s="246">
        <f t="shared" si="29"/>
        <v>0</v>
      </c>
      <c r="DR9" s="246"/>
      <c r="DS9" s="246"/>
      <c r="DT9" s="246"/>
      <c r="DU9" s="246"/>
      <c r="DV9" s="246"/>
      <c r="DW9" s="246"/>
      <c r="DX9" s="243">
        <f t="shared" si="30"/>
        <v>0</v>
      </c>
      <c r="DY9" s="246">
        <f t="shared" si="115"/>
        <v>0</v>
      </c>
      <c r="DZ9" s="246"/>
      <c r="EA9" s="246"/>
      <c r="EB9" s="246"/>
      <c r="EC9" s="246"/>
      <c r="ED9" s="246"/>
      <c r="EE9" s="246"/>
      <c r="EF9" s="243">
        <f t="shared" si="31"/>
        <v>0</v>
      </c>
      <c r="EG9" s="246">
        <f t="shared" si="116"/>
        <v>0</v>
      </c>
      <c r="EH9" s="246"/>
      <c r="EI9" s="246"/>
      <c r="EJ9" s="246"/>
      <c r="EK9" s="246"/>
      <c r="EL9" s="246"/>
      <c r="EM9" s="246"/>
      <c r="EN9" s="243">
        <f t="shared" si="32"/>
        <v>0</v>
      </c>
      <c r="EO9" s="246">
        <f t="shared" si="117"/>
        <v>0</v>
      </c>
      <c r="EP9" s="246"/>
      <c r="EQ9" s="246"/>
      <c r="ER9" s="246"/>
      <c r="ES9" s="246"/>
      <c r="ET9" s="246"/>
      <c r="EU9" s="246"/>
      <c r="EV9" s="243">
        <f t="shared" si="33"/>
        <v>0</v>
      </c>
      <c r="EW9" s="246">
        <f t="shared" si="34"/>
        <v>0</v>
      </c>
      <c r="EX9" s="246"/>
      <c r="EY9" s="246"/>
      <c r="EZ9" s="246"/>
      <c r="FA9" s="246"/>
      <c r="FB9" s="246"/>
      <c r="FC9" s="246"/>
      <c r="FD9" s="243">
        <f t="shared" si="35"/>
        <v>0</v>
      </c>
      <c r="FE9" s="246">
        <f t="shared" si="36"/>
        <v>0</v>
      </c>
      <c r="FF9" s="246"/>
      <c r="FG9" s="246"/>
      <c r="FH9" s="246"/>
      <c r="FI9" s="246"/>
      <c r="FJ9" s="246"/>
      <c r="FK9" s="246"/>
      <c r="FL9" s="243">
        <f t="shared" si="37"/>
        <v>0</v>
      </c>
      <c r="FM9" s="246">
        <f t="shared" si="118"/>
        <v>0</v>
      </c>
      <c r="FN9" s="246">
        <v>39180.000000000051</v>
      </c>
      <c r="FO9" s="246">
        <v>34959.392990000008</v>
      </c>
      <c r="FP9" s="246">
        <v>35999.906493505841</v>
      </c>
      <c r="FQ9" s="246">
        <v>31030.722050000011</v>
      </c>
      <c r="FR9" s="246">
        <v>30130.43383357305</v>
      </c>
      <c r="FS9" s="246">
        <v>22969.7003</v>
      </c>
      <c r="FT9" s="243">
        <f t="shared" si="38"/>
        <v>27563.640359999998</v>
      </c>
      <c r="FU9" s="246">
        <f>FQ9/115*110-2000</f>
        <v>27681.560221739142</v>
      </c>
      <c r="FV9" s="246"/>
      <c r="FW9" s="246"/>
      <c r="FX9" s="246"/>
      <c r="FY9" s="246"/>
      <c r="FZ9" s="246"/>
      <c r="GA9" s="246"/>
      <c r="GB9" s="243">
        <f t="shared" si="40"/>
        <v>0</v>
      </c>
      <c r="GC9" s="246">
        <f t="shared" si="41"/>
        <v>0</v>
      </c>
      <c r="GD9" s="246"/>
      <c r="GE9" s="246"/>
      <c r="GF9" s="246"/>
      <c r="GG9" s="246"/>
      <c r="GH9" s="246"/>
      <c r="GI9" s="246"/>
      <c r="GJ9" s="243">
        <f t="shared" si="42"/>
        <v>0</v>
      </c>
      <c r="GK9" s="246">
        <f t="shared" si="119"/>
        <v>0</v>
      </c>
      <c r="GL9" s="246"/>
      <c r="GM9" s="246"/>
      <c r="GN9" s="246"/>
      <c r="GO9" s="246"/>
      <c r="GP9" s="246"/>
      <c r="GQ9" s="246"/>
      <c r="GR9" s="243">
        <f t="shared" si="43"/>
        <v>0</v>
      </c>
      <c r="GS9" s="247">
        <f t="shared" si="44"/>
        <v>0</v>
      </c>
      <c r="GT9" s="246"/>
      <c r="GU9" s="246"/>
      <c r="GV9" s="246"/>
      <c r="GW9" s="246"/>
      <c r="GX9" s="246"/>
      <c r="GY9" s="246"/>
      <c r="GZ9" s="243">
        <f t="shared" si="45"/>
        <v>0</v>
      </c>
      <c r="HA9" s="246">
        <f t="shared" si="46"/>
        <v>0</v>
      </c>
      <c r="HB9" s="246"/>
      <c r="HC9" s="246"/>
      <c r="HD9" s="246"/>
      <c r="HE9" s="246"/>
      <c r="HF9" s="246"/>
      <c r="HG9" s="246"/>
      <c r="HH9" s="243">
        <f t="shared" si="47"/>
        <v>0</v>
      </c>
      <c r="HI9" s="246">
        <f t="shared" si="48"/>
        <v>0</v>
      </c>
      <c r="HJ9" s="246"/>
      <c r="HK9" s="246"/>
      <c r="HL9" s="246"/>
      <c r="HM9" s="246"/>
      <c r="HN9" s="246"/>
      <c r="HO9" s="246"/>
      <c r="HP9" s="243">
        <f t="shared" si="49"/>
        <v>0</v>
      </c>
      <c r="HQ9" s="246">
        <f t="shared" si="50"/>
        <v>0</v>
      </c>
      <c r="HR9" s="246"/>
      <c r="HS9" s="246"/>
      <c r="HT9" s="246"/>
      <c r="HU9" s="246"/>
      <c r="HV9" s="246"/>
      <c r="HW9" s="246"/>
      <c r="HX9" s="243">
        <f t="shared" si="51"/>
        <v>0</v>
      </c>
      <c r="HY9" s="246">
        <f t="shared" si="120"/>
        <v>0</v>
      </c>
      <c r="HZ9" s="246"/>
      <c r="IA9" s="246"/>
      <c r="IB9" s="246"/>
      <c r="IC9" s="246"/>
      <c r="ID9" s="246"/>
      <c r="IE9" s="246"/>
      <c r="IF9" s="243">
        <f t="shared" si="52"/>
        <v>0</v>
      </c>
      <c r="IG9" s="246">
        <f t="shared" si="121"/>
        <v>0</v>
      </c>
      <c r="IH9" s="246"/>
      <c r="II9" s="246"/>
      <c r="IJ9" s="246"/>
      <c r="IK9" s="246"/>
      <c r="IL9" s="246"/>
      <c r="IM9" s="246"/>
      <c r="IN9" s="243">
        <f t="shared" si="53"/>
        <v>0</v>
      </c>
      <c r="IO9" s="270">
        <f t="shared" si="122"/>
        <v>0</v>
      </c>
      <c r="IP9" s="246"/>
      <c r="IQ9" s="246"/>
      <c r="IR9" s="246"/>
      <c r="IS9" s="246"/>
      <c r="IT9" s="246"/>
      <c r="IU9" s="246"/>
      <c r="IV9" s="243">
        <f t="shared" si="54"/>
        <v>0</v>
      </c>
      <c r="IW9" s="246">
        <f t="shared" si="55"/>
        <v>0</v>
      </c>
      <c r="IX9" s="246"/>
      <c r="IY9" s="246"/>
      <c r="IZ9" s="246"/>
      <c r="JA9" s="246"/>
      <c r="JB9" s="246"/>
      <c r="JC9" s="246"/>
      <c r="JD9" s="243">
        <f t="shared" si="56"/>
        <v>0</v>
      </c>
      <c r="JE9" s="246">
        <f t="shared" si="57"/>
        <v>0</v>
      </c>
      <c r="JF9" s="246"/>
      <c r="JG9" s="246"/>
      <c r="JH9" s="246"/>
      <c r="JI9" s="246"/>
      <c r="JJ9" s="246"/>
      <c r="JK9" s="246"/>
      <c r="JL9" s="243">
        <f t="shared" si="58"/>
        <v>0</v>
      </c>
      <c r="JM9" s="246">
        <f t="shared" si="59"/>
        <v>0</v>
      </c>
      <c r="JN9" s="246"/>
      <c r="JO9" s="246"/>
      <c r="JP9" s="246"/>
      <c r="JQ9" s="246"/>
      <c r="JR9" s="246"/>
      <c r="JS9" s="246"/>
      <c r="JT9" s="243">
        <f t="shared" si="60"/>
        <v>0</v>
      </c>
      <c r="JU9" s="246">
        <f t="shared" si="61"/>
        <v>0</v>
      </c>
      <c r="JV9" s="246"/>
      <c r="JW9" s="246"/>
      <c r="JX9" s="246"/>
      <c r="JY9" s="246"/>
      <c r="JZ9" s="246"/>
      <c r="KA9" s="246"/>
      <c r="KB9" s="243">
        <f t="shared" si="62"/>
        <v>0</v>
      </c>
      <c r="KC9" s="246">
        <f t="shared" si="63"/>
        <v>0</v>
      </c>
      <c r="KD9" s="246"/>
      <c r="KE9" s="246"/>
      <c r="KF9" s="246"/>
      <c r="KG9" s="246"/>
      <c r="KH9" s="246"/>
      <c r="KI9" s="246"/>
      <c r="KJ9" s="243">
        <f t="shared" si="64"/>
        <v>0</v>
      </c>
      <c r="KK9" s="246">
        <f t="shared" si="65"/>
        <v>0</v>
      </c>
      <c r="KL9" s="246"/>
      <c r="KM9" s="246"/>
      <c r="KN9" s="246"/>
      <c r="KO9" s="246"/>
      <c r="KP9" s="246"/>
      <c r="KQ9" s="246"/>
      <c r="KR9" s="243">
        <f t="shared" si="66"/>
        <v>0</v>
      </c>
      <c r="KS9" s="246">
        <f t="shared" si="67"/>
        <v>0</v>
      </c>
      <c r="KT9" s="246"/>
      <c r="KU9" s="246"/>
      <c r="KV9" s="246"/>
      <c r="KW9" s="246"/>
      <c r="KX9" s="246"/>
      <c r="KY9" s="246"/>
      <c r="KZ9" s="243">
        <f t="shared" si="68"/>
        <v>0</v>
      </c>
      <c r="LA9" s="246">
        <f t="shared" si="69"/>
        <v>0</v>
      </c>
      <c r="LB9" s="246"/>
      <c r="LC9" s="246"/>
      <c r="LD9" s="246"/>
      <c r="LE9" s="246"/>
      <c r="LF9" s="246"/>
      <c r="LG9" s="246"/>
      <c r="LH9" s="243">
        <f t="shared" si="70"/>
        <v>0</v>
      </c>
      <c r="LI9" s="246">
        <f t="shared" si="71"/>
        <v>0</v>
      </c>
      <c r="LJ9" s="246"/>
      <c r="LK9" s="246"/>
      <c r="LL9" s="246"/>
      <c r="LM9" s="246"/>
      <c r="LN9" s="246"/>
      <c r="LO9" s="246"/>
      <c r="LP9" s="243">
        <f t="shared" si="72"/>
        <v>0</v>
      </c>
      <c r="LQ9" s="246">
        <f t="shared" si="73"/>
        <v>0</v>
      </c>
      <c r="LR9" s="246"/>
      <c r="LS9" s="246"/>
      <c r="LT9" s="244">
        <f t="shared" si="74"/>
        <v>0</v>
      </c>
      <c r="LU9" s="246"/>
      <c r="LV9" s="246"/>
      <c r="LW9" s="246"/>
      <c r="LX9" s="246"/>
      <c r="LY9" s="246"/>
      <c r="LZ9" s="246"/>
      <c r="MA9" s="246"/>
      <c r="MB9" s="243">
        <f t="shared" si="75"/>
        <v>0</v>
      </c>
      <c r="MC9" s="246">
        <f t="shared" si="76"/>
        <v>0</v>
      </c>
      <c r="MD9" s="246"/>
      <c r="ME9" s="246"/>
      <c r="MF9" s="246"/>
      <c r="MG9" s="246"/>
      <c r="MH9" s="246"/>
      <c r="MI9" s="246"/>
      <c r="MJ9" s="243">
        <f t="shared" si="77"/>
        <v>0</v>
      </c>
      <c r="MK9" s="246">
        <f t="shared" si="78"/>
        <v>0</v>
      </c>
      <c r="ML9" s="246"/>
      <c r="MM9" s="246"/>
      <c r="MN9" s="246"/>
      <c r="MO9" s="246"/>
      <c r="MP9" s="246"/>
      <c r="MQ9" s="246"/>
      <c r="MR9" s="243">
        <f t="shared" si="79"/>
        <v>0</v>
      </c>
      <c r="MS9" s="246">
        <f t="shared" si="80"/>
        <v>0</v>
      </c>
      <c r="MT9" s="246"/>
      <c r="MU9" s="246"/>
      <c r="MV9" s="246"/>
      <c r="MW9" s="246"/>
      <c r="MX9" s="246"/>
      <c r="MY9" s="246"/>
      <c r="MZ9" s="243">
        <f t="shared" si="81"/>
        <v>0</v>
      </c>
      <c r="NA9" s="246">
        <f t="shared" si="123"/>
        <v>0</v>
      </c>
      <c r="NB9" s="246"/>
      <c r="NC9" s="246"/>
      <c r="ND9" s="243">
        <f t="shared" si="82"/>
        <v>0</v>
      </c>
      <c r="NE9" s="248"/>
      <c r="NF9" s="246"/>
      <c r="NG9" s="246"/>
      <c r="NH9" s="246"/>
      <c r="NI9" s="246"/>
      <c r="NJ9" s="246"/>
      <c r="NK9" s="246"/>
      <c r="NL9" s="243">
        <f t="shared" si="83"/>
        <v>0</v>
      </c>
      <c r="NM9" s="246">
        <f t="shared" si="84"/>
        <v>0</v>
      </c>
      <c r="NN9" s="246"/>
      <c r="NO9" s="246"/>
      <c r="NP9" s="246"/>
      <c r="NQ9" s="246"/>
      <c r="NR9" s="246"/>
      <c r="NS9" s="246"/>
      <c r="NT9" s="243">
        <f t="shared" si="85"/>
        <v>0</v>
      </c>
      <c r="NU9" s="246">
        <f t="shared" si="86"/>
        <v>0</v>
      </c>
      <c r="NV9" s="246"/>
      <c r="NW9" s="246"/>
      <c r="NX9" s="246"/>
      <c r="NY9" s="246"/>
      <c r="NZ9" s="246"/>
      <c r="OA9" s="246"/>
      <c r="OB9" s="243">
        <f t="shared" si="87"/>
        <v>0</v>
      </c>
      <c r="OC9" s="246">
        <f t="shared" si="88"/>
        <v>0</v>
      </c>
      <c r="OD9" s="246"/>
      <c r="OE9" s="246"/>
      <c r="OF9" s="246"/>
      <c r="OG9" s="246"/>
      <c r="OH9" s="246"/>
      <c r="OI9" s="246"/>
      <c r="OJ9" s="243">
        <f t="shared" si="89"/>
        <v>0</v>
      </c>
      <c r="OK9" s="246">
        <f t="shared" si="124"/>
        <v>0</v>
      </c>
      <c r="OL9" s="246"/>
      <c r="OM9" s="246"/>
      <c r="ON9" s="246"/>
      <c r="OO9" s="246"/>
      <c r="OP9" s="246"/>
      <c r="OQ9" s="246"/>
      <c r="OR9" s="243">
        <f t="shared" si="90"/>
        <v>0</v>
      </c>
      <c r="OS9" s="246">
        <f t="shared" si="91"/>
        <v>0</v>
      </c>
      <c r="OT9" s="246"/>
      <c r="OU9" s="246"/>
      <c r="OV9" s="246"/>
      <c r="OW9" s="246"/>
      <c r="OX9" s="246"/>
      <c r="OY9" s="246"/>
      <c r="OZ9" s="243">
        <f t="shared" si="92"/>
        <v>0</v>
      </c>
      <c r="PA9" s="246">
        <v>0</v>
      </c>
      <c r="PB9" s="246"/>
      <c r="PC9" s="246"/>
      <c r="PD9" s="243">
        <f t="shared" si="93"/>
        <v>0</v>
      </c>
      <c r="PE9" s="246">
        <v>0</v>
      </c>
      <c r="PF9" s="246"/>
      <c r="PG9" s="246"/>
      <c r="PH9" s="246"/>
      <c r="PI9" s="246"/>
      <c r="PJ9" s="246"/>
      <c r="PK9" s="246"/>
      <c r="PL9" s="243">
        <f t="shared" si="94"/>
        <v>0</v>
      </c>
      <c r="PM9" s="276">
        <v>0</v>
      </c>
      <c r="PN9" s="246"/>
      <c r="PO9" s="246"/>
      <c r="PP9" s="246">
        <v>2500</v>
      </c>
      <c r="PQ9" s="246">
        <v>0</v>
      </c>
      <c r="PR9" s="246">
        <v>2869.5651270069502</v>
      </c>
      <c r="PS9" s="246">
        <v>0</v>
      </c>
      <c r="PT9" s="243">
        <f t="shared" si="95"/>
        <v>0</v>
      </c>
      <c r="PU9" s="246"/>
      <c r="PV9" s="246"/>
      <c r="PW9" s="246"/>
      <c r="PX9" s="246"/>
      <c r="PY9" s="246"/>
      <c r="PZ9" s="246"/>
      <c r="QA9" s="246"/>
      <c r="QB9" s="243">
        <f t="shared" si="96"/>
        <v>0</v>
      </c>
      <c r="QC9" s="246"/>
      <c r="QD9" s="246"/>
      <c r="QE9" s="246"/>
      <c r="QF9" s="246"/>
      <c r="QG9" s="246"/>
      <c r="QH9" s="246"/>
      <c r="QI9" s="246"/>
      <c r="QJ9" s="243">
        <f t="shared" si="97"/>
        <v>0</v>
      </c>
      <c r="QK9" s="246"/>
      <c r="QL9" s="246"/>
      <c r="QM9" s="246"/>
      <c r="QN9" s="246"/>
      <c r="QO9" s="246"/>
      <c r="QP9" s="243">
        <f t="shared" si="98"/>
        <v>0</v>
      </c>
      <c r="QQ9" s="248"/>
      <c r="QR9" s="246"/>
      <c r="QS9" s="246"/>
      <c r="QT9" s="246"/>
      <c r="QU9" s="246"/>
      <c r="QV9" s="243">
        <f t="shared" si="99"/>
        <v>0</v>
      </c>
      <c r="QW9" s="246"/>
      <c r="QX9" s="246"/>
      <c r="QY9" s="246"/>
      <c r="QZ9" s="246"/>
      <c r="RA9" s="246"/>
      <c r="RB9" s="246"/>
      <c r="RC9" s="246"/>
      <c r="RD9" s="243">
        <f t="shared" si="100"/>
        <v>0</v>
      </c>
      <c r="RE9" s="300"/>
      <c r="RF9" s="259">
        <f t="shared" si="101"/>
        <v>32999.99896058</v>
      </c>
      <c r="RG9" s="259">
        <f t="shared" si="11"/>
        <v>22969.7003</v>
      </c>
      <c r="RH9" s="259">
        <f t="shared" si="11"/>
        <v>27563.640359999998</v>
      </c>
      <c r="RI9" s="256">
        <f t="shared" si="12"/>
        <v>27681.560221739142</v>
      </c>
    </row>
    <row r="10" spans="1:477">
      <c r="A10" s="5" t="s">
        <v>130</v>
      </c>
      <c r="B10" s="263">
        <v>284.00771202209398</v>
      </c>
      <c r="C10" s="246">
        <v>273.76471999999904</v>
      </c>
      <c r="D10" s="246">
        <v>275.35571143851502</v>
      </c>
      <c r="E10" s="246">
        <v>255.65116999999998</v>
      </c>
      <c r="F10" s="246">
        <v>164.05115080564599</v>
      </c>
      <c r="G10" s="246">
        <v>42.348869999999991</v>
      </c>
      <c r="H10" s="254">
        <f t="shared" si="13"/>
        <v>50.818643999999985</v>
      </c>
      <c r="I10" s="246">
        <f>50+5</f>
        <v>55</v>
      </c>
      <c r="J10" s="263">
        <v>1528.2930621436021</v>
      </c>
      <c r="K10" s="246">
        <v>1562.9751799999997</v>
      </c>
      <c r="L10" s="246">
        <v>1575.640071845798</v>
      </c>
      <c r="M10" s="246">
        <v>1549.5926000000009</v>
      </c>
      <c r="N10" s="246">
        <v>73</v>
      </c>
      <c r="O10" s="246">
        <v>86.14304000000007</v>
      </c>
      <c r="P10" s="243">
        <f t="shared" si="14"/>
        <v>103.37164800000009</v>
      </c>
      <c r="Q10" s="246">
        <v>105</v>
      </c>
      <c r="R10" s="246">
        <v>560.01540464087498</v>
      </c>
      <c r="S10" s="246">
        <v>243.36449000000002</v>
      </c>
      <c r="T10" s="246">
        <v>243.00089983406798</v>
      </c>
      <c r="U10" s="246">
        <v>246.61578</v>
      </c>
      <c r="V10" s="246">
        <v>69</v>
      </c>
      <c r="W10" s="246">
        <v>165.47702000000001</v>
      </c>
      <c r="X10" s="243">
        <f t="shared" si="15"/>
        <v>198.57242400000001</v>
      </c>
      <c r="Y10" s="246">
        <v>210</v>
      </c>
      <c r="Z10" s="246">
        <v>1489.0409598397541</v>
      </c>
      <c r="AA10" s="246">
        <v>1285.745089999999</v>
      </c>
      <c r="AB10" s="246">
        <v>1391.586466066404</v>
      </c>
      <c r="AC10" s="246">
        <v>1478.8598500000001</v>
      </c>
      <c r="AD10" s="246">
        <v>193</v>
      </c>
      <c r="AE10" s="246">
        <v>163.62911000000008</v>
      </c>
      <c r="AF10" s="243">
        <f t="shared" si="16"/>
        <v>196.35493200000008</v>
      </c>
      <c r="AG10" s="246">
        <v>193</v>
      </c>
      <c r="AH10" s="246">
        <v>87.945242627796006</v>
      </c>
      <c r="AI10" s="246">
        <v>101.24538999999899</v>
      </c>
      <c r="AJ10" s="246">
        <v>101.09412788221999</v>
      </c>
      <c r="AK10" s="246">
        <v>103.27812999999999</v>
      </c>
      <c r="AL10" s="246">
        <v>12</v>
      </c>
      <c r="AM10" s="246">
        <v>8.0345900000000032</v>
      </c>
      <c r="AN10" s="243">
        <f t="shared" si="17"/>
        <v>9.6415080000000053</v>
      </c>
      <c r="AO10" s="246">
        <f>10+5</f>
        <v>15</v>
      </c>
      <c r="AP10" s="246">
        <v>474.01218474721895</v>
      </c>
      <c r="AQ10" s="246">
        <v>445.72645999999997</v>
      </c>
      <c r="AR10" s="246">
        <v>445.060538042563</v>
      </c>
      <c r="AS10" s="246">
        <v>371.85485</v>
      </c>
      <c r="AT10" s="246">
        <v>169</v>
      </c>
      <c r="AU10" s="246">
        <v>156.02451000000002</v>
      </c>
      <c r="AV10" s="243">
        <f t="shared" si="18"/>
        <v>187.22941200000002</v>
      </c>
      <c r="AW10" s="246">
        <f>172+18</f>
        <v>190</v>
      </c>
      <c r="AX10" s="246">
        <v>1950.0510003646111</v>
      </c>
      <c r="AY10" s="246">
        <v>1778.5910500000023</v>
      </c>
      <c r="AZ10" s="246">
        <v>1640.933808530657</v>
      </c>
      <c r="BA10" s="246">
        <v>1426.4311699999998</v>
      </c>
      <c r="BB10" s="246">
        <v>223</v>
      </c>
      <c r="BC10" s="246">
        <v>384.04419000000007</v>
      </c>
      <c r="BD10" s="243">
        <f t="shared" si="19"/>
        <v>460.85302800000005</v>
      </c>
      <c r="BE10" s="246">
        <v>472</v>
      </c>
      <c r="BF10" s="246">
        <v>16.023960531829999</v>
      </c>
      <c r="BG10" s="246">
        <v>18.449140000000003</v>
      </c>
      <c r="BH10" s="246">
        <v>20.421576710570999</v>
      </c>
      <c r="BI10" s="246">
        <v>10.910780000000001</v>
      </c>
      <c r="BJ10" s="246">
        <v>2</v>
      </c>
      <c r="BK10" s="246">
        <v>1.2410000000000003</v>
      </c>
      <c r="BL10" s="243">
        <f t="shared" si="20"/>
        <v>1.4892000000000003</v>
      </c>
      <c r="BM10" s="246">
        <v>2</v>
      </c>
      <c r="BN10" s="246">
        <v>353.278649212434</v>
      </c>
      <c r="BO10" s="246">
        <v>190.74820999999901</v>
      </c>
      <c r="BP10" s="246">
        <v>227.46322933858602</v>
      </c>
      <c r="BQ10" s="246">
        <v>118.41521999999901</v>
      </c>
      <c r="BR10" s="246">
        <v>57.692740704506001</v>
      </c>
      <c r="BS10" s="246">
        <v>15.119179999999989</v>
      </c>
      <c r="BT10" s="243">
        <f t="shared" si="21"/>
        <v>18.143015999999989</v>
      </c>
      <c r="BU10" s="246">
        <f>BQ10/115*110-88</f>
        <v>25.266732173912104</v>
      </c>
      <c r="BV10" s="246">
        <v>1285.6623097964211</v>
      </c>
      <c r="BW10" s="246">
        <v>1303.792489999996</v>
      </c>
      <c r="BX10" s="246">
        <v>1341.844604637681</v>
      </c>
      <c r="BY10" s="246">
        <v>1059.3718800000001</v>
      </c>
      <c r="BZ10" s="246">
        <v>873.71844853426296</v>
      </c>
      <c r="CA10" s="246">
        <v>430.48131000000006</v>
      </c>
      <c r="CB10" s="243">
        <f t="shared" si="22"/>
        <v>516.57757200000003</v>
      </c>
      <c r="CC10" s="246">
        <v>528</v>
      </c>
      <c r="CD10" s="246">
        <v>42.332043057694001</v>
      </c>
      <c r="CE10" s="246">
        <v>48.861070000000005</v>
      </c>
      <c r="CF10" s="246">
        <v>48.788070835048003</v>
      </c>
      <c r="CG10" s="246">
        <v>59.113340000000001</v>
      </c>
      <c r="CH10" s="246">
        <v>50.060503372920998</v>
      </c>
      <c r="CI10" s="246">
        <v>37.73563</v>
      </c>
      <c r="CJ10" s="243">
        <f t="shared" si="23"/>
        <v>45.282756000000006</v>
      </c>
      <c r="CK10" s="246">
        <v>47</v>
      </c>
      <c r="CL10" s="246">
        <v>60.584367186462998</v>
      </c>
      <c r="CM10" s="246">
        <v>85.636039999998999</v>
      </c>
      <c r="CN10" s="246">
        <v>85.508098483168993</v>
      </c>
      <c r="CO10" s="246">
        <v>80.197620000000001</v>
      </c>
      <c r="CP10" s="246">
        <v>13</v>
      </c>
      <c r="CQ10" s="246">
        <v>6.3503499999999988</v>
      </c>
      <c r="CR10" s="243">
        <f t="shared" si="24"/>
        <v>7.6204199999999993</v>
      </c>
      <c r="CS10" s="246">
        <v>8</v>
      </c>
      <c r="CT10" s="246">
        <v>78.918250919326994</v>
      </c>
      <c r="CU10" s="246">
        <v>34.624960000000002</v>
      </c>
      <c r="CV10" s="246">
        <v>144.99999999999901</v>
      </c>
      <c r="CW10" s="246">
        <v>103.92053</v>
      </c>
      <c r="CX10" s="246">
        <v>603</v>
      </c>
      <c r="CY10" s="246">
        <v>107.24166</v>
      </c>
      <c r="CZ10" s="243">
        <f t="shared" si="25"/>
        <v>128.68999200000002</v>
      </c>
      <c r="DA10" s="271">
        <f>129+529</f>
        <v>658</v>
      </c>
      <c r="DB10" s="246"/>
      <c r="DC10" s="246"/>
      <c r="DD10" s="246"/>
      <c r="DE10" s="246"/>
      <c r="DF10" s="246"/>
      <c r="DG10" s="246"/>
      <c r="DH10" s="243">
        <f t="shared" si="26"/>
        <v>0</v>
      </c>
      <c r="DI10" s="246">
        <f t="shared" si="27"/>
        <v>0</v>
      </c>
      <c r="DJ10" s="246"/>
      <c r="DK10" s="246"/>
      <c r="DL10" s="246"/>
      <c r="DM10" s="246"/>
      <c r="DN10" s="246"/>
      <c r="DO10" s="246"/>
      <c r="DP10" s="243">
        <f t="shared" si="28"/>
        <v>0</v>
      </c>
      <c r="DQ10" s="246">
        <f t="shared" si="29"/>
        <v>0</v>
      </c>
      <c r="DR10" s="246">
        <v>242.00610683977399</v>
      </c>
      <c r="DS10" s="246">
        <v>232.65827999999797</v>
      </c>
      <c r="DT10" s="246">
        <v>243.31068507096799</v>
      </c>
      <c r="DU10" s="246">
        <v>325.23500000000001</v>
      </c>
      <c r="DV10" s="246">
        <v>83</v>
      </c>
      <c r="DW10" s="246">
        <v>97.338610000000003</v>
      </c>
      <c r="DX10" s="243">
        <f t="shared" si="30"/>
        <v>116.80633200000001</v>
      </c>
      <c r="DY10" s="246">
        <v>111</v>
      </c>
      <c r="DZ10" s="246">
        <v>137.42484553657999</v>
      </c>
      <c r="EA10" s="246">
        <v>466.90870000000001</v>
      </c>
      <c r="EB10" s="246">
        <v>466.21113146110702</v>
      </c>
      <c r="EC10" s="246">
        <v>536.50610000000006</v>
      </c>
      <c r="ED10" s="246">
        <v>270</v>
      </c>
      <c r="EE10" s="246">
        <v>202.92340999999999</v>
      </c>
      <c r="EF10" s="243">
        <f t="shared" si="31"/>
        <v>243.508092</v>
      </c>
      <c r="EG10" s="246">
        <v>243</v>
      </c>
      <c r="EH10" s="246">
        <v>7.888908373105</v>
      </c>
      <c r="EI10" s="246">
        <v>5.3337899999990004</v>
      </c>
      <c r="EJ10" s="246">
        <v>13.325821238447</v>
      </c>
      <c r="EK10" s="246">
        <v>10.51815</v>
      </c>
      <c r="EL10" s="246">
        <v>9.1570100466589999</v>
      </c>
      <c r="EM10" s="246">
        <v>2.9150700000000001</v>
      </c>
      <c r="EN10" s="243">
        <f t="shared" si="32"/>
        <v>3.4980840000000004</v>
      </c>
      <c r="EO10" s="246">
        <f>EK10/115*110-3</f>
        <v>7.0608391304347826</v>
      </c>
      <c r="EP10" s="246"/>
      <c r="EQ10" s="246"/>
      <c r="ER10" s="246"/>
      <c r="ES10" s="246"/>
      <c r="ET10" s="246"/>
      <c r="EU10" s="246"/>
      <c r="EV10" s="243">
        <f t="shared" si="33"/>
        <v>0</v>
      </c>
      <c r="EW10" s="246">
        <f t="shared" si="34"/>
        <v>0</v>
      </c>
      <c r="EX10" s="246">
        <v>0</v>
      </c>
      <c r="EY10" s="246">
        <v>0.35659999999999997</v>
      </c>
      <c r="EZ10" s="246">
        <v>0.35606723429800002</v>
      </c>
      <c r="FA10" s="246">
        <v>1.37564</v>
      </c>
      <c r="FB10" s="246">
        <v>0</v>
      </c>
      <c r="FC10" s="246">
        <v>4.3409899999999997</v>
      </c>
      <c r="FD10" s="243">
        <f t="shared" si="35"/>
        <v>5.2091879999999993</v>
      </c>
      <c r="FE10" s="246">
        <v>3</v>
      </c>
      <c r="FF10" s="246">
        <v>318.42113976574899</v>
      </c>
      <c r="FG10" s="246">
        <v>283.63287999999898</v>
      </c>
      <c r="FH10" s="246">
        <v>307.90797077200295</v>
      </c>
      <c r="FI10" s="246">
        <v>280.76718</v>
      </c>
      <c r="FJ10" s="246">
        <v>147</v>
      </c>
      <c r="FK10" s="246">
        <v>210.02682999999999</v>
      </c>
      <c r="FL10" s="243">
        <f t="shared" si="37"/>
        <v>252.03219599999997</v>
      </c>
      <c r="FM10" s="246">
        <f t="shared" si="118"/>
        <v>268.55991130434779</v>
      </c>
      <c r="FN10" s="246">
        <v>103.66775782872899</v>
      </c>
      <c r="FO10" s="246">
        <v>0</v>
      </c>
      <c r="FP10" s="246">
        <v>13.999999999999</v>
      </c>
      <c r="FQ10" s="246">
        <v>0</v>
      </c>
      <c r="FR10" s="246"/>
      <c r="FS10" s="246"/>
      <c r="FT10" s="243">
        <f t="shared" si="38"/>
        <v>0</v>
      </c>
      <c r="FU10" s="246">
        <f t="shared" si="39"/>
        <v>0</v>
      </c>
      <c r="FV10" s="246"/>
      <c r="FW10" s="246"/>
      <c r="FX10" s="246"/>
      <c r="FY10" s="246"/>
      <c r="FZ10" s="246"/>
      <c r="GA10" s="246"/>
      <c r="GB10" s="243">
        <f t="shared" si="40"/>
        <v>0</v>
      </c>
      <c r="GC10" s="246">
        <f t="shared" si="41"/>
        <v>0</v>
      </c>
      <c r="GD10" s="246">
        <v>15.491485606792001</v>
      </c>
      <c r="GE10" s="246">
        <v>35.77026</v>
      </c>
      <c r="GF10" s="246">
        <v>97.716818699797003</v>
      </c>
      <c r="GG10" s="246">
        <v>105.09923000000001</v>
      </c>
      <c r="GH10" s="246">
        <v>100</v>
      </c>
      <c r="GI10" s="246">
        <v>57.367170000000002</v>
      </c>
      <c r="GJ10" s="243">
        <f t="shared" si="42"/>
        <v>68.840604000000013</v>
      </c>
      <c r="GK10" s="246">
        <f>GG10/115*110-2-25</f>
        <v>73.52969826086958</v>
      </c>
      <c r="GL10" s="246">
        <v>0.83338376519299995</v>
      </c>
      <c r="GM10" s="246">
        <v>5.9475899999999999</v>
      </c>
      <c r="GN10" s="246">
        <v>5.9387042121220004</v>
      </c>
      <c r="GO10" s="246">
        <v>8.8534199999999998</v>
      </c>
      <c r="GP10" s="246">
        <v>9.5650033724460002</v>
      </c>
      <c r="GQ10" s="246">
        <v>2.5916399999999999</v>
      </c>
      <c r="GR10" s="243">
        <f t="shared" si="43"/>
        <v>3.1099680000000003</v>
      </c>
      <c r="GS10" s="247">
        <f>GO10/115*110+2</f>
        <v>10.468488695652173</v>
      </c>
      <c r="GT10" s="246"/>
      <c r="GU10" s="246"/>
      <c r="GV10" s="246"/>
      <c r="GW10" s="246"/>
      <c r="GX10" s="246"/>
      <c r="GY10" s="246"/>
      <c r="GZ10" s="243">
        <f t="shared" si="45"/>
        <v>0</v>
      </c>
      <c r="HA10" s="246">
        <f t="shared" si="46"/>
        <v>0</v>
      </c>
      <c r="HB10" s="246"/>
      <c r="HC10" s="246"/>
      <c r="HD10" s="246"/>
      <c r="HE10" s="246"/>
      <c r="HF10" s="246"/>
      <c r="HG10" s="246"/>
      <c r="HH10" s="243">
        <f t="shared" si="47"/>
        <v>0</v>
      </c>
      <c r="HI10" s="246">
        <f t="shared" si="48"/>
        <v>0</v>
      </c>
      <c r="HJ10" s="246"/>
      <c r="HK10" s="246"/>
      <c r="HL10" s="246"/>
      <c r="HM10" s="246"/>
      <c r="HN10" s="246"/>
      <c r="HO10" s="246"/>
      <c r="HP10" s="243">
        <f t="shared" si="49"/>
        <v>0</v>
      </c>
      <c r="HQ10" s="246">
        <f t="shared" si="50"/>
        <v>0</v>
      </c>
      <c r="HR10" s="246">
        <v>183.75249637707</v>
      </c>
      <c r="HS10" s="246">
        <v>186.04150999999902</v>
      </c>
      <c r="HT10" s="246">
        <v>183.76356121835599</v>
      </c>
      <c r="HU10" s="246">
        <v>114.59348</v>
      </c>
      <c r="HV10" s="246">
        <v>128</v>
      </c>
      <c r="HW10" s="246">
        <v>99.249799999999993</v>
      </c>
      <c r="HX10" s="243">
        <f t="shared" si="51"/>
        <v>119.09976</v>
      </c>
      <c r="HY10" s="246">
        <f>112+15</f>
        <v>127</v>
      </c>
      <c r="HZ10" s="246">
        <v>75.002063121544012</v>
      </c>
      <c r="IA10" s="246">
        <v>46.105519999999999</v>
      </c>
      <c r="IB10" s="246">
        <v>60.981773432116</v>
      </c>
      <c r="IC10" s="246">
        <v>51.707299999999989</v>
      </c>
      <c r="ID10" s="246">
        <v>13</v>
      </c>
      <c r="IE10" s="246">
        <v>1.8040499999999966</v>
      </c>
      <c r="IF10" s="243">
        <f t="shared" si="52"/>
        <v>2.1648599999999956</v>
      </c>
      <c r="IG10" s="246">
        <v>2</v>
      </c>
      <c r="IH10" s="246">
        <v>556.64526380545203</v>
      </c>
      <c r="II10" s="246">
        <v>543.01000999999906</v>
      </c>
      <c r="IJ10" s="246">
        <v>852.19874497264095</v>
      </c>
      <c r="IK10" s="246">
        <v>724.93811000000005</v>
      </c>
      <c r="IL10" s="246">
        <v>28</v>
      </c>
      <c r="IM10" s="246">
        <v>56.635419999999932</v>
      </c>
      <c r="IN10" s="243">
        <f t="shared" si="53"/>
        <v>67.962503999999925</v>
      </c>
      <c r="IO10" s="270">
        <v>65</v>
      </c>
      <c r="IP10" s="246"/>
      <c r="IQ10" s="246"/>
      <c r="IR10" s="246"/>
      <c r="IS10" s="246"/>
      <c r="IT10" s="246"/>
      <c r="IU10" s="246"/>
      <c r="IV10" s="243">
        <f t="shared" si="54"/>
        <v>0</v>
      </c>
      <c r="IW10" s="246">
        <f t="shared" si="55"/>
        <v>0</v>
      </c>
      <c r="IX10" s="246"/>
      <c r="IY10" s="246"/>
      <c r="IZ10" s="246"/>
      <c r="JA10" s="246"/>
      <c r="JB10" s="246"/>
      <c r="JC10" s="246"/>
      <c r="JD10" s="243">
        <f t="shared" si="56"/>
        <v>0</v>
      </c>
      <c r="JE10" s="246">
        <f t="shared" si="57"/>
        <v>0</v>
      </c>
      <c r="JF10" s="246"/>
      <c r="JG10" s="246"/>
      <c r="JH10" s="246"/>
      <c r="JI10" s="246"/>
      <c r="JJ10" s="246"/>
      <c r="JK10" s="246"/>
      <c r="JL10" s="243">
        <f t="shared" si="58"/>
        <v>0</v>
      </c>
      <c r="JM10" s="246">
        <f t="shared" si="59"/>
        <v>0</v>
      </c>
      <c r="JN10" s="246"/>
      <c r="JO10" s="246"/>
      <c r="JP10" s="246"/>
      <c r="JQ10" s="246"/>
      <c r="JR10" s="246"/>
      <c r="JS10" s="246"/>
      <c r="JT10" s="243">
        <f t="shared" si="60"/>
        <v>0</v>
      </c>
      <c r="JU10" s="246">
        <f t="shared" si="61"/>
        <v>0</v>
      </c>
      <c r="JV10" s="246"/>
      <c r="JW10" s="246"/>
      <c r="JX10" s="246"/>
      <c r="JY10" s="246"/>
      <c r="JZ10" s="246"/>
      <c r="KA10" s="246"/>
      <c r="KB10" s="243">
        <f t="shared" si="62"/>
        <v>0</v>
      </c>
      <c r="KC10" s="246">
        <f t="shared" si="63"/>
        <v>0</v>
      </c>
      <c r="KD10" s="246"/>
      <c r="KE10" s="246"/>
      <c r="KF10" s="246"/>
      <c r="KG10" s="246"/>
      <c r="KH10" s="246"/>
      <c r="KI10" s="246"/>
      <c r="KJ10" s="243">
        <f t="shared" si="64"/>
        <v>0</v>
      </c>
      <c r="KK10" s="246">
        <f t="shared" si="65"/>
        <v>0</v>
      </c>
      <c r="KL10" s="246"/>
      <c r="KM10" s="246"/>
      <c r="KN10" s="246"/>
      <c r="KO10" s="246"/>
      <c r="KP10" s="246"/>
      <c r="KQ10" s="246"/>
      <c r="KR10" s="243">
        <f t="shared" si="66"/>
        <v>0</v>
      </c>
      <c r="KS10" s="246">
        <f t="shared" si="67"/>
        <v>0</v>
      </c>
      <c r="KT10" s="246"/>
      <c r="KU10" s="246"/>
      <c r="KV10" s="246"/>
      <c r="KW10" s="246"/>
      <c r="KX10" s="246"/>
      <c r="KY10" s="246"/>
      <c r="KZ10" s="243">
        <f t="shared" si="68"/>
        <v>0</v>
      </c>
      <c r="LA10" s="246">
        <f t="shared" si="69"/>
        <v>0</v>
      </c>
      <c r="LB10" s="246"/>
      <c r="LC10" s="246"/>
      <c r="LD10" s="246"/>
      <c r="LE10" s="246"/>
      <c r="LF10" s="246"/>
      <c r="LG10" s="246"/>
      <c r="LH10" s="243">
        <f t="shared" si="70"/>
        <v>0</v>
      </c>
      <c r="LI10" s="246">
        <f t="shared" si="71"/>
        <v>0</v>
      </c>
      <c r="LJ10" s="246"/>
      <c r="LK10" s="246"/>
      <c r="LL10" s="246"/>
      <c r="LM10" s="246"/>
      <c r="LN10" s="246"/>
      <c r="LO10" s="246"/>
      <c r="LP10" s="243">
        <f t="shared" si="72"/>
        <v>0</v>
      </c>
      <c r="LQ10" s="246">
        <f t="shared" si="73"/>
        <v>0</v>
      </c>
      <c r="LR10" s="246"/>
      <c r="LS10" s="246"/>
      <c r="LT10" s="244">
        <f t="shared" si="74"/>
        <v>0</v>
      </c>
      <c r="LU10" s="246"/>
      <c r="LV10" s="246"/>
      <c r="LW10" s="246"/>
      <c r="LX10" s="246"/>
      <c r="LY10" s="246"/>
      <c r="LZ10" s="246"/>
      <c r="MA10" s="246"/>
      <c r="MB10" s="243">
        <f t="shared" si="75"/>
        <v>0</v>
      </c>
      <c r="MC10" s="246">
        <f t="shared" si="76"/>
        <v>0</v>
      </c>
      <c r="MD10" s="246"/>
      <c r="ME10" s="246"/>
      <c r="MF10" s="246"/>
      <c r="MG10" s="246"/>
      <c r="MH10" s="246"/>
      <c r="MI10" s="246"/>
      <c r="MJ10" s="243">
        <f t="shared" si="77"/>
        <v>0</v>
      </c>
      <c r="MK10" s="246">
        <f t="shared" si="78"/>
        <v>0</v>
      </c>
      <c r="ML10" s="246">
        <v>0.51699195034599998</v>
      </c>
      <c r="MM10" s="246">
        <v>4.2093600000000002</v>
      </c>
      <c r="MN10" s="246">
        <v>4.203071153582</v>
      </c>
      <c r="MO10" s="246">
        <v>0</v>
      </c>
      <c r="MP10" s="246"/>
      <c r="MQ10" s="246"/>
      <c r="MR10" s="243">
        <f t="shared" si="79"/>
        <v>0</v>
      </c>
      <c r="MS10" s="246">
        <f t="shared" si="80"/>
        <v>0</v>
      </c>
      <c r="MT10" s="246">
        <v>694.71708620451295</v>
      </c>
      <c r="MU10" s="246">
        <v>683.27869999999905</v>
      </c>
      <c r="MV10" s="246">
        <v>643.25787146453899</v>
      </c>
      <c r="MW10" s="246">
        <v>482.41125000000011</v>
      </c>
      <c r="MX10" s="246">
        <v>199</v>
      </c>
      <c r="MY10" s="246">
        <v>102.44435999999993</v>
      </c>
      <c r="MZ10" s="243">
        <f t="shared" si="81"/>
        <v>122.93323199999992</v>
      </c>
      <c r="NA10" s="246">
        <v>127</v>
      </c>
      <c r="NB10" s="246"/>
      <c r="NC10" s="246"/>
      <c r="ND10" s="243">
        <f t="shared" si="82"/>
        <v>0</v>
      </c>
      <c r="NE10" s="248"/>
      <c r="NF10" s="246"/>
      <c r="NG10" s="246"/>
      <c r="NH10" s="246"/>
      <c r="NI10" s="246"/>
      <c r="NJ10" s="246"/>
      <c r="NK10" s="246"/>
      <c r="NL10" s="243">
        <f t="shared" si="83"/>
        <v>0</v>
      </c>
      <c r="NM10" s="246">
        <f t="shared" si="84"/>
        <v>0</v>
      </c>
      <c r="NN10" s="246"/>
      <c r="NO10" s="246"/>
      <c r="NP10" s="246"/>
      <c r="NQ10" s="246"/>
      <c r="NR10" s="246"/>
      <c r="NS10" s="246"/>
      <c r="NT10" s="243">
        <f t="shared" si="85"/>
        <v>0</v>
      </c>
      <c r="NU10" s="246">
        <f t="shared" si="86"/>
        <v>0</v>
      </c>
      <c r="NV10" s="246"/>
      <c r="NW10" s="246"/>
      <c r="NX10" s="246"/>
      <c r="NY10" s="246"/>
      <c r="NZ10" s="246"/>
      <c r="OA10" s="246"/>
      <c r="OB10" s="243">
        <f t="shared" si="87"/>
        <v>0</v>
      </c>
      <c r="OC10" s="246">
        <f t="shared" si="88"/>
        <v>0</v>
      </c>
      <c r="OD10" s="246">
        <v>1439.5347154585399</v>
      </c>
      <c r="OE10" s="246">
        <v>1543.9013900000009</v>
      </c>
      <c r="OF10" s="246">
        <v>1571.5947783716099</v>
      </c>
      <c r="OG10" s="246">
        <v>1628.4934900000003</v>
      </c>
      <c r="OH10" s="246">
        <v>291</v>
      </c>
      <c r="OI10" s="246">
        <v>260.35295000000002</v>
      </c>
      <c r="OJ10" s="243">
        <f t="shared" si="89"/>
        <v>312.42354</v>
      </c>
      <c r="OK10" s="246">
        <v>323</v>
      </c>
      <c r="OL10" s="246">
        <v>5.7001567972369998</v>
      </c>
      <c r="OM10" s="246">
        <v>2.9670000000000001</v>
      </c>
      <c r="ON10" s="246">
        <v>2.9625672578920001</v>
      </c>
      <c r="OO10" s="246">
        <v>0.40572000000000003</v>
      </c>
      <c r="OP10" s="246">
        <v>0.38807131682599999</v>
      </c>
      <c r="OQ10" s="246">
        <v>0</v>
      </c>
      <c r="OR10" s="243">
        <f t="shared" si="90"/>
        <v>0</v>
      </c>
      <c r="OS10" s="246">
        <f t="shared" si="91"/>
        <v>0.38808000000000004</v>
      </c>
      <c r="OT10" s="246"/>
      <c r="OU10" s="246"/>
      <c r="OV10" s="246"/>
      <c r="OW10" s="246"/>
      <c r="OX10" s="246"/>
      <c r="OY10" s="246"/>
      <c r="OZ10" s="243">
        <f t="shared" si="92"/>
        <v>0</v>
      </c>
      <c r="PA10" s="246">
        <v>0</v>
      </c>
      <c r="PB10" s="246"/>
      <c r="PC10" s="246"/>
      <c r="PD10" s="243">
        <f t="shared" si="93"/>
        <v>0</v>
      </c>
      <c r="PE10" s="246">
        <v>0</v>
      </c>
      <c r="PF10" s="246"/>
      <c r="PG10" s="246"/>
      <c r="PH10" s="246"/>
      <c r="PI10" s="246"/>
      <c r="PJ10" s="246"/>
      <c r="PK10" s="246"/>
      <c r="PL10" s="243">
        <f t="shared" si="94"/>
        <v>0</v>
      </c>
      <c r="PM10" s="276">
        <v>0</v>
      </c>
      <c r="PN10" s="246">
        <v>-1103.9707252926501</v>
      </c>
      <c r="PO10" s="246">
        <v>0</v>
      </c>
      <c r="PP10" s="246">
        <v>-409</v>
      </c>
      <c r="PQ10" s="246">
        <v>0</v>
      </c>
      <c r="PR10" s="246">
        <v>-421.99999782666703</v>
      </c>
      <c r="PS10" s="246">
        <v>0</v>
      </c>
      <c r="PT10" s="243">
        <f t="shared" si="95"/>
        <v>0</v>
      </c>
      <c r="PU10" s="246"/>
      <c r="PV10" s="246"/>
      <c r="PW10" s="246"/>
      <c r="PX10" s="246"/>
      <c r="PY10" s="246"/>
      <c r="PZ10" s="246"/>
      <c r="QA10" s="246"/>
      <c r="QB10" s="243">
        <f t="shared" si="96"/>
        <v>0</v>
      </c>
      <c r="QC10" s="246"/>
      <c r="QD10" s="246"/>
      <c r="QE10" s="246"/>
      <c r="QF10" s="246"/>
      <c r="QG10" s="246"/>
      <c r="QH10" s="246"/>
      <c r="QI10" s="246"/>
      <c r="QJ10" s="243">
        <f t="shared" si="97"/>
        <v>0</v>
      </c>
      <c r="QK10" s="246"/>
      <c r="QL10" s="246"/>
      <c r="QM10" s="246"/>
      <c r="QN10" s="246"/>
      <c r="QO10" s="246"/>
      <c r="QP10" s="243">
        <f t="shared" si="98"/>
        <v>0</v>
      </c>
      <c r="QQ10" s="248"/>
      <c r="QR10" s="246"/>
      <c r="QS10" s="246"/>
      <c r="QT10" s="246"/>
      <c r="QU10" s="246"/>
      <c r="QV10" s="243">
        <f t="shared" si="99"/>
        <v>0</v>
      </c>
      <c r="QW10" s="246"/>
      <c r="QX10" s="246"/>
      <c r="QY10" s="246"/>
      <c r="QZ10" s="246"/>
      <c r="RA10" s="246"/>
      <c r="RB10" s="246"/>
      <c r="RC10" s="246"/>
      <c r="RD10" s="243">
        <f t="shared" si="100"/>
        <v>0</v>
      </c>
      <c r="RE10" s="300"/>
      <c r="RF10" s="259">
        <f t="shared" si="101"/>
        <v>3358.6329303265998</v>
      </c>
      <c r="RG10" s="259">
        <f t="shared" si="11"/>
        <v>2701.86076</v>
      </c>
      <c r="RH10" s="259">
        <f t="shared" si="11"/>
        <v>3242.2329120000009</v>
      </c>
      <c r="RI10" s="256">
        <f t="shared" si="12"/>
        <v>3869.2737495652168</v>
      </c>
    </row>
    <row r="11" spans="1:477">
      <c r="A11" s="5" t="s">
        <v>22</v>
      </c>
      <c r="B11" s="263"/>
      <c r="C11" s="246"/>
      <c r="D11" s="246"/>
      <c r="E11" s="246"/>
      <c r="F11" s="246"/>
      <c r="G11" s="246"/>
      <c r="H11" s="254">
        <f t="shared" si="13"/>
        <v>0</v>
      </c>
      <c r="I11" s="246">
        <f t="shared" si="102"/>
        <v>0</v>
      </c>
      <c r="J11" s="263"/>
      <c r="K11" s="246"/>
      <c r="L11" s="246"/>
      <c r="M11" s="246"/>
      <c r="N11" s="246"/>
      <c r="O11" s="246"/>
      <c r="P11" s="243">
        <f t="shared" si="14"/>
        <v>0</v>
      </c>
      <c r="Q11" s="246">
        <f t="shared" si="103"/>
        <v>0</v>
      </c>
      <c r="R11" s="246"/>
      <c r="S11" s="246"/>
      <c r="T11" s="246"/>
      <c r="U11" s="246"/>
      <c r="V11" s="246"/>
      <c r="W11" s="246"/>
      <c r="X11" s="243">
        <f t="shared" si="15"/>
        <v>0</v>
      </c>
      <c r="Y11" s="246">
        <f t="shared" si="104"/>
        <v>0</v>
      </c>
      <c r="Z11" s="246"/>
      <c r="AA11" s="246"/>
      <c r="AB11" s="246"/>
      <c r="AC11" s="246"/>
      <c r="AD11" s="246"/>
      <c r="AE11" s="246"/>
      <c r="AF11" s="243">
        <f t="shared" si="16"/>
        <v>0</v>
      </c>
      <c r="AG11" s="246">
        <f t="shared" si="105"/>
        <v>0</v>
      </c>
      <c r="AH11" s="246">
        <v>0</v>
      </c>
      <c r="AI11" s="246">
        <v>17.068079999999998</v>
      </c>
      <c r="AJ11" s="246">
        <v>16.627919785736999</v>
      </c>
      <c r="AK11" s="246">
        <v>0</v>
      </c>
      <c r="AL11" s="246"/>
      <c r="AM11" s="246"/>
      <c r="AN11" s="243">
        <f t="shared" si="17"/>
        <v>0</v>
      </c>
      <c r="AO11" s="246">
        <f t="shared" si="106"/>
        <v>0</v>
      </c>
      <c r="AP11" s="246">
        <v>19.992697012707001</v>
      </c>
      <c r="AQ11" s="246">
        <v>7.6840799999999998</v>
      </c>
      <c r="AR11" s="246">
        <v>7.4859190879800002</v>
      </c>
      <c r="AS11" s="246">
        <v>0</v>
      </c>
      <c r="AT11" s="246">
        <v>7.6481479072500003</v>
      </c>
      <c r="AU11" s="246">
        <v>0</v>
      </c>
      <c r="AV11" s="243">
        <f t="shared" si="18"/>
        <v>0</v>
      </c>
      <c r="AW11" s="246">
        <f t="shared" si="107"/>
        <v>0</v>
      </c>
      <c r="AX11" s="246">
        <v>122.955086628153</v>
      </c>
      <c r="AY11" s="246">
        <v>20.297070000000001</v>
      </c>
      <c r="AZ11" s="246">
        <v>109.773638970844</v>
      </c>
      <c r="BA11" s="246">
        <v>40.94</v>
      </c>
      <c r="BB11" s="246">
        <v>19.120369768124998</v>
      </c>
      <c r="BC11" s="246">
        <v>0</v>
      </c>
      <c r="BD11" s="243">
        <f t="shared" si="19"/>
        <v>0</v>
      </c>
      <c r="BE11" s="246">
        <f>BA11/115*110-39</f>
        <v>0.15999999999999659</v>
      </c>
      <c r="BF11" s="246"/>
      <c r="BG11" s="246"/>
      <c r="BH11" s="246"/>
      <c r="BI11" s="246"/>
      <c r="BJ11" s="246"/>
      <c r="BK11" s="246"/>
      <c r="BL11" s="243">
        <f t="shared" si="20"/>
        <v>0</v>
      </c>
      <c r="BM11" s="246">
        <f t="shared" si="109"/>
        <v>0</v>
      </c>
      <c r="BN11" s="246"/>
      <c r="BO11" s="246"/>
      <c r="BP11" s="246"/>
      <c r="BQ11" s="246"/>
      <c r="BR11" s="246"/>
      <c r="BS11" s="246"/>
      <c r="BT11" s="243">
        <f t="shared" si="21"/>
        <v>0</v>
      </c>
      <c r="BU11" s="246">
        <f t="shared" si="110"/>
        <v>0</v>
      </c>
      <c r="BV11" s="246">
        <v>887.89476020413304</v>
      </c>
      <c r="BW11" s="246">
        <v>898.61012000000005</v>
      </c>
      <c r="BX11" s="246">
        <v>875.43631117334598</v>
      </c>
      <c r="BY11" s="246">
        <v>1190.8481900000002</v>
      </c>
      <c r="BZ11" s="246">
        <v>859</v>
      </c>
      <c r="CA11" s="246">
        <v>926.28962000000001</v>
      </c>
      <c r="CB11" s="243">
        <f t="shared" si="22"/>
        <v>1111.547544</v>
      </c>
      <c r="CC11" s="246">
        <f t="shared" si="111"/>
        <v>1139.0721817391307</v>
      </c>
      <c r="CD11" s="246"/>
      <c r="CE11" s="246"/>
      <c r="CF11" s="246"/>
      <c r="CG11" s="246"/>
      <c r="CH11" s="246"/>
      <c r="CI11" s="246"/>
      <c r="CJ11" s="243">
        <f t="shared" si="23"/>
        <v>0</v>
      </c>
      <c r="CK11" s="246">
        <f t="shared" si="112"/>
        <v>0</v>
      </c>
      <c r="CL11" s="246"/>
      <c r="CM11" s="246"/>
      <c r="CN11" s="246"/>
      <c r="CO11" s="246"/>
      <c r="CP11" s="246"/>
      <c r="CQ11" s="246"/>
      <c r="CR11" s="243">
        <f t="shared" si="24"/>
        <v>0</v>
      </c>
      <c r="CS11" s="246">
        <f t="shared" si="113"/>
        <v>0</v>
      </c>
      <c r="CT11" s="246"/>
      <c r="CU11" s="246"/>
      <c r="CV11" s="246"/>
      <c r="CW11" s="246"/>
      <c r="CX11" s="246"/>
      <c r="CY11" s="246"/>
      <c r="CZ11" s="243">
        <f t="shared" si="25"/>
        <v>0</v>
      </c>
      <c r="DA11" s="246">
        <f t="shared" si="114"/>
        <v>0</v>
      </c>
      <c r="DB11" s="246"/>
      <c r="DC11" s="246"/>
      <c r="DD11" s="246"/>
      <c r="DE11" s="246"/>
      <c r="DF11" s="246"/>
      <c r="DG11" s="246"/>
      <c r="DH11" s="243">
        <f t="shared" si="26"/>
        <v>0</v>
      </c>
      <c r="DI11" s="246">
        <f t="shared" si="27"/>
        <v>0</v>
      </c>
      <c r="DJ11" s="246">
        <v>0</v>
      </c>
      <c r="DK11" s="246">
        <v>454.04574999999994</v>
      </c>
      <c r="DL11" s="246">
        <v>442.336590293391</v>
      </c>
      <c r="DM11" s="246">
        <v>294.97906999999998</v>
      </c>
      <c r="DN11" s="246">
        <v>338.430544895813</v>
      </c>
      <c r="DO11" s="246">
        <v>86.104700000000008</v>
      </c>
      <c r="DP11" s="243">
        <f t="shared" si="28"/>
        <v>103.32564000000002</v>
      </c>
      <c r="DQ11" s="246">
        <f t="shared" si="29"/>
        <v>282.15389304347821</v>
      </c>
      <c r="DR11" s="246">
        <v>0</v>
      </c>
      <c r="DS11" s="246">
        <v>0</v>
      </c>
      <c r="DT11" s="246"/>
      <c r="DU11" s="246"/>
      <c r="DV11" s="246"/>
      <c r="DW11" s="246"/>
      <c r="DX11" s="243">
        <f t="shared" si="30"/>
        <v>0</v>
      </c>
      <c r="DY11" s="246">
        <f t="shared" si="115"/>
        <v>0</v>
      </c>
      <c r="DZ11" s="246"/>
      <c r="EA11" s="246"/>
      <c r="EB11" s="246"/>
      <c r="EC11" s="246"/>
      <c r="ED11" s="246"/>
      <c r="EE11" s="246"/>
      <c r="EF11" s="243">
        <f t="shared" si="31"/>
        <v>0</v>
      </c>
      <c r="EG11" s="246">
        <f t="shared" si="116"/>
        <v>0</v>
      </c>
      <c r="EH11" s="246"/>
      <c r="EI11" s="246"/>
      <c r="EJ11" s="246"/>
      <c r="EK11" s="246"/>
      <c r="EL11" s="246"/>
      <c r="EM11" s="246"/>
      <c r="EN11" s="243">
        <f t="shared" si="32"/>
        <v>0</v>
      </c>
      <c r="EO11" s="246">
        <f t="shared" si="117"/>
        <v>0</v>
      </c>
      <c r="EP11" s="246"/>
      <c r="EQ11" s="246"/>
      <c r="ER11" s="246"/>
      <c r="ES11" s="246"/>
      <c r="ET11" s="246"/>
      <c r="EU11" s="246"/>
      <c r="EV11" s="243">
        <f t="shared" si="33"/>
        <v>0</v>
      </c>
      <c r="EW11" s="246">
        <f t="shared" si="34"/>
        <v>0</v>
      </c>
      <c r="EX11" s="246"/>
      <c r="EY11" s="246"/>
      <c r="EZ11" s="246"/>
      <c r="FA11" s="246"/>
      <c r="FB11" s="246"/>
      <c r="FC11" s="246"/>
      <c r="FD11" s="243">
        <f t="shared" si="35"/>
        <v>0</v>
      </c>
      <c r="FE11" s="246">
        <f t="shared" si="36"/>
        <v>0</v>
      </c>
      <c r="FF11" s="246"/>
      <c r="FG11" s="246"/>
      <c r="FH11" s="246"/>
      <c r="FI11" s="246"/>
      <c r="FJ11" s="246"/>
      <c r="FK11" s="246"/>
      <c r="FL11" s="243">
        <f t="shared" si="37"/>
        <v>0</v>
      </c>
      <c r="FM11" s="246">
        <f t="shared" si="118"/>
        <v>0</v>
      </c>
      <c r="FN11" s="246"/>
      <c r="FO11" s="246"/>
      <c r="FP11" s="246"/>
      <c r="FQ11" s="246"/>
      <c r="FR11" s="246"/>
      <c r="FS11" s="246"/>
      <c r="FT11" s="243">
        <f t="shared" si="38"/>
        <v>0</v>
      </c>
      <c r="FU11" s="246">
        <f t="shared" si="39"/>
        <v>0</v>
      </c>
      <c r="FV11" s="246"/>
      <c r="FW11" s="246"/>
      <c r="FX11" s="246"/>
      <c r="FY11" s="246"/>
      <c r="FZ11" s="246"/>
      <c r="GA11" s="246"/>
      <c r="GB11" s="243">
        <f t="shared" si="40"/>
        <v>0</v>
      </c>
      <c r="GC11" s="246">
        <f t="shared" si="41"/>
        <v>0</v>
      </c>
      <c r="GD11" s="246"/>
      <c r="GE11" s="246"/>
      <c r="GF11" s="246"/>
      <c r="GG11" s="246"/>
      <c r="GH11" s="246"/>
      <c r="GI11" s="246"/>
      <c r="GJ11" s="243">
        <f t="shared" si="42"/>
        <v>0</v>
      </c>
      <c r="GK11" s="246">
        <f t="shared" si="119"/>
        <v>0</v>
      </c>
      <c r="GL11" s="246"/>
      <c r="GM11" s="246"/>
      <c r="GN11" s="246"/>
      <c r="GO11" s="246"/>
      <c r="GP11" s="246"/>
      <c r="GQ11" s="246"/>
      <c r="GR11" s="243">
        <f t="shared" si="43"/>
        <v>0</v>
      </c>
      <c r="GS11" s="247">
        <f t="shared" si="44"/>
        <v>0</v>
      </c>
      <c r="GT11" s="246"/>
      <c r="GU11" s="246"/>
      <c r="GV11" s="246"/>
      <c r="GW11" s="246"/>
      <c r="GX11" s="246"/>
      <c r="GY11" s="246"/>
      <c r="GZ11" s="243">
        <f t="shared" si="45"/>
        <v>0</v>
      </c>
      <c r="HA11" s="246">
        <f t="shared" si="46"/>
        <v>0</v>
      </c>
      <c r="HB11" s="246"/>
      <c r="HC11" s="246"/>
      <c r="HD11" s="246"/>
      <c r="HE11" s="246"/>
      <c r="HF11" s="246"/>
      <c r="HG11" s="246"/>
      <c r="HH11" s="243">
        <f t="shared" si="47"/>
        <v>0</v>
      </c>
      <c r="HI11" s="246">
        <f t="shared" si="48"/>
        <v>0</v>
      </c>
      <c r="HJ11" s="246"/>
      <c r="HK11" s="246"/>
      <c r="HL11" s="246"/>
      <c r="HM11" s="246"/>
      <c r="HN11" s="246"/>
      <c r="HO11" s="246"/>
      <c r="HP11" s="243">
        <f t="shared" si="49"/>
        <v>0</v>
      </c>
      <c r="HQ11" s="246">
        <f t="shared" si="50"/>
        <v>0</v>
      </c>
      <c r="HR11" s="246"/>
      <c r="HS11" s="246"/>
      <c r="HT11" s="246"/>
      <c r="HU11" s="246"/>
      <c r="HV11" s="246"/>
      <c r="HW11" s="246"/>
      <c r="HX11" s="243">
        <f t="shared" si="51"/>
        <v>0</v>
      </c>
      <c r="HY11" s="246">
        <f t="shared" si="120"/>
        <v>0</v>
      </c>
      <c r="HZ11" s="246"/>
      <c r="IA11" s="246"/>
      <c r="IB11" s="246"/>
      <c r="IC11" s="246"/>
      <c r="ID11" s="246"/>
      <c r="IE11" s="246"/>
      <c r="IF11" s="243">
        <f t="shared" si="52"/>
        <v>0</v>
      </c>
      <c r="IG11" s="246">
        <f t="shared" si="121"/>
        <v>0</v>
      </c>
      <c r="IH11" s="246">
        <v>279.19676833722201</v>
      </c>
      <c r="II11" s="246">
        <v>114.93887000000001</v>
      </c>
      <c r="IJ11" s="246">
        <v>111.974768727545</v>
      </c>
      <c r="IK11" s="246">
        <v>6.7259799999999998</v>
      </c>
      <c r="IL11" s="246">
        <v>14.340277326093</v>
      </c>
      <c r="IM11" s="246">
        <v>53.499980000000001</v>
      </c>
      <c r="IN11" s="243">
        <f t="shared" si="53"/>
        <v>64.199976000000007</v>
      </c>
      <c r="IO11" s="270">
        <f t="shared" si="122"/>
        <v>6.4335460869565217</v>
      </c>
      <c r="IP11" s="246"/>
      <c r="IQ11" s="246"/>
      <c r="IR11" s="246"/>
      <c r="IS11" s="246"/>
      <c r="IT11" s="246"/>
      <c r="IU11" s="246"/>
      <c r="IV11" s="243">
        <f t="shared" si="54"/>
        <v>0</v>
      </c>
      <c r="IW11" s="246">
        <f t="shared" si="55"/>
        <v>0</v>
      </c>
      <c r="IX11" s="246"/>
      <c r="IY11" s="246"/>
      <c r="IZ11" s="246"/>
      <c r="JA11" s="246"/>
      <c r="JB11" s="246"/>
      <c r="JC11" s="246"/>
      <c r="JD11" s="243">
        <f t="shared" si="56"/>
        <v>0</v>
      </c>
      <c r="JE11" s="246">
        <f t="shared" si="57"/>
        <v>0</v>
      </c>
      <c r="JF11" s="246"/>
      <c r="JG11" s="246"/>
      <c r="JH11" s="246"/>
      <c r="JI11" s="246"/>
      <c r="JJ11" s="246"/>
      <c r="JK11" s="246"/>
      <c r="JL11" s="243">
        <f t="shared" si="58"/>
        <v>0</v>
      </c>
      <c r="JM11" s="246">
        <f t="shared" si="59"/>
        <v>0</v>
      </c>
      <c r="JN11" s="246"/>
      <c r="JO11" s="246"/>
      <c r="JP11" s="246"/>
      <c r="JQ11" s="246"/>
      <c r="JR11" s="246"/>
      <c r="JS11" s="246"/>
      <c r="JT11" s="243">
        <f t="shared" si="60"/>
        <v>0</v>
      </c>
      <c r="JU11" s="246">
        <f t="shared" si="61"/>
        <v>0</v>
      </c>
      <c r="JV11" s="246"/>
      <c r="JW11" s="246"/>
      <c r="JX11" s="246"/>
      <c r="JY11" s="246"/>
      <c r="JZ11" s="246"/>
      <c r="KA11" s="246"/>
      <c r="KB11" s="243">
        <f t="shared" si="62"/>
        <v>0</v>
      </c>
      <c r="KC11" s="246">
        <f t="shared" si="63"/>
        <v>0</v>
      </c>
      <c r="KD11" s="246"/>
      <c r="KE11" s="246"/>
      <c r="KF11" s="246"/>
      <c r="KG11" s="246"/>
      <c r="KH11" s="246"/>
      <c r="KI11" s="246"/>
      <c r="KJ11" s="243">
        <f t="shared" si="64"/>
        <v>0</v>
      </c>
      <c r="KK11" s="246">
        <f t="shared" si="65"/>
        <v>0</v>
      </c>
      <c r="KL11" s="246"/>
      <c r="KM11" s="246"/>
      <c r="KN11" s="246"/>
      <c r="KO11" s="246"/>
      <c r="KP11" s="246"/>
      <c r="KQ11" s="246"/>
      <c r="KR11" s="243">
        <f t="shared" si="66"/>
        <v>0</v>
      </c>
      <c r="KS11" s="246">
        <f t="shared" si="67"/>
        <v>0</v>
      </c>
      <c r="KT11" s="246"/>
      <c r="KU11" s="246"/>
      <c r="KV11" s="246"/>
      <c r="KW11" s="246"/>
      <c r="KX11" s="246"/>
      <c r="KY11" s="246"/>
      <c r="KZ11" s="243">
        <f t="shared" si="68"/>
        <v>0</v>
      </c>
      <c r="LA11" s="246">
        <f t="shared" si="69"/>
        <v>0</v>
      </c>
      <c r="LB11" s="246"/>
      <c r="LC11" s="246"/>
      <c r="LD11" s="246"/>
      <c r="LE11" s="246"/>
      <c r="LF11" s="246"/>
      <c r="LG11" s="246"/>
      <c r="LH11" s="243">
        <f t="shared" si="70"/>
        <v>0</v>
      </c>
      <c r="LI11" s="246">
        <f t="shared" si="71"/>
        <v>0</v>
      </c>
      <c r="LJ11" s="246"/>
      <c r="LK11" s="246"/>
      <c r="LL11" s="246"/>
      <c r="LM11" s="246"/>
      <c r="LN11" s="246"/>
      <c r="LO11" s="246"/>
      <c r="LP11" s="243">
        <f t="shared" si="72"/>
        <v>0</v>
      </c>
      <c r="LQ11" s="246">
        <f t="shared" si="73"/>
        <v>0</v>
      </c>
      <c r="LR11" s="246"/>
      <c r="LS11" s="246"/>
      <c r="LT11" s="244">
        <f t="shared" si="74"/>
        <v>0</v>
      </c>
      <c r="LU11" s="246"/>
      <c r="LV11" s="246"/>
      <c r="LW11" s="246"/>
      <c r="LX11" s="246"/>
      <c r="LY11" s="246"/>
      <c r="LZ11" s="246"/>
      <c r="MA11" s="246"/>
      <c r="MB11" s="243">
        <f t="shared" si="75"/>
        <v>0</v>
      </c>
      <c r="MC11" s="246">
        <f t="shared" si="76"/>
        <v>0</v>
      </c>
      <c r="MD11" s="246"/>
      <c r="ME11" s="246"/>
      <c r="MF11" s="246"/>
      <c r="MG11" s="246"/>
      <c r="MH11" s="246"/>
      <c r="MI11" s="246"/>
      <c r="MJ11" s="243">
        <f t="shared" si="77"/>
        <v>0</v>
      </c>
      <c r="MK11" s="246">
        <f t="shared" si="78"/>
        <v>0</v>
      </c>
      <c r="ML11" s="246"/>
      <c r="MM11" s="246"/>
      <c r="MN11" s="246"/>
      <c r="MO11" s="246"/>
      <c r="MP11" s="246"/>
      <c r="MQ11" s="246"/>
      <c r="MR11" s="243">
        <f t="shared" si="79"/>
        <v>0</v>
      </c>
      <c r="MS11" s="246">
        <f t="shared" si="80"/>
        <v>0</v>
      </c>
      <c r="MT11" s="246">
        <v>35.972185115971001</v>
      </c>
      <c r="MU11" s="246">
        <v>0</v>
      </c>
      <c r="MV11" s="246"/>
      <c r="MW11" s="246"/>
      <c r="MX11" s="246"/>
      <c r="MY11" s="246"/>
      <c r="MZ11" s="243">
        <f t="shared" si="81"/>
        <v>0</v>
      </c>
      <c r="NA11" s="246">
        <f t="shared" si="123"/>
        <v>0</v>
      </c>
      <c r="NB11" s="246"/>
      <c r="NC11" s="246"/>
      <c r="ND11" s="243">
        <f t="shared" si="82"/>
        <v>0</v>
      </c>
      <c r="NE11" s="248"/>
      <c r="NF11" s="246"/>
      <c r="NG11" s="246"/>
      <c r="NH11" s="246"/>
      <c r="NI11" s="246"/>
      <c r="NJ11" s="246"/>
      <c r="NK11" s="246"/>
      <c r="NL11" s="243">
        <f t="shared" si="83"/>
        <v>0</v>
      </c>
      <c r="NM11" s="246">
        <f t="shared" si="84"/>
        <v>0</v>
      </c>
      <c r="NN11" s="246"/>
      <c r="NO11" s="246"/>
      <c r="NP11" s="246"/>
      <c r="NQ11" s="246"/>
      <c r="NR11" s="246"/>
      <c r="NS11" s="246"/>
      <c r="NT11" s="243">
        <f t="shared" si="85"/>
        <v>0</v>
      </c>
      <c r="NU11" s="246">
        <f t="shared" si="86"/>
        <v>0</v>
      </c>
      <c r="NV11" s="246"/>
      <c r="NW11" s="246"/>
      <c r="NX11" s="246"/>
      <c r="NY11" s="246"/>
      <c r="NZ11" s="246"/>
      <c r="OA11" s="246"/>
      <c r="OB11" s="243">
        <f t="shared" si="87"/>
        <v>0</v>
      </c>
      <c r="OC11" s="246">
        <f t="shared" si="88"/>
        <v>0</v>
      </c>
      <c r="OD11" s="246">
        <v>63.626758242942003</v>
      </c>
      <c r="OE11" s="246">
        <v>27.062760000000001</v>
      </c>
      <c r="OF11" s="246">
        <v>26.364851961125002</v>
      </c>
      <c r="OG11" s="246">
        <v>0</v>
      </c>
      <c r="OH11" s="246"/>
      <c r="OI11" s="246"/>
      <c r="OJ11" s="243">
        <f t="shared" si="89"/>
        <v>0</v>
      </c>
      <c r="OK11" s="246">
        <f t="shared" si="124"/>
        <v>0</v>
      </c>
      <c r="OL11" s="246">
        <v>16.944947890239</v>
      </c>
      <c r="OM11" s="246">
        <v>0</v>
      </c>
      <c r="ON11" s="246"/>
      <c r="OO11" s="246"/>
      <c r="OP11" s="246"/>
      <c r="OQ11" s="246"/>
      <c r="OR11" s="243">
        <f t="shared" si="90"/>
        <v>0</v>
      </c>
      <c r="OS11" s="246">
        <f t="shared" si="91"/>
        <v>0</v>
      </c>
      <c r="OT11" s="246"/>
      <c r="OU11" s="246"/>
      <c r="OV11" s="246"/>
      <c r="OW11" s="246"/>
      <c r="OX11" s="246"/>
      <c r="OY11" s="246"/>
      <c r="OZ11" s="243">
        <f t="shared" si="92"/>
        <v>0</v>
      </c>
      <c r="PA11" s="246">
        <v>0</v>
      </c>
      <c r="PB11" s="246"/>
      <c r="PC11" s="246"/>
      <c r="PD11" s="243">
        <f t="shared" si="93"/>
        <v>0</v>
      </c>
      <c r="PE11" s="246">
        <v>0</v>
      </c>
      <c r="PF11" s="246"/>
      <c r="PG11" s="246"/>
      <c r="PH11" s="246"/>
      <c r="PI11" s="246"/>
      <c r="PJ11" s="246"/>
      <c r="PK11" s="246"/>
      <c r="PL11" s="243">
        <f t="shared" si="94"/>
        <v>0</v>
      </c>
      <c r="PM11" s="276">
        <v>0</v>
      </c>
      <c r="PN11" s="246">
        <v>-242.973104466595</v>
      </c>
      <c r="PO11" s="246">
        <v>0</v>
      </c>
      <c r="PP11" s="246">
        <v>-90</v>
      </c>
      <c r="PQ11" s="246">
        <v>0</v>
      </c>
      <c r="PR11" s="246"/>
      <c r="PS11" s="246"/>
      <c r="PT11" s="243">
        <f t="shared" si="95"/>
        <v>0</v>
      </c>
      <c r="PU11" s="246"/>
      <c r="PV11" s="246"/>
      <c r="PW11" s="246"/>
      <c r="PX11" s="246"/>
      <c r="PY11" s="246"/>
      <c r="PZ11" s="246"/>
      <c r="QA11" s="246"/>
      <c r="QB11" s="243">
        <f t="shared" si="96"/>
        <v>0</v>
      </c>
      <c r="QC11" s="246"/>
      <c r="QD11" s="246"/>
      <c r="QE11" s="246"/>
      <c r="QF11" s="246"/>
      <c r="QG11" s="246"/>
      <c r="QH11" s="246"/>
      <c r="QI11" s="246"/>
      <c r="QJ11" s="243">
        <f t="shared" si="97"/>
        <v>0</v>
      </c>
      <c r="QK11" s="246"/>
      <c r="QL11" s="246"/>
      <c r="QM11" s="246"/>
      <c r="QN11" s="246"/>
      <c r="QO11" s="246"/>
      <c r="QP11" s="243">
        <f t="shared" si="98"/>
        <v>0</v>
      </c>
      <c r="QQ11" s="248"/>
      <c r="QR11" s="246"/>
      <c r="QS11" s="246"/>
      <c r="QT11" s="246"/>
      <c r="QU11" s="246"/>
      <c r="QV11" s="243">
        <f t="shared" si="99"/>
        <v>0</v>
      </c>
      <c r="QW11" s="246"/>
      <c r="QX11" s="246"/>
      <c r="QY11" s="246"/>
      <c r="QZ11" s="246"/>
      <c r="RA11" s="246"/>
      <c r="RB11" s="246"/>
      <c r="RC11" s="246"/>
      <c r="RD11" s="243">
        <f t="shared" si="100"/>
        <v>0</v>
      </c>
      <c r="RE11" s="300"/>
      <c r="RF11" s="259">
        <f t="shared" si="101"/>
        <v>1238.539339897281</v>
      </c>
      <c r="RG11" s="259">
        <f t="shared" si="11"/>
        <v>1065.8942999999999</v>
      </c>
      <c r="RH11" s="259">
        <f t="shared" si="11"/>
        <v>1279.0731599999999</v>
      </c>
      <c r="RI11" s="256">
        <f t="shared" si="12"/>
        <v>1427.8196208695656</v>
      </c>
    </row>
    <row r="12" spans="1:477">
      <c r="A12" s="5" t="s">
        <v>9</v>
      </c>
      <c r="B12" s="263">
        <v>15.999508594644</v>
      </c>
      <c r="C12" s="246">
        <v>205.99851999999998</v>
      </c>
      <c r="D12" s="246">
        <v>205.00180003702098</v>
      </c>
      <c r="E12" s="246">
        <v>67.639499999999998</v>
      </c>
      <c r="F12" s="246">
        <v>76.521382518478006</v>
      </c>
      <c r="G12" s="246">
        <v>19.791800000000002</v>
      </c>
      <c r="H12" s="254">
        <f t="shared" si="13"/>
        <v>23.750160000000001</v>
      </c>
      <c r="I12" s="246">
        <f t="shared" si="102"/>
        <v>64.698652173913047</v>
      </c>
      <c r="J12" s="263">
        <v>512.98424431578997</v>
      </c>
      <c r="K12" s="246">
        <v>1956.8537599999991</v>
      </c>
      <c r="L12" s="246">
        <v>1955.0171662067232</v>
      </c>
      <c r="M12" s="246">
        <v>2501.60322</v>
      </c>
      <c r="N12" s="246">
        <v>2021.1210157693199</v>
      </c>
      <c r="O12" s="246">
        <v>1822.6185700000001</v>
      </c>
      <c r="P12" s="243">
        <f t="shared" si="14"/>
        <v>2187.1422840000005</v>
      </c>
      <c r="Q12" s="246">
        <f>2272-72</f>
        <v>2200</v>
      </c>
      <c r="R12" s="246">
        <v>756.97675038411899</v>
      </c>
      <c r="S12" s="246">
        <v>750.96642000000008</v>
      </c>
      <c r="T12" s="246">
        <v>600.00526840103805</v>
      </c>
      <c r="U12" s="246">
        <v>676.96001999999999</v>
      </c>
      <c r="V12" s="246">
        <v>718.34447839221696</v>
      </c>
      <c r="W12" s="246">
        <v>515.55079999999998</v>
      </c>
      <c r="X12" s="243">
        <f t="shared" si="15"/>
        <v>618.66095999999993</v>
      </c>
      <c r="Y12" s="246">
        <f t="shared" si="104"/>
        <v>647.52697565217386</v>
      </c>
      <c r="Z12" s="246">
        <v>63.998034378577003</v>
      </c>
      <c r="AA12" s="246">
        <v>136.77269999999999</v>
      </c>
      <c r="AB12" s="246">
        <v>136.00119417090201</v>
      </c>
      <c r="AC12" s="246">
        <v>227.9512</v>
      </c>
      <c r="AD12" s="246">
        <v>131.04286756289201</v>
      </c>
      <c r="AE12" s="246">
        <v>306.31796000000003</v>
      </c>
      <c r="AF12" s="243">
        <f t="shared" si="16"/>
        <v>367.58155199999999</v>
      </c>
      <c r="AG12" s="246">
        <f>AC12/115*110+90</f>
        <v>308.04027826086957</v>
      </c>
      <c r="AH12" s="246">
        <v>26.145507013484</v>
      </c>
      <c r="AI12" s="246">
        <v>2.81508</v>
      </c>
      <c r="AJ12" s="246">
        <v>3.000026342005</v>
      </c>
      <c r="AK12" s="246">
        <v>0</v>
      </c>
      <c r="AL12" s="246">
        <v>0</v>
      </c>
      <c r="AM12" s="246">
        <v>21.8504</v>
      </c>
      <c r="AN12" s="243">
        <f t="shared" si="17"/>
        <v>26.220479999999998</v>
      </c>
      <c r="AO12" s="246">
        <f t="shared" si="106"/>
        <v>0</v>
      </c>
      <c r="AP12" s="246">
        <v>100.99689800369299</v>
      </c>
      <c r="AQ12" s="246">
        <v>435.69243999999992</v>
      </c>
      <c r="AR12" s="246">
        <v>435.00381959075298</v>
      </c>
      <c r="AS12" s="246">
        <v>334.59685999999999</v>
      </c>
      <c r="AT12" s="246">
        <v>292.69428813318098</v>
      </c>
      <c r="AU12" s="246">
        <v>438.37463000000002</v>
      </c>
      <c r="AV12" s="243">
        <f t="shared" si="18"/>
        <v>526.04955599999994</v>
      </c>
      <c r="AW12" s="246">
        <f>AS12/115*110+180+30</f>
        <v>530.04917043478258</v>
      </c>
      <c r="AX12" s="246">
        <v>801.97536830655702</v>
      </c>
      <c r="AY12" s="246">
        <v>879.97077999999897</v>
      </c>
      <c r="AZ12" s="246">
        <v>880.00772698819105</v>
      </c>
      <c r="BA12" s="246">
        <v>1101.8914799999998</v>
      </c>
      <c r="BB12" s="246">
        <v>937.386935851364</v>
      </c>
      <c r="BC12" s="246">
        <v>1182.4723899999999</v>
      </c>
      <c r="BD12" s="243">
        <f t="shared" si="19"/>
        <v>1418.966868</v>
      </c>
      <c r="BE12" s="246">
        <f t="shared" si="108"/>
        <v>1053.9831547826084</v>
      </c>
      <c r="BF12" s="246">
        <v>85.997358696212999</v>
      </c>
      <c r="BG12" s="246">
        <v>56.052399999999992</v>
      </c>
      <c r="BH12" s="246">
        <v>55.906377864377987</v>
      </c>
      <c r="BI12" s="246">
        <v>145.73257999999998</v>
      </c>
      <c r="BJ12" s="246">
        <v>149.216695911031</v>
      </c>
      <c r="BK12" s="246">
        <v>442.43010000000004</v>
      </c>
      <c r="BL12" s="243">
        <f t="shared" si="20"/>
        <v>530.91612000000009</v>
      </c>
      <c r="BM12" s="246">
        <f>BI12/115*110+396</f>
        <v>535.39638086956518</v>
      </c>
      <c r="BN12" s="246">
        <v>50.998433645429003</v>
      </c>
      <c r="BO12" s="246">
        <v>28.543990000000001</v>
      </c>
      <c r="BP12" s="246">
        <v>29.000254639383002</v>
      </c>
      <c r="BQ12" s="246">
        <v>20.892779999999998</v>
      </c>
      <c r="BR12" s="246">
        <v>25.825966599986</v>
      </c>
      <c r="BS12" s="246">
        <v>22.76802</v>
      </c>
      <c r="BT12" s="243">
        <f t="shared" si="21"/>
        <v>27.321624</v>
      </c>
      <c r="BU12" s="246">
        <f>BQ12/115*110+10</f>
        <v>29.984398260869565</v>
      </c>
      <c r="BV12" s="246">
        <v>1879.9422598707301</v>
      </c>
      <c r="BW12" s="246">
        <v>2649.9493399999974</v>
      </c>
      <c r="BX12" s="246">
        <v>2650.0232687712537</v>
      </c>
      <c r="BY12" s="246">
        <v>3083.9114100000011</v>
      </c>
      <c r="BZ12" s="246">
        <v>3108.6811648131993</v>
      </c>
      <c r="CA12" s="246">
        <v>2308.4650199999996</v>
      </c>
      <c r="CB12" s="243">
        <f t="shared" si="22"/>
        <v>2770.1580239999994</v>
      </c>
      <c r="CC12" s="246">
        <f>BY12/115*110-180</f>
        <v>2769.8283052173924</v>
      </c>
      <c r="CD12" s="246">
        <v>28.999109327791999</v>
      </c>
      <c r="CE12" s="246">
        <v>24.351959999999998</v>
      </c>
      <c r="CF12" s="246">
        <v>24.407225389780997</v>
      </c>
      <c r="CG12" s="246">
        <v>11.26032</v>
      </c>
      <c r="CH12" s="246">
        <v>22.956414755543001</v>
      </c>
      <c r="CI12" s="246">
        <v>154.34577999999999</v>
      </c>
      <c r="CJ12" s="243">
        <f t="shared" si="23"/>
        <v>185.21493599999997</v>
      </c>
      <c r="CK12" s="246">
        <f>CG12/115*110+18</f>
        <v>28.770740869565216</v>
      </c>
      <c r="CL12" s="246">
        <v>0</v>
      </c>
      <c r="CM12" s="246">
        <v>20.910119999999999</v>
      </c>
      <c r="CN12" s="246">
        <v>20.000175613368</v>
      </c>
      <c r="CO12" s="246">
        <v>79.668390000000002</v>
      </c>
      <c r="CP12" s="246">
        <v>77.477899799959005</v>
      </c>
      <c r="CQ12" s="246">
        <v>79.024799999999985</v>
      </c>
      <c r="CR12" s="243">
        <f t="shared" si="24"/>
        <v>94.829759999999993</v>
      </c>
      <c r="CS12" s="246">
        <f>CO12/115*110+20</f>
        <v>96.204546956521739</v>
      </c>
      <c r="CT12" s="246">
        <v>3.0065358477520001</v>
      </c>
      <c r="CU12" s="246">
        <v>0</v>
      </c>
      <c r="CV12" s="246">
        <v>0</v>
      </c>
      <c r="CW12" s="246">
        <v>15.36816</v>
      </c>
      <c r="CX12" s="246">
        <v>16.260793785175998</v>
      </c>
      <c r="CY12" s="246">
        <v>14.80932</v>
      </c>
      <c r="CZ12" s="243">
        <f t="shared" si="25"/>
        <v>17.771183999999998</v>
      </c>
      <c r="DA12" s="246">
        <f t="shared" si="114"/>
        <v>14.699979130434782</v>
      </c>
      <c r="DB12" s="246"/>
      <c r="DC12" s="246"/>
      <c r="DD12" s="246"/>
      <c r="DE12" s="246"/>
      <c r="DF12" s="246"/>
      <c r="DG12" s="246"/>
      <c r="DH12" s="243">
        <f t="shared" si="26"/>
        <v>0</v>
      </c>
      <c r="DI12" s="246">
        <f t="shared" si="27"/>
        <v>0</v>
      </c>
      <c r="DJ12" s="246">
        <v>1822.94401050231</v>
      </c>
      <c r="DK12" s="246">
        <v>2482.0689000000011</v>
      </c>
      <c r="DL12" s="246">
        <v>2481.0217848382999</v>
      </c>
      <c r="DM12" s="246">
        <v>3628.1269500000021</v>
      </c>
      <c r="DN12" s="246">
        <v>3426.2449022648798</v>
      </c>
      <c r="DO12" s="246">
        <v>2359.8061000000012</v>
      </c>
      <c r="DP12" s="243">
        <f t="shared" si="28"/>
        <v>2831.7673200000017</v>
      </c>
      <c r="DQ12" s="246">
        <f t="shared" si="29"/>
        <v>3470.382300000002</v>
      </c>
      <c r="DR12" s="246">
        <v>20.999355030471001</v>
      </c>
      <c r="DS12" s="246">
        <v>65.207999999999998</v>
      </c>
      <c r="DT12" s="246">
        <v>64.000561962776999</v>
      </c>
      <c r="DU12" s="246">
        <v>76.81801999999999</v>
      </c>
      <c r="DV12" s="246">
        <v>62.173623296263003</v>
      </c>
      <c r="DW12" s="246">
        <v>29.414000000000001</v>
      </c>
      <c r="DX12" s="243">
        <f t="shared" si="30"/>
        <v>35.296800000000005</v>
      </c>
      <c r="DY12" s="246">
        <f t="shared" si="115"/>
        <v>73.478106086956515</v>
      </c>
      <c r="DZ12" s="246">
        <v>4921.9637397382958</v>
      </c>
      <c r="EA12" s="246">
        <v>6994.8861600000018</v>
      </c>
      <c r="EB12" s="246">
        <v>6992.0613944334436</v>
      </c>
      <c r="EC12" s="246">
        <v>7529.7478200000023</v>
      </c>
      <c r="ED12" s="246">
        <v>7418.7480351665145</v>
      </c>
      <c r="EE12" s="246">
        <v>6713.5474400000012</v>
      </c>
      <c r="EF12" s="243">
        <f t="shared" si="31"/>
        <v>8056.2569280000007</v>
      </c>
      <c r="EG12" s="246">
        <f>EC12/115*110+147+100+50</f>
        <v>7499.3674800000026</v>
      </c>
      <c r="EH12" s="246"/>
      <c r="EI12" s="246"/>
      <c r="EJ12" s="246"/>
      <c r="EK12" s="246"/>
      <c r="EL12" s="246"/>
      <c r="EM12" s="246"/>
      <c r="EN12" s="243">
        <f t="shared" si="32"/>
        <v>0</v>
      </c>
      <c r="EO12" s="246">
        <f t="shared" si="117"/>
        <v>0</v>
      </c>
      <c r="EP12" s="246"/>
      <c r="EQ12" s="246"/>
      <c r="ER12" s="246"/>
      <c r="ES12" s="246"/>
      <c r="ET12" s="246"/>
      <c r="EU12" s="246"/>
      <c r="EV12" s="243">
        <f t="shared" si="33"/>
        <v>0</v>
      </c>
      <c r="EW12" s="246">
        <f t="shared" si="34"/>
        <v>0</v>
      </c>
      <c r="EX12" s="246"/>
      <c r="EY12" s="246"/>
      <c r="EZ12" s="246"/>
      <c r="FA12" s="246"/>
      <c r="FB12" s="246">
        <v>120</v>
      </c>
      <c r="FC12" s="246">
        <v>116.94580000000001</v>
      </c>
      <c r="FD12" s="243">
        <f t="shared" si="35"/>
        <v>140.33496</v>
      </c>
      <c r="FE12" s="246">
        <v>136</v>
      </c>
      <c r="FF12" s="246">
        <v>0</v>
      </c>
      <c r="FG12" s="246">
        <v>9.8527799999999992</v>
      </c>
      <c r="FH12" s="246">
        <v>10.000087806683</v>
      </c>
      <c r="FI12" s="246">
        <v>49.263899999999992</v>
      </c>
      <c r="FJ12" s="246">
        <v>47.825864074049001</v>
      </c>
      <c r="FK12" s="246">
        <v>8.6107999999999993</v>
      </c>
      <c r="FL12" s="243">
        <f t="shared" si="37"/>
        <v>10.33296</v>
      </c>
      <c r="FM12" s="246">
        <f t="shared" si="118"/>
        <v>47.121991304347816</v>
      </c>
      <c r="FN12" s="246"/>
      <c r="FO12" s="246"/>
      <c r="FP12" s="246"/>
      <c r="FQ12" s="246"/>
      <c r="FR12" s="246"/>
      <c r="FS12" s="246"/>
      <c r="FT12" s="243">
        <f t="shared" si="38"/>
        <v>0</v>
      </c>
      <c r="FU12" s="246">
        <f t="shared" si="39"/>
        <v>0</v>
      </c>
      <c r="FV12" s="246"/>
      <c r="FW12" s="246"/>
      <c r="FX12" s="246"/>
      <c r="FY12" s="246"/>
      <c r="FZ12" s="246"/>
      <c r="GA12" s="246"/>
      <c r="GB12" s="243">
        <f t="shared" si="40"/>
        <v>0</v>
      </c>
      <c r="GC12" s="246">
        <f t="shared" si="41"/>
        <v>0</v>
      </c>
      <c r="GD12" s="246">
        <v>0</v>
      </c>
      <c r="GE12" s="246">
        <v>1.40754</v>
      </c>
      <c r="GF12" s="246">
        <v>1.4070134381499999</v>
      </c>
      <c r="GG12" s="246">
        <v>34.085999999999999</v>
      </c>
      <c r="GH12" s="246">
        <v>34.434622133315003</v>
      </c>
      <c r="GI12" s="246">
        <v>30.992599999999999</v>
      </c>
      <c r="GJ12" s="243">
        <f t="shared" si="42"/>
        <v>37.191119999999998</v>
      </c>
      <c r="GK12" s="246">
        <f t="shared" si="119"/>
        <v>32.603999999999999</v>
      </c>
      <c r="GL12" s="246">
        <v>2.9999078614950001</v>
      </c>
      <c r="GM12" s="246">
        <v>0</v>
      </c>
      <c r="GN12" s="246">
        <v>0</v>
      </c>
      <c r="GO12" s="246">
        <v>12.42</v>
      </c>
      <c r="GP12" s="246">
        <v>13.391241940733</v>
      </c>
      <c r="GQ12" s="246">
        <v>0</v>
      </c>
      <c r="GR12" s="243">
        <f t="shared" si="43"/>
        <v>0</v>
      </c>
      <c r="GS12" s="247">
        <f t="shared" si="44"/>
        <v>11.879999999999999</v>
      </c>
      <c r="GT12" s="246"/>
      <c r="GU12" s="246"/>
      <c r="GV12" s="246"/>
      <c r="GW12" s="246"/>
      <c r="GX12" s="246"/>
      <c r="GY12" s="246"/>
      <c r="GZ12" s="243">
        <f t="shared" si="45"/>
        <v>0</v>
      </c>
      <c r="HA12" s="246">
        <f t="shared" si="46"/>
        <v>0</v>
      </c>
      <c r="HB12" s="246"/>
      <c r="HC12" s="246"/>
      <c r="HD12" s="246"/>
      <c r="HE12" s="246"/>
      <c r="HF12" s="246"/>
      <c r="HG12" s="246"/>
      <c r="HH12" s="243">
        <f t="shared" si="47"/>
        <v>0</v>
      </c>
      <c r="HI12" s="246">
        <f t="shared" si="48"/>
        <v>0</v>
      </c>
      <c r="HJ12" s="246"/>
      <c r="HK12" s="246"/>
      <c r="HL12" s="246"/>
      <c r="HM12" s="246"/>
      <c r="HN12" s="246"/>
      <c r="HO12" s="246"/>
      <c r="HP12" s="243">
        <f t="shared" si="49"/>
        <v>0</v>
      </c>
      <c r="HQ12" s="246">
        <f t="shared" si="50"/>
        <v>0</v>
      </c>
      <c r="HR12" s="246"/>
      <c r="HS12" s="246"/>
      <c r="HT12" s="246">
        <v>0</v>
      </c>
      <c r="HU12" s="246">
        <v>15.482939999999999</v>
      </c>
      <c r="HV12" s="246">
        <v>17.217311066657</v>
      </c>
      <c r="HW12" s="246">
        <v>0</v>
      </c>
      <c r="HX12" s="243">
        <f t="shared" si="51"/>
        <v>0</v>
      </c>
      <c r="HY12" s="246">
        <f>HU12/115*110-15</f>
        <v>-0.19023130434782765</v>
      </c>
      <c r="HZ12" s="246">
        <v>32.998986476452998</v>
      </c>
      <c r="IA12" s="246">
        <v>34.754660000000001</v>
      </c>
      <c r="IB12" s="246">
        <v>35.000307323393002</v>
      </c>
      <c r="IC12" s="246">
        <v>93.948359999999994</v>
      </c>
      <c r="ID12" s="246">
        <v>119.56466018512199</v>
      </c>
      <c r="IE12" s="246">
        <v>107.2577</v>
      </c>
      <c r="IF12" s="243">
        <f t="shared" si="52"/>
        <v>128.70924000000002</v>
      </c>
      <c r="IG12" s="246">
        <f>IC12/115*110+40</f>
        <v>129.86364869565216</v>
      </c>
      <c r="IH12" s="246">
        <v>10766.88063930343</v>
      </c>
      <c r="II12" s="246">
        <v>14230.762980000007</v>
      </c>
      <c r="IJ12" s="246">
        <v>18380.126266011597</v>
      </c>
      <c r="IK12" s="246">
        <v>24711.185140000009</v>
      </c>
      <c r="IL12" s="246">
        <v>24400.999231427588</v>
      </c>
      <c r="IM12" s="246">
        <v>13672.49827</v>
      </c>
      <c r="IN12" s="243">
        <f t="shared" si="53"/>
        <v>16406.997924000003</v>
      </c>
      <c r="IO12" s="270">
        <f t="shared" si="122"/>
        <v>23636.785786086966</v>
      </c>
      <c r="IP12" s="246"/>
      <c r="IQ12" s="246"/>
      <c r="IR12" s="246"/>
      <c r="IS12" s="246"/>
      <c r="IT12" s="246"/>
      <c r="IU12" s="246"/>
      <c r="IV12" s="243">
        <f t="shared" si="54"/>
        <v>0</v>
      </c>
      <c r="IW12" s="246">
        <f t="shared" si="55"/>
        <v>0</v>
      </c>
      <c r="IX12" s="246"/>
      <c r="IY12" s="246"/>
      <c r="IZ12" s="246"/>
      <c r="JA12" s="246"/>
      <c r="JB12" s="246"/>
      <c r="JC12" s="246"/>
      <c r="JD12" s="243">
        <f t="shared" si="56"/>
        <v>0</v>
      </c>
      <c r="JE12" s="246">
        <f t="shared" si="57"/>
        <v>0</v>
      </c>
      <c r="JF12" s="246">
        <v>0</v>
      </c>
      <c r="JG12" s="246">
        <v>0</v>
      </c>
      <c r="JH12" s="246"/>
      <c r="JI12" s="246"/>
      <c r="JJ12" s="246"/>
      <c r="JK12" s="246"/>
      <c r="JL12" s="243">
        <f t="shared" si="58"/>
        <v>0</v>
      </c>
      <c r="JM12" s="246">
        <f t="shared" si="59"/>
        <v>0</v>
      </c>
      <c r="JN12" s="246"/>
      <c r="JO12" s="246"/>
      <c r="JP12" s="246"/>
      <c r="JQ12" s="246"/>
      <c r="JR12" s="246"/>
      <c r="JS12" s="246"/>
      <c r="JT12" s="243">
        <f t="shared" si="60"/>
        <v>0</v>
      </c>
      <c r="JU12" s="246">
        <f t="shared" si="61"/>
        <v>0</v>
      </c>
      <c r="JV12" s="246"/>
      <c r="JW12" s="246"/>
      <c r="JX12" s="246"/>
      <c r="JY12" s="246"/>
      <c r="JZ12" s="246"/>
      <c r="KA12" s="246"/>
      <c r="KB12" s="243">
        <f t="shared" si="62"/>
        <v>0</v>
      </c>
      <c r="KC12" s="246">
        <f t="shared" si="63"/>
        <v>0</v>
      </c>
      <c r="KD12" s="246"/>
      <c r="KE12" s="246"/>
      <c r="KF12" s="246"/>
      <c r="KG12" s="246"/>
      <c r="KH12" s="246"/>
      <c r="KI12" s="246"/>
      <c r="KJ12" s="243">
        <f t="shared" si="64"/>
        <v>0</v>
      </c>
      <c r="KK12" s="246">
        <f t="shared" si="65"/>
        <v>0</v>
      </c>
      <c r="KL12" s="246"/>
      <c r="KM12" s="246"/>
      <c r="KN12" s="246"/>
      <c r="KO12" s="246"/>
      <c r="KP12" s="246"/>
      <c r="KQ12" s="246"/>
      <c r="KR12" s="243">
        <f t="shared" si="66"/>
        <v>0</v>
      </c>
      <c r="KS12" s="246">
        <f t="shared" si="67"/>
        <v>0</v>
      </c>
      <c r="KT12" s="246"/>
      <c r="KU12" s="246"/>
      <c r="KV12" s="246"/>
      <c r="KW12" s="246"/>
      <c r="KX12" s="246"/>
      <c r="KY12" s="246"/>
      <c r="KZ12" s="243">
        <f t="shared" si="68"/>
        <v>0</v>
      </c>
      <c r="LA12" s="246">
        <f t="shared" si="69"/>
        <v>0</v>
      </c>
      <c r="LB12" s="246"/>
      <c r="LC12" s="246"/>
      <c r="LD12" s="246"/>
      <c r="LE12" s="246"/>
      <c r="LF12" s="246"/>
      <c r="LG12" s="246"/>
      <c r="LH12" s="243">
        <f t="shared" si="70"/>
        <v>0</v>
      </c>
      <c r="LI12" s="246">
        <f t="shared" si="71"/>
        <v>0</v>
      </c>
      <c r="LJ12" s="246"/>
      <c r="LK12" s="246"/>
      <c r="LL12" s="246"/>
      <c r="LM12" s="246"/>
      <c r="LN12" s="246"/>
      <c r="LO12" s="246"/>
      <c r="LP12" s="243">
        <f t="shared" si="72"/>
        <v>0</v>
      </c>
      <c r="LQ12" s="246">
        <f t="shared" si="73"/>
        <v>0</v>
      </c>
      <c r="LR12" s="246"/>
      <c r="LS12" s="246"/>
      <c r="LT12" s="244">
        <f t="shared" si="74"/>
        <v>0</v>
      </c>
      <c r="LU12" s="246"/>
      <c r="LV12" s="246"/>
      <c r="LW12" s="246"/>
      <c r="LX12" s="246"/>
      <c r="LY12" s="246"/>
      <c r="LZ12" s="246"/>
      <c r="MA12" s="246"/>
      <c r="MB12" s="243">
        <f t="shared" si="75"/>
        <v>0</v>
      </c>
      <c r="MC12" s="246">
        <f t="shared" si="76"/>
        <v>0</v>
      </c>
      <c r="MD12" s="246"/>
      <c r="ME12" s="246"/>
      <c r="MF12" s="246"/>
      <c r="MG12" s="246"/>
      <c r="MH12" s="246"/>
      <c r="MI12" s="246"/>
      <c r="MJ12" s="243">
        <f t="shared" si="77"/>
        <v>0</v>
      </c>
      <c r="MK12" s="246">
        <f t="shared" si="78"/>
        <v>0</v>
      </c>
      <c r="ML12" s="246"/>
      <c r="MM12" s="246"/>
      <c r="MN12" s="246"/>
      <c r="MO12" s="246"/>
      <c r="MP12" s="246"/>
      <c r="MQ12" s="246"/>
      <c r="MR12" s="243">
        <f t="shared" si="79"/>
        <v>0</v>
      </c>
      <c r="MS12" s="246">
        <f t="shared" si="80"/>
        <v>0</v>
      </c>
      <c r="MT12" s="246">
        <v>387.98808342013001</v>
      </c>
      <c r="MU12" s="246">
        <v>560.79842999999892</v>
      </c>
      <c r="MV12" s="246">
        <v>560.00491717430305</v>
      </c>
      <c r="MW12" s="246">
        <v>692.47546</v>
      </c>
      <c r="MX12" s="246">
        <v>632.25792305893003</v>
      </c>
      <c r="MY12" s="246">
        <v>766.35545000000002</v>
      </c>
      <c r="MZ12" s="243">
        <f t="shared" si="81"/>
        <v>919.62654000000009</v>
      </c>
      <c r="NA12" s="246">
        <f t="shared" si="123"/>
        <v>662.36783130434776</v>
      </c>
      <c r="NB12" s="246"/>
      <c r="NC12" s="246"/>
      <c r="ND12" s="243">
        <f t="shared" si="82"/>
        <v>0</v>
      </c>
      <c r="NE12" s="248"/>
      <c r="NF12" s="246"/>
      <c r="NG12" s="246"/>
      <c r="NH12" s="246"/>
      <c r="NI12" s="246"/>
      <c r="NJ12" s="246"/>
      <c r="NK12" s="246"/>
      <c r="NL12" s="243">
        <f t="shared" si="83"/>
        <v>0</v>
      </c>
      <c r="NM12" s="246">
        <f t="shared" si="84"/>
        <v>0</v>
      </c>
      <c r="NN12" s="246"/>
      <c r="NO12" s="246"/>
      <c r="NP12" s="246"/>
      <c r="NQ12" s="246"/>
      <c r="NR12" s="246"/>
      <c r="NS12" s="246"/>
      <c r="NT12" s="243">
        <f t="shared" si="85"/>
        <v>0</v>
      </c>
      <c r="NU12" s="246">
        <f t="shared" si="86"/>
        <v>0</v>
      </c>
      <c r="NV12" s="246"/>
      <c r="NW12" s="246"/>
      <c r="NX12" s="246"/>
      <c r="NY12" s="246"/>
      <c r="NZ12" s="246"/>
      <c r="OA12" s="246"/>
      <c r="OB12" s="243">
        <f t="shared" si="87"/>
        <v>0</v>
      </c>
      <c r="OC12" s="246">
        <f t="shared" si="88"/>
        <v>0</v>
      </c>
      <c r="OD12" s="246">
        <v>149.79259747347399</v>
      </c>
      <c r="OE12" s="246">
        <v>360.54920999999996</v>
      </c>
      <c r="OF12" s="246">
        <v>360.00316104062398</v>
      </c>
      <c r="OG12" s="246">
        <v>463.75307999999995</v>
      </c>
      <c r="OH12" s="246">
        <v>460.084812392353</v>
      </c>
      <c r="OI12" s="246">
        <v>908.28649999999993</v>
      </c>
      <c r="OJ12" s="243">
        <f t="shared" si="89"/>
        <v>1089.9438</v>
      </c>
      <c r="OK12" s="246">
        <f>OG12/115*110+300</f>
        <v>743.58990260869564</v>
      </c>
      <c r="OL12" s="246">
        <v>33.408374820581002</v>
      </c>
      <c r="OM12" s="246">
        <v>23.052320000000002</v>
      </c>
      <c r="ON12" s="246">
        <v>23.000201955373001</v>
      </c>
      <c r="OO12" s="246">
        <v>182.62425999999897</v>
      </c>
      <c r="OP12" s="246">
        <v>181.73828348138699</v>
      </c>
      <c r="OQ12" s="246">
        <v>91.70920000000001</v>
      </c>
      <c r="OR12" s="243">
        <f t="shared" si="90"/>
        <v>110.05104</v>
      </c>
      <c r="OS12" s="246">
        <f>OO12/115*110-65</f>
        <v>109.68407478260769</v>
      </c>
      <c r="OT12" s="246"/>
      <c r="OU12" s="246"/>
      <c r="OV12" s="246"/>
      <c r="OW12" s="246"/>
      <c r="OX12" s="246"/>
      <c r="OY12" s="246"/>
      <c r="OZ12" s="243">
        <f t="shared" si="92"/>
        <v>0</v>
      </c>
      <c r="PA12" s="246">
        <v>0</v>
      </c>
      <c r="PB12" s="246"/>
      <c r="PC12" s="246"/>
      <c r="PD12" s="243">
        <f t="shared" si="93"/>
        <v>0</v>
      </c>
      <c r="PE12" s="246">
        <v>0</v>
      </c>
      <c r="PF12" s="246"/>
      <c r="PG12" s="246"/>
      <c r="PH12" s="246"/>
      <c r="PI12" s="246"/>
      <c r="PJ12" s="246"/>
      <c r="PK12" s="246"/>
      <c r="PL12" s="243">
        <f t="shared" si="94"/>
        <v>0</v>
      </c>
      <c r="PM12" s="276">
        <v>0</v>
      </c>
      <c r="PN12" s="246">
        <v>1701.0042969885501</v>
      </c>
      <c r="PO12" s="246">
        <v>0</v>
      </c>
      <c r="PP12" s="246">
        <v>-4000</v>
      </c>
      <c r="PQ12" s="246">
        <v>0</v>
      </c>
      <c r="PR12" s="246">
        <v>-6939.9998030771503</v>
      </c>
      <c r="PS12" s="246">
        <v>0</v>
      </c>
      <c r="PT12" s="243">
        <f t="shared" si="95"/>
        <v>0</v>
      </c>
      <c r="PU12" s="246"/>
      <c r="PV12" s="246"/>
      <c r="PW12" s="246"/>
      <c r="PX12" s="246"/>
      <c r="PY12" s="246"/>
      <c r="PZ12" s="246"/>
      <c r="QA12" s="246"/>
      <c r="QB12" s="243">
        <f t="shared" si="96"/>
        <v>0</v>
      </c>
      <c r="QC12" s="246"/>
      <c r="QD12" s="246"/>
      <c r="QE12" s="246"/>
      <c r="QF12" s="246"/>
      <c r="QG12" s="246"/>
      <c r="QH12" s="246"/>
      <c r="QI12" s="246"/>
      <c r="QJ12" s="243">
        <f t="shared" si="97"/>
        <v>0</v>
      </c>
      <c r="QK12" s="246"/>
      <c r="QL12" s="246"/>
      <c r="QM12" s="246"/>
      <c r="QN12" s="246"/>
      <c r="QO12" s="246"/>
      <c r="QP12" s="243">
        <f t="shared" si="98"/>
        <v>0</v>
      </c>
      <c r="QQ12" s="248"/>
      <c r="QR12" s="246"/>
      <c r="QS12" s="246"/>
      <c r="QT12" s="246"/>
      <c r="QU12" s="246"/>
      <c r="QV12" s="243">
        <f t="shared" si="99"/>
        <v>0</v>
      </c>
      <c r="QW12" s="246"/>
      <c r="QX12" s="246"/>
      <c r="QY12" s="246"/>
      <c r="QZ12" s="246"/>
      <c r="RA12" s="246"/>
      <c r="RB12" s="246"/>
      <c r="RC12" s="246"/>
      <c r="RD12" s="243">
        <f t="shared" si="100"/>
        <v>0</v>
      </c>
      <c r="RE12" s="300"/>
      <c r="RF12" s="259">
        <f t="shared" si="101"/>
        <v>37572.21061130298</v>
      </c>
      <c r="RG12" s="259">
        <f t="shared" si="11"/>
        <v>32134.243449999998</v>
      </c>
      <c r="RH12" s="259">
        <f t="shared" si="11"/>
        <v>38561.092140000015</v>
      </c>
      <c r="RI12" s="256">
        <f t="shared" si="12"/>
        <v>44832.117472173937</v>
      </c>
    </row>
    <row r="13" spans="1:477">
      <c r="A13" s="5" t="s">
        <v>10</v>
      </c>
      <c r="B13" s="263">
        <v>4626.8334772145836</v>
      </c>
      <c r="C13" s="246">
        <v>4354.0014800000026</v>
      </c>
      <c r="D13" s="246">
        <v>4734.1819295355226</v>
      </c>
      <c r="E13" s="246">
        <v>4597.7248300000019</v>
      </c>
      <c r="F13" s="246">
        <v>4786.9130467921723</v>
      </c>
      <c r="G13" s="246">
        <v>4039.4962199999995</v>
      </c>
      <c r="H13" s="254">
        <f t="shared" si="13"/>
        <v>4847.3954639999993</v>
      </c>
      <c r="I13" s="246">
        <f>E13/115*110+729-227</f>
        <v>4899.8237504347844</v>
      </c>
      <c r="J13" s="263">
        <v>42.998664867830001</v>
      </c>
      <c r="K13" s="246">
        <v>40.988490000000006</v>
      </c>
      <c r="L13" s="246">
        <v>48.388326176397001</v>
      </c>
      <c r="M13" s="246">
        <v>47.856869999999994</v>
      </c>
      <c r="N13" s="246">
        <v>48.783562321213999</v>
      </c>
      <c r="O13" s="246">
        <v>39.235210000000002</v>
      </c>
      <c r="P13" s="243">
        <f t="shared" si="14"/>
        <v>47.082251999999997</v>
      </c>
      <c r="Q13" s="246">
        <f>M13/115*110+4</f>
        <v>49.776136521739126</v>
      </c>
      <c r="R13" s="246"/>
      <c r="S13" s="246"/>
      <c r="T13" s="246"/>
      <c r="U13" s="246"/>
      <c r="V13" s="246"/>
      <c r="W13" s="246"/>
      <c r="X13" s="243">
        <f t="shared" si="15"/>
        <v>0</v>
      </c>
      <c r="Y13" s="246">
        <f t="shared" si="104"/>
        <v>0</v>
      </c>
      <c r="Z13" s="246"/>
      <c r="AA13" s="246"/>
      <c r="AB13" s="246"/>
      <c r="AC13" s="246"/>
      <c r="AD13" s="246"/>
      <c r="AE13" s="246"/>
      <c r="AF13" s="243">
        <f t="shared" si="16"/>
        <v>0</v>
      </c>
      <c r="AG13" s="246">
        <f t="shared" si="105"/>
        <v>0</v>
      </c>
      <c r="AH13" s="246">
        <v>170.99676693312799</v>
      </c>
      <c r="AI13" s="246">
        <v>167.2921</v>
      </c>
      <c r="AJ13" s="246">
        <v>156.67874919007599</v>
      </c>
      <c r="AK13" s="246">
        <v>151.62291000000002</v>
      </c>
      <c r="AL13" s="246">
        <v>149.80000000000001</v>
      </c>
      <c r="AM13" s="246">
        <v>92.292519999999996</v>
      </c>
      <c r="AN13" s="243">
        <f t="shared" si="17"/>
        <v>110.75102399999999</v>
      </c>
      <c r="AO13" s="246">
        <f>AK13/115*110-5</f>
        <v>140.03060956521742</v>
      </c>
      <c r="AP13" s="246">
        <v>1.8384578718090001</v>
      </c>
      <c r="AQ13" s="246">
        <v>7.9175700000000004</v>
      </c>
      <c r="AR13" s="246">
        <v>7.4152632684080002</v>
      </c>
      <c r="AS13" s="246">
        <v>18.505330000000001</v>
      </c>
      <c r="AT13" s="246">
        <v>17.217727878074999</v>
      </c>
      <c r="AU13" s="246">
        <v>9.6101299999999998</v>
      </c>
      <c r="AV13" s="243">
        <f t="shared" si="18"/>
        <v>11.532156000000001</v>
      </c>
      <c r="AW13" s="246">
        <f t="shared" si="107"/>
        <v>17.700750434782609</v>
      </c>
      <c r="AX13" s="246"/>
      <c r="AY13" s="246"/>
      <c r="AZ13" s="246"/>
      <c r="BA13" s="246"/>
      <c r="BB13" s="246"/>
      <c r="BC13" s="246"/>
      <c r="BD13" s="243">
        <f t="shared" si="19"/>
        <v>0</v>
      </c>
      <c r="BE13" s="246">
        <f t="shared" si="108"/>
        <v>0</v>
      </c>
      <c r="BF13" s="246"/>
      <c r="BG13" s="246"/>
      <c r="BH13" s="246"/>
      <c r="BI13" s="246"/>
      <c r="BJ13" s="246"/>
      <c r="BK13" s="246"/>
      <c r="BL13" s="243">
        <f t="shared" si="20"/>
        <v>0</v>
      </c>
      <c r="BM13" s="246">
        <f t="shared" si="109"/>
        <v>0</v>
      </c>
      <c r="BN13" s="246"/>
      <c r="BO13" s="246"/>
      <c r="BP13" s="246"/>
      <c r="BQ13" s="246"/>
      <c r="BR13" s="246"/>
      <c r="BS13" s="246"/>
      <c r="BT13" s="243">
        <f t="shared" si="21"/>
        <v>0</v>
      </c>
      <c r="BU13" s="246">
        <f t="shared" si="110"/>
        <v>0</v>
      </c>
      <c r="BV13" s="246"/>
      <c r="BW13" s="246"/>
      <c r="BX13" s="246"/>
      <c r="BY13" s="246"/>
      <c r="BZ13" s="246"/>
      <c r="CA13" s="246"/>
      <c r="CB13" s="243">
        <f t="shared" si="22"/>
        <v>0</v>
      </c>
      <c r="CC13" s="246">
        <f t="shared" si="111"/>
        <v>0</v>
      </c>
      <c r="CD13" s="246"/>
      <c r="CE13" s="246"/>
      <c r="CF13" s="246"/>
      <c r="CG13" s="246"/>
      <c r="CH13" s="246"/>
      <c r="CI13" s="246"/>
      <c r="CJ13" s="243">
        <f t="shared" si="23"/>
        <v>0</v>
      </c>
      <c r="CK13" s="246">
        <f t="shared" si="112"/>
        <v>0</v>
      </c>
      <c r="CL13" s="246">
        <v>258.57150583100901</v>
      </c>
      <c r="CM13" s="246">
        <v>147.15292999999903</v>
      </c>
      <c r="CN13" s="246">
        <v>137.81724906349299</v>
      </c>
      <c r="CO13" s="246">
        <v>141.10614999999999</v>
      </c>
      <c r="CP13" s="246">
        <v>141.56798477528901</v>
      </c>
      <c r="CQ13" s="246">
        <v>114.91414</v>
      </c>
      <c r="CR13" s="243">
        <f t="shared" si="24"/>
        <v>137.89696800000002</v>
      </c>
      <c r="CS13" s="246">
        <f t="shared" si="113"/>
        <v>134.97109999999998</v>
      </c>
      <c r="CT13" s="246"/>
      <c r="CU13" s="246"/>
      <c r="CV13" s="246"/>
      <c r="CW13" s="246"/>
      <c r="CX13" s="246"/>
      <c r="CY13" s="246"/>
      <c r="CZ13" s="243">
        <f t="shared" si="25"/>
        <v>0</v>
      </c>
      <c r="DA13" s="246">
        <f t="shared" si="114"/>
        <v>0</v>
      </c>
      <c r="DB13" s="246"/>
      <c r="DC13" s="246"/>
      <c r="DD13" s="246"/>
      <c r="DE13" s="246"/>
      <c r="DF13" s="246"/>
      <c r="DG13" s="246"/>
      <c r="DH13" s="243">
        <f t="shared" si="26"/>
        <v>0</v>
      </c>
      <c r="DI13" s="246">
        <f t="shared" si="27"/>
        <v>0</v>
      </c>
      <c r="DJ13" s="246"/>
      <c r="DK13" s="246"/>
      <c r="DL13" s="246"/>
      <c r="DM13" s="246"/>
      <c r="DN13" s="246"/>
      <c r="DO13" s="246"/>
      <c r="DP13" s="243">
        <f t="shared" si="28"/>
        <v>0</v>
      </c>
      <c r="DQ13" s="246">
        <f t="shared" si="29"/>
        <v>0</v>
      </c>
      <c r="DR13" s="246"/>
      <c r="DS13" s="246"/>
      <c r="DT13" s="246"/>
      <c r="DU13" s="246"/>
      <c r="DV13" s="246"/>
      <c r="DW13" s="246"/>
      <c r="DX13" s="243">
        <f t="shared" si="30"/>
        <v>0</v>
      </c>
      <c r="DY13" s="246">
        <f t="shared" si="115"/>
        <v>0</v>
      </c>
      <c r="DZ13" s="246"/>
      <c r="EA13" s="246"/>
      <c r="EB13" s="246"/>
      <c r="EC13" s="246"/>
      <c r="ED13" s="246"/>
      <c r="EE13" s="246"/>
      <c r="EF13" s="243">
        <f t="shared" si="31"/>
        <v>0</v>
      </c>
      <c r="EG13" s="246">
        <f t="shared" si="116"/>
        <v>0</v>
      </c>
      <c r="EH13" s="246"/>
      <c r="EI13" s="246"/>
      <c r="EJ13" s="246"/>
      <c r="EK13" s="246"/>
      <c r="EL13" s="246"/>
      <c r="EM13" s="246"/>
      <c r="EN13" s="243">
        <f t="shared" si="32"/>
        <v>0</v>
      </c>
      <c r="EO13" s="246">
        <f t="shared" si="117"/>
        <v>0</v>
      </c>
      <c r="EP13" s="246"/>
      <c r="EQ13" s="246"/>
      <c r="ER13" s="246"/>
      <c r="ES13" s="246"/>
      <c r="ET13" s="246"/>
      <c r="EU13" s="246"/>
      <c r="EV13" s="243">
        <f t="shared" si="33"/>
        <v>0</v>
      </c>
      <c r="EW13" s="246">
        <f t="shared" si="34"/>
        <v>0</v>
      </c>
      <c r="EX13" s="246"/>
      <c r="EY13" s="246"/>
      <c r="EZ13" s="246"/>
      <c r="FA13" s="246"/>
      <c r="FB13" s="246"/>
      <c r="FC13" s="246"/>
      <c r="FD13" s="243">
        <f t="shared" si="35"/>
        <v>0</v>
      </c>
      <c r="FE13" s="246">
        <f t="shared" si="36"/>
        <v>0</v>
      </c>
      <c r="FF13" s="246"/>
      <c r="FG13" s="246"/>
      <c r="FH13" s="246">
        <v>0</v>
      </c>
      <c r="FI13" s="246">
        <v>0.59559999999999991</v>
      </c>
      <c r="FJ13" s="246">
        <v>0.56971548467599997</v>
      </c>
      <c r="FK13" s="246">
        <v>2.08935</v>
      </c>
      <c r="FL13" s="243">
        <f t="shared" si="37"/>
        <v>2.5072200000000002</v>
      </c>
      <c r="FM13" s="246">
        <f t="shared" si="118"/>
        <v>0.56970434782608692</v>
      </c>
      <c r="FN13" s="246">
        <v>4027.8334290350799</v>
      </c>
      <c r="FO13" s="246">
        <v>3632.3648199999989</v>
      </c>
      <c r="FP13" s="246">
        <v>3601.91372510983</v>
      </c>
      <c r="FQ13" s="246">
        <v>3608.395660000001</v>
      </c>
      <c r="FR13" s="246">
        <v>4274.15487875491</v>
      </c>
      <c r="FS13" s="246">
        <v>4010.5794300000011</v>
      </c>
      <c r="FT13" s="243">
        <f t="shared" si="38"/>
        <v>4812.6953160000012</v>
      </c>
      <c r="FU13" s="246">
        <v>4200</v>
      </c>
      <c r="FV13" s="246"/>
      <c r="FW13" s="246"/>
      <c r="FX13" s="246"/>
      <c r="FY13" s="246"/>
      <c r="FZ13" s="246"/>
      <c r="GA13" s="246"/>
      <c r="GB13" s="243">
        <f t="shared" si="40"/>
        <v>0</v>
      </c>
      <c r="GC13" s="246">
        <f t="shared" si="41"/>
        <v>0</v>
      </c>
      <c r="GD13" s="246"/>
      <c r="GE13" s="246"/>
      <c r="GF13" s="246"/>
      <c r="GG13" s="246"/>
      <c r="GH13" s="246"/>
      <c r="GI13" s="246"/>
      <c r="GJ13" s="243">
        <f t="shared" si="42"/>
        <v>0</v>
      </c>
      <c r="GK13" s="246">
        <f t="shared" si="119"/>
        <v>0</v>
      </c>
      <c r="GL13" s="246"/>
      <c r="GM13" s="246"/>
      <c r="GN13" s="246"/>
      <c r="GO13" s="246"/>
      <c r="GP13" s="246"/>
      <c r="GQ13" s="246"/>
      <c r="GR13" s="243">
        <f t="shared" si="43"/>
        <v>0</v>
      </c>
      <c r="GS13" s="247">
        <f t="shared" si="44"/>
        <v>0</v>
      </c>
      <c r="GT13" s="246"/>
      <c r="GU13" s="246"/>
      <c r="GV13" s="246"/>
      <c r="GW13" s="246"/>
      <c r="GX13" s="246"/>
      <c r="GY13" s="246"/>
      <c r="GZ13" s="243">
        <f t="shared" si="45"/>
        <v>0</v>
      </c>
      <c r="HA13" s="246">
        <f t="shared" si="46"/>
        <v>0</v>
      </c>
      <c r="HB13" s="246"/>
      <c r="HC13" s="246"/>
      <c r="HD13" s="246"/>
      <c r="HE13" s="246"/>
      <c r="HF13" s="246"/>
      <c r="HG13" s="246"/>
      <c r="HH13" s="243">
        <f t="shared" si="47"/>
        <v>0</v>
      </c>
      <c r="HI13" s="246">
        <f t="shared" si="48"/>
        <v>0</v>
      </c>
      <c r="HJ13" s="246"/>
      <c r="HK13" s="246"/>
      <c r="HL13" s="246"/>
      <c r="HM13" s="246"/>
      <c r="HN13" s="246"/>
      <c r="HO13" s="246"/>
      <c r="HP13" s="243">
        <f t="shared" si="49"/>
        <v>0</v>
      </c>
      <c r="HQ13" s="246">
        <f t="shared" si="50"/>
        <v>0</v>
      </c>
      <c r="HR13" s="246"/>
      <c r="HS13" s="246"/>
      <c r="HT13" s="246"/>
      <c r="HU13" s="246"/>
      <c r="HV13" s="246"/>
      <c r="HW13" s="246"/>
      <c r="HX13" s="243">
        <f t="shared" si="51"/>
        <v>0</v>
      </c>
      <c r="HY13" s="246">
        <f t="shared" si="120"/>
        <v>0</v>
      </c>
      <c r="HZ13" s="246"/>
      <c r="IA13" s="246"/>
      <c r="IB13" s="246"/>
      <c r="IC13" s="246"/>
      <c r="ID13" s="246"/>
      <c r="IE13" s="246"/>
      <c r="IF13" s="243">
        <f t="shared" si="52"/>
        <v>0</v>
      </c>
      <c r="IG13" s="246">
        <f t="shared" si="121"/>
        <v>0</v>
      </c>
      <c r="IH13" s="246"/>
      <c r="II13" s="246"/>
      <c r="IJ13" s="246"/>
      <c r="IK13" s="246"/>
      <c r="IL13" s="246"/>
      <c r="IM13" s="246"/>
      <c r="IN13" s="243">
        <f t="shared" si="53"/>
        <v>0</v>
      </c>
      <c r="IO13" s="270">
        <f t="shared" si="122"/>
        <v>0</v>
      </c>
      <c r="IP13" s="246">
        <v>0</v>
      </c>
      <c r="IQ13" s="246">
        <v>2.5606400000000002</v>
      </c>
      <c r="IR13" s="246">
        <v>2.398187794439</v>
      </c>
      <c r="IS13" s="246">
        <v>0</v>
      </c>
      <c r="IT13" s="246"/>
      <c r="IU13" s="246"/>
      <c r="IV13" s="243">
        <f t="shared" si="54"/>
        <v>0</v>
      </c>
      <c r="IW13" s="246">
        <f t="shared" si="55"/>
        <v>0</v>
      </c>
      <c r="IX13" s="246">
        <v>11235.31872129029</v>
      </c>
      <c r="IY13" s="246">
        <v>11088.315110000005</v>
      </c>
      <c r="IZ13" s="246">
        <v>12431.51391495915</v>
      </c>
      <c r="JA13" s="246">
        <v>12284.387960000005</v>
      </c>
      <c r="JB13" s="246">
        <v>11562.6608105655</v>
      </c>
      <c r="JC13" s="246">
        <v>9941.4202700000023</v>
      </c>
      <c r="JD13" s="243">
        <f t="shared" si="56"/>
        <v>11929.704324000002</v>
      </c>
      <c r="JE13" s="246">
        <f>JA13/115*110-182</f>
        <v>11568.284135652179</v>
      </c>
      <c r="JF13" s="246"/>
      <c r="JG13" s="246"/>
      <c r="JH13" s="246"/>
      <c r="JI13" s="246"/>
      <c r="JJ13" s="246"/>
      <c r="JK13" s="246"/>
      <c r="JL13" s="243">
        <f t="shared" si="58"/>
        <v>0</v>
      </c>
      <c r="JM13" s="246">
        <f t="shared" si="59"/>
        <v>0</v>
      </c>
      <c r="JN13" s="246"/>
      <c r="JO13" s="246"/>
      <c r="JP13" s="246"/>
      <c r="JQ13" s="246"/>
      <c r="JR13" s="246"/>
      <c r="JS13" s="246"/>
      <c r="JT13" s="243">
        <f t="shared" si="60"/>
        <v>0</v>
      </c>
      <c r="JU13" s="246">
        <f t="shared" si="61"/>
        <v>0</v>
      </c>
      <c r="JV13" s="246">
        <v>0</v>
      </c>
      <c r="JW13" s="246">
        <v>2.1833300000000002</v>
      </c>
      <c r="JX13" s="246">
        <v>2.044815107642</v>
      </c>
      <c r="JY13" s="246">
        <v>0</v>
      </c>
      <c r="JZ13" s="246"/>
      <c r="KA13" s="246"/>
      <c r="KB13" s="243">
        <f t="shared" si="62"/>
        <v>0</v>
      </c>
      <c r="KC13" s="246">
        <f t="shared" si="63"/>
        <v>0</v>
      </c>
      <c r="KD13" s="246"/>
      <c r="KE13" s="246"/>
      <c r="KF13" s="246"/>
      <c r="KG13" s="246"/>
      <c r="KH13" s="246"/>
      <c r="KI13" s="246"/>
      <c r="KJ13" s="243">
        <f t="shared" si="64"/>
        <v>0</v>
      </c>
      <c r="KK13" s="246">
        <f t="shared" si="65"/>
        <v>0</v>
      </c>
      <c r="KL13" s="246"/>
      <c r="KM13" s="246"/>
      <c r="KN13" s="246"/>
      <c r="KO13" s="246"/>
      <c r="KP13" s="246"/>
      <c r="KQ13" s="246"/>
      <c r="KR13" s="243">
        <f t="shared" si="66"/>
        <v>0</v>
      </c>
      <c r="KS13" s="246">
        <f t="shared" si="67"/>
        <v>0</v>
      </c>
      <c r="KT13" s="246"/>
      <c r="KU13" s="246"/>
      <c r="KV13" s="246"/>
      <c r="KW13" s="246"/>
      <c r="KX13" s="246"/>
      <c r="KY13" s="246"/>
      <c r="KZ13" s="243">
        <f t="shared" si="68"/>
        <v>0</v>
      </c>
      <c r="LA13" s="246">
        <f t="shared" si="69"/>
        <v>0</v>
      </c>
      <c r="LB13" s="246">
        <v>3.3674240793529999</v>
      </c>
      <c r="LC13" s="246">
        <v>42.681820000000002</v>
      </c>
      <c r="LD13" s="246">
        <v>39.973998597399003</v>
      </c>
      <c r="LE13" s="246">
        <v>12.597660000000001</v>
      </c>
      <c r="LF13" s="246">
        <v>2.8696213130119999</v>
      </c>
      <c r="LG13" s="246">
        <v>0</v>
      </c>
      <c r="LH13" s="243">
        <f t="shared" si="70"/>
        <v>0</v>
      </c>
      <c r="LI13" s="246">
        <f>LE13/115*110-10</f>
        <v>2.0499356521739145</v>
      </c>
      <c r="LJ13" s="246">
        <v>0.25673452133300001</v>
      </c>
      <c r="LK13" s="246">
        <v>0</v>
      </c>
      <c r="LL13" s="246"/>
      <c r="LM13" s="246"/>
      <c r="LN13" s="246"/>
      <c r="LO13" s="246"/>
      <c r="LP13" s="243">
        <f t="shared" si="72"/>
        <v>0</v>
      </c>
      <c r="LQ13" s="246">
        <f t="shared" si="73"/>
        <v>0</v>
      </c>
      <c r="LR13" s="246"/>
      <c r="LS13" s="246"/>
      <c r="LT13" s="244">
        <f t="shared" si="74"/>
        <v>0</v>
      </c>
      <c r="LU13" s="246"/>
      <c r="LV13" s="246"/>
      <c r="LW13" s="246"/>
      <c r="LX13" s="246"/>
      <c r="LY13" s="246"/>
      <c r="LZ13" s="246"/>
      <c r="MA13" s="246"/>
      <c r="MB13" s="243">
        <f t="shared" si="75"/>
        <v>0</v>
      </c>
      <c r="MC13" s="246">
        <f t="shared" si="76"/>
        <v>0</v>
      </c>
      <c r="MD13" s="246">
        <v>0</v>
      </c>
      <c r="ME13" s="246">
        <v>6.1598899999999999</v>
      </c>
      <c r="MF13" s="246">
        <v>5.7690940597219997</v>
      </c>
      <c r="MG13" s="246">
        <v>0</v>
      </c>
      <c r="MH13" s="246"/>
      <c r="MI13" s="246"/>
      <c r="MJ13" s="243">
        <f t="shared" si="77"/>
        <v>0</v>
      </c>
      <c r="MK13" s="246">
        <f t="shared" si="78"/>
        <v>0</v>
      </c>
      <c r="ML13" s="246"/>
      <c r="MM13" s="246"/>
      <c r="MN13" s="246">
        <v>0</v>
      </c>
      <c r="MO13" s="246">
        <v>8.9069999999999996E-2</v>
      </c>
      <c r="MP13" s="246">
        <v>8.5199056782999993E-2</v>
      </c>
      <c r="MQ13" s="246">
        <v>0</v>
      </c>
      <c r="MR13" s="243">
        <f t="shared" si="79"/>
        <v>0</v>
      </c>
      <c r="MS13" s="246">
        <f t="shared" si="80"/>
        <v>8.5197391304347822E-2</v>
      </c>
      <c r="MT13" s="246"/>
      <c r="MU13" s="246"/>
      <c r="MV13" s="246"/>
      <c r="MW13" s="246"/>
      <c r="MX13" s="246"/>
      <c r="MY13" s="246"/>
      <c r="MZ13" s="243">
        <f t="shared" si="81"/>
        <v>0</v>
      </c>
      <c r="NA13" s="246">
        <f t="shared" si="123"/>
        <v>0</v>
      </c>
      <c r="NB13" s="246"/>
      <c r="NC13" s="246"/>
      <c r="ND13" s="243">
        <f t="shared" si="82"/>
        <v>0</v>
      </c>
      <c r="NE13" s="248"/>
      <c r="NF13" s="246"/>
      <c r="NG13" s="246"/>
      <c r="NH13" s="246"/>
      <c r="NI13" s="246"/>
      <c r="NJ13" s="246"/>
      <c r="NK13" s="246"/>
      <c r="NL13" s="243">
        <f t="shared" si="83"/>
        <v>0</v>
      </c>
      <c r="NM13" s="246">
        <f t="shared" si="84"/>
        <v>0</v>
      </c>
      <c r="NN13" s="246"/>
      <c r="NO13" s="246"/>
      <c r="NP13" s="246"/>
      <c r="NQ13" s="246"/>
      <c r="NR13" s="246"/>
      <c r="NS13" s="246"/>
      <c r="NT13" s="243">
        <f t="shared" si="85"/>
        <v>0</v>
      </c>
      <c r="NU13" s="246">
        <f t="shared" si="86"/>
        <v>0</v>
      </c>
      <c r="NV13" s="246"/>
      <c r="NW13" s="246"/>
      <c r="NX13" s="246"/>
      <c r="NY13" s="246"/>
      <c r="NZ13" s="246"/>
      <c r="OA13" s="246"/>
      <c r="OB13" s="243">
        <f t="shared" si="87"/>
        <v>0</v>
      </c>
      <c r="OC13" s="246">
        <f t="shared" si="88"/>
        <v>0</v>
      </c>
      <c r="OD13" s="246"/>
      <c r="OE13" s="246"/>
      <c r="OF13" s="246"/>
      <c r="OG13" s="246"/>
      <c r="OH13" s="246"/>
      <c r="OI13" s="246"/>
      <c r="OJ13" s="243">
        <f t="shared" si="89"/>
        <v>0</v>
      </c>
      <c r="OK13" s="246">
        <f t="shared" si="124"/>
        <v>0</v>
      </c>
      <c r="OL13" s="246"/>
      <c r="OM13" s="246"/>
      <c r="ON13" s="246"/>
      <c r="OO13" s="246"/>
      <c r="OP13" s="246"/>
      <c r="OQ13" s="246"/>
      <c r="OR13" s="243">
        <f t="shared" si="90"/>
        <v>0</v>
      </c>
      <c r="OS13" s="246">
        <f t="shared" si="91"/>
        <v>0</v>
      </c>
      <c r="OT13" s="246">
        <v>0</v>
      </c>
      <c r="OU13" s="246">
        <v>355.75200000000001</v>
      </c>
      <c r="OV13" s="246">
        <v>0</v>
      </c>
      <c r="OW13" s="246">
        <v>26.754749999999998</v>
      </c>
      <c r="OX13" s="246"/>
      <c r="OY13" s="246"/>
      <c r="OZ13" s="243">
        <f t="shared" si="92"/>
        <v>0</v>
      </c>
      <c r="PA13" s="246">
        <v>0</v>
      </c>
      <c r="PB13" s="246"/>
      <c r="PC13" s="246"/>
      <c r="PD13" s="243">
        <f t="shared" si="93"/>
        <v>0</v>
      </c>
      <c r="PE13" s="246">
        <v>0</v>
      </c>
      <c r="PF13" s="246">
        <v>0</v>
      </c>
      <c r="PG13" s="246">
        <v>80.275200000000012</v>
      </c>
      <c r="PH13" s="246">
        <v>0</v>
      </c>
      <c r="PI13" s="246">
        <v>29.67069</v>
      </c>
      <c r="PJ13" s="246"/>
      <c r="PK13" s="246"/>
      <c r="PL13" s="243">
        <f t="shared" si="94"/>
        <v>0</v>
      </c>
      <c r="PM13" s="276">
        <v>0</v>
      </c>
      <c r="PN13" s="246">
        <v>250.59748875352599</v>
      </c>
      <c r="PO13" s="246">
        <v>0</v>
      </c>
      <c r="PP13" s="246">
        <v>531.61191440979906</v>
      </c>
      <c r="PQ13" s="246">
        <v>0</v>
      </c>
      <c r="PR13" s="246">
        <v>-1139</v>
      </c>
      <c r="PS13" s="246">
        <v>0</v>
      </c>
      <c r="PT13" s="243">
        <f t="shared" si="95"/>
        <v>0</v>
      </c>
      <c r="PU13" s="246"/>
      <c r="PV13" s="246"/>
      <c r="PW13" s="246"/>
      <c r="PX13" s="246"/>
      <c r="PY13" s="246"/>
      <c r="PZ13" s="246"/>
      <c r="QA13" s="246"/>
      <c r="QB13" s="243">
        <f t="shared" si="96"/>
        <v>0</v>
      </c>
      <c r="QC13" s="246"/>
      <c r="QD13" s="246"/>
      <c r="QE13" s="246"/>
      <c r="QF13" s="246"/>
      <c r="QG13" s="246"/>
      <c r="QH13" s="246"/>
      <c r="QI13" s="246"/>
      <c r="QJ13" s="243">
        <f t="shared" si="97"/>
        <v>0</v>
      </c>
      <c r="QK13" s="246"/>
      <c r="QL13" s="246"/>
      <c r="QM13" s="246"/>
      <c r="QN13" s="246"/>
      <c r="QO13" s="246"/>
      <c r="QP13" s="243">
        <f t="shared" si="98"/>
        <v>0</v>
      </c>
      <c r="QQ13" s="248"/>
      <c r="QR13" s="246"/>
      <c r="QS13" s="246"/>
      <c r="QT13" s="246"/>
      <c r="QU13" s="246"/>
      <c r="QV13" s="243">
        <f t="shared" si="99"/>
        <v>0</v>
      </c>
      <c r="QW13" s="246"/>
      <c r="QX13" s="246"/>
      <c r="QY13" s="246"/>
      <c r="QZ13" s="246"/>
      <c r="RA13" s="246"/>
      <c r="RB13" s="246"/>
      <c r="RC13" s="246"/>
      <c r="RD13" s="243">
        <f t="shared" si="100"/>
        <v>0</v>
      </c>
      <c r="RE13" s="300"/>
      <c r="RF13" s="259">
        <f t="shared" si="101"/>
        <v>19845.622546941631</v>
      </c>
      <c r="RG13" s="259">
        <f t="shared" si="11"/>
        <v>18249.637270000007</v>
      </c>
      <c r="RH13" s="259">
        <f t="shared" si="11"/>
        <v>21899.564724000003</v>
      </c>
      <c r="RI13" s="256">
        <f t="shared" si="12"/>
        <v>21013.291320000008</v>
      </c>
    </row>
    <row r="14" spans="1:477">
      <c r="A14" s="5" t="s">
        <v>36</v>
      </c>
      <c r="B14" s="263"/>
      <c r="C14" s="246"/>
      <c r="D14" s="246"/>
      <c r="E14" s="246"/>
      <c r="F14" s="246"/>
      <c r="G14" s="246"/>
      <c r="H14" s="254">
        <f t="shared" si="13"/>
        <v>0</v>
      </c>
      <c r="I14" s="246">
        <f t="shared" si="102"/>
        <v>0</v>
      </c>
      <c r="J14" s="263"/>
      <c r="K14" s="246"/>
      <c r="L14" s="246"/>
      <c r="M14" s="246"/>
      <c r="N14" s="246"/>
      <c r="O14" s="246"/>
      <c r="P14" s="243">
        <f t="shared" si="14"/>
        <v>0</v>
      </c>
      <c r="Q14" s="246">
        <f t="shared" si="103"/>
        <v>0</v>
      </c>
      <c r="R14" s="246"/>
      <c r="S14" s="246"/>
      <c r="T14" s="246"/>
      <c r="U14" s="246"/>
      <c r="V14" s="246"/>
      <c r="W14" s="246"/>
      <c r="X14" s="243">
        <f t="shared" si="15"/>
        <v>0</v>
      </c>
      <c r="Y14" s="246">
        <f t="shared" si="104"/>
        <v>0</v>
      </c>
      <c r="Z14" s="246"/>
      <c r="AA14" s="246"/>
      <c r="AB14" s="246"/>
      <c r="AC14" s="246"/>
      <c r="AD14" s="246"/>
      <c r="AE14" s="246"/>
      <c r="AF14" s="243">
        <f t="shared" si="16"/>
        <v>0</v>
      </c>
      <c r="AG14" s="246">
        <f t="shared" si="105"/>
        <v>0</v>
      </c>
      <c r="AH14" s="246"/>
      <c r="AI14" s="246"/>
      <c r="AJ14" s="246"/>
      <c r="AK14" s="246"/>
      <c r="AL14" s="246"/>
      <c r="AM14" s="246"/>
      <c r="AN14" s="243">
        <f t="shared" si="17"/>
        <v>0</v>
      </c>
      <c r="AO14" s="246">
        <f t="shared" si="106"/>
        <v>0</v>
      </c>
      <c r="AP14" s="246"/>
      <c r="AQ14" s="246"/>
      <c r="AR14" s="246"/>
      <c r="AS14" s="246"/>
      <c r="AT14" s="246"/>
      <c r="AU14" s="246"/>
      <c r="AV14" s="243">
        <f t="shared" si="18"/>
        <v>0</v>
      </c>
      <c r="AW14" s="246">
        <f t="shared" si="107"/>
        <v>0</v>
      </c>
      <c r="AX14" s="246"/>
      <c r="AY14" s="246"/>
      <c r="AZ14" s="246"/>
      <c r="BA14" s="246"/>
      <c r="BB14" s="246"/>
      <c r="BC14" s="246"/>
      <c r="BD14" s="243">
        <f t="shared" si="19"/>
        <v>0</v>
      </c>
      <c r="BE14" s="246">
        <f t="shared" si="108"/>
        <v>0</v>
      </c>
      <c r="BF14" s="246"/>
      <c r="BG14" s="246"/>
      <c r="BH14" s="246"/>
      <c r="BI14" s="246"/>
      <c r="BJ14" s="246"/>
      <c r="BK14" s="246"/>
      <c r="BL14" s="243">
        <f t="shared" si="20"/>
        <v>0</v>
      </c>
      <c r="BM14" s="246">
        <f t="shared" si="109"/>
        <v>0</v>
      </c>
      <c r="BN14" s="246"/>
      <c r="BO14" s="246"/>
      <c r="BP14" s="246"/>
      <c r="BQ14" s="246"/>
      <c r="BR14" s="246"/>
      <c r="BS14" s="246"/>
      <c r="BT14" s="243">
        <f t="shared" si="21"/>
        <v>0</v>
      </c>
      <c r="BU14" s="246">
        <f t="shared" si="110"/>
        <v>0</v>
      </c>
      <c r="BV14" s="246"/>
      <c r="BW14" s="246"/>
      <c r="BX14" s="246"/>
      <c r="BY14" s="246"/>
      <c r="BZ14" s="246"/>
      <c r="CA14" s="246"/>
      <c r="CB14" s="243">
        <f t="shared" si="22"/>
        <v>0</v>
      </c>
      <c r="CC14" s="246">
        <f t="shared" si="111"/>
        <v>0</v>
      </c>
      <c r="CD14" s="246"/>
      <c r="CE14" s="246"/>
      <c r="CF14" s="246"/>
      <c r="CG14" s="246"/>
      <c r="CH14" s="246"/>
      <c r="CI14" s="246"/>
      <c r="CJ14" s="243">
        <f t="shared" si="23"/>
        <v>0</v>
      </c>
      <c r="CK14" s="246">
        <f t="shared" si="112"/>
        <v>0</v>
      </c>
      <c r="CL14" s="246"/>
      <c r="CM14" s="246"/>
      <c r="CN14" s="246"/>
      <c r="CO14" s="246"/>
      <c r="CP14" s="246"/>
      <c r="CQ14" s="246"/>
      <c r="CR14" s="243">
        <f t="shared" si="24"/>
        <v>0</v>
      </c>
      <c r="CS14" s="246">
        <f t="shared" si="113"/>
        <v>0</v>
      </c>
      <c r="CT14" s="246"/>
      <c r="CU14" s="246"/>
      <c r="CV14" s="246"/>
      <c r="CW14" s="246"/>
      <c r="CX14" s="246"/>
      <c r="CY14" s="246"/>
      <c r="CZ14" s="243">
        <f t="shared" si="25"/>
        <v>0</v>
      </c>
      <c r="DA14" s="246">
        <f t="shared" si="114"/>
        <v>0</v>
      </c>
      <c r="DB14" s="246"/>
      <c r="DC14" s="246"/>
      <c r="DD14" s="246"/>
      <c r="DE14" s="246"/>
      <c r="DF14" s="246"/>
      <c r="DG14" s="246"/>
      <c r="DH14" s="243">
        <f t="shared" si="26"/>
        <v>0</v>
      </c>
      <c r="DI14" s="246">
        <f t="shared" si="27"/>
        <v>0</v>
      </c>
      <c r="DJ14" s="246"/>
      <c r="DK14" s="246"/>
      <c r="DL14" s="246"/>
      <c r="DM14" s="246"/>
      <c r="DN14" s="246"/>
      <c r="DO14" s="246"/>
      <c r="DP14" s="243">
        <f t="shared" si="28"/>
        <v>0</v>
      </c>
      <c r="DQ14" s="246">
        <f t="shared" si="29"/>
        <v>0</v>
      </c>
      <c r="DR14" s="246"/>
      <c r="DS14" s="246"/>
      <c r="DT14" s="246"/>
      <c r="DU14" s="246"/>
      <c r="DV14" s="246"/>
      <c r="DW14" s="246"/>
      <c r="DX14" s="243">
        <f t="shared" si="30"/>
        <v>0</v>
      </c>
      <c r="DY14" s="246">
        <f t="shared" si="115"/>
        <v>0</v>
      </c>
      <c r="DZ14" s="246">
        <v>2843.6799961063798</v>
      </c>
      <c r="EA14" s="246">
        <v>3791.6018999999997</v>
      </c>
      <c r="EB14" s="246">
        <v>3799.99999999993</v>
      </c>
      <c r="EC14" s="246">
        <v>3080.8842200000022</v>
      </c>
      <c r="ED14" s="246">
        <v>2957.4</v>
      </c>
      <c r="EE14" s="246">
        <v>2258.4460800000002</v>
      </c>
      <c r="EF14" s="243">
        <f t="shared" si="31"/>
        <v>2710.1352960000004</v>
      </c>
      <c r="EG14" s="246">
        <f>EC14/115*110-147</f>
        <v>2799.9327321739152</v>
      </c>
      <c r="EH14" s="246"/>
      <c r="EI14" s="246"/>
      <c r="EJ14" s="246"/>
      <c r="EK14" s="246"/>
      <c r="EL14" s="246"/>
      <c r="EM14" s="246"/>
      <c r="EN14" s="243">
        <f t="shared" si="32"/>
        <v>0</v>
      </c>
      <c r="EO14" s="246">
        <f t="shared" si="117"/>
        <v>0</v>
      </c>
      <c r="EP14" s="246"/>
      <c r="EQ14" s="246"/>
      <c r="ER14" s="246"/>
      <c r="ES14" s="246"/>
      <c r="ET14" s="246"/>
      <c r="EU14" s="246"/>
      <c r="EV14" s="243">
        <f t="shared" si="33"/>
        <v>0</v>
      </c>
      <c r="EW14" s="246">
        <f t="shared" si="34"/>
        <v>0</v>
      </c>
      <c r="EX14" s="246"/>
      <c r="EY14" s="246"/>
      <c r="EZ14" s="246"/>
      <c r="FA14" s="246"/>
      <c r="FB14" s="246"/>
      <c r="FC14" s="246"/>
      <c r="FD14" s="243">
        <f t="shared" si="35"/>
        <v>0</v>
      </c>
      <c r="FE14" s="246">
        <f t="shared" si="36"/>
        <v>0</v>
      </c>
      <c r="FF14" s="246"/>
      <c r="FG14" s="246"/>
      <c r="FH14" s="246"/>
      <c r="FI14" s="246"/>
      <c r="FJ14" s="246"/>
      <c r="FK14" s="246"/>
      <c r="FL14" s="243">
        <f t="shared" si="37"/>
        <v>0</v>
      </c>
      <c r="FM14" s="246">
        <f t="shared" si="118"/>
        <v>0</v>
      </c>
      <c r="FN14" s="246"/>
      <c r="FO14" s="246"/>
      <c r="FP14" s="246"/>
      <c r="FQ14" s="246"/>
      <c r="FR14" s="246"/>
      <c r="FS14" s="246"/>
      <c r="FT14" s="243">
        <f t="shared" si="38"/>
        <v>0</v>
      </c>
      <c r="FU14" s="246">
        <f t="shared" si="39"/>
        <v>0</v>
      </c>
      <c r="FV14" s="246"/>
      <c r="FW14" s="246"/>
      <c r="FX14" s="246"/>
      <c r="FY14" s="246"/>
      <c r="FZ14" s="246"/>
      <c r="GA14" s="246"/>
      <c r="GB14" s="243">
        <f t="shared" si="40"/>
        <v>0</v>
      </c>
      <c r="GC14" s="246">
        <f t="shared" si="41"/>
        <v>0</v>
      </c>
      <c r="GD14" s="246"/>
      <c r="GE14" s="246"/>
      <c r="GF14" s="246"/>
      <c r="GG14" s="246"/>
      <c r="GH14" s="246"/>
      <c r="GI14" s="246"/>
      <c r="GJ14" s="243">
        <f t="shared" si="42"/>
        <v>0</v>
      </c>
      <c r="GK14" s="246">
        <f t="shared" si="119"/>
        <v>0</v>
      </c>
      <c r="GL14" s="246"/>
      <c r="GM14" s="246"/>
      <c r="GN14" s="246"/>
      <c r="GO14" s="246"/>
      <c r="GP14" s="246"/>
      <c r="GQ14" s="246"/>
      <c r="GR14" s="243">
        <f t="shared" si="43"/>
        <v>0</v>
      </c>
      <c r="GS14" s="247">
        <f t="shared" si="44"/>
        <v>0</v>
      </c>
      <c r="GT14" s="246"/>
      <c r="GU14" s="246"/>
      <c r="GV14" s="246"/>
      <c r="GW14" s="246"/>
      <c r="GX14" s="246"/>
      <c r="GY14" s="246"/>
      <c r="GZ14" s="243">
        <f t="shared" si="45"/>
        <v>0</v>
      </c>
      <c r="HA14" s="246">
        <f t="shared" si="46"/>
        <v>0</v>
      </c>
      <c r="HB14" s="246"/>
      <c r="HC14" s="246"/>
      <c r="HD14" s="246"/>
      <c r="HE14" s="246"/>
      <c r="HF14" s="246"/>
      <c r="HG14" s="246"/>
      <c r="HH14" s="243">
        <f t="shared" si="47"/>
        <v>0</v>
      </c>
      <c r="HI14" s="246">
        <f t="shared" si="48"/>
        <v>0</v>
      </c>
      <c r="HJ14" s="246"/>
      <c r="HK14" s="246"/>
      <c r="HL14" s="246"/>
      <c r="HM14" s="246"/>
      <c r="HN14" s="246"/>
      <c r="HO14" s="246"/>
      <c r="HP14" s="243">
        <f t="shared" si="49"/>
        <v>0</v>
      </c>
      <c r="HQ14" s="246">
        <f t="shared" si="50"/>
        <v>0</v>
      </c>
      <c r="HR14" s="246"/>
      <c r="HS14" s="246"/>
      <c r="HT14" s="246"/>
      <c r="HU14" s="246"/>
      <c r="HV14" s="246"/>
      <c r="HW14" s="246"/>
      <c r="HX14" s="243">
        <f t="shared" si="51"/>
        <v>0</v>
      </c>
      <c r="HY14" s="246">
        <f t="shared" si="120"/>
        <v>0</v>
      </c>
      <c r="HZ14" s="246"/>
      <c r="IA14" s="246"/>
      <c r="IB14" s="246"/>
      <c r="IC14" s="246"/>
      <c r="ID14" s="246"/>
      <c r="IE14" s="246"/>
      <c r="IF14" s="243">
        <f t="shared" si="52"/>
        <v>0</v>
      </c>
      <c r="IG14" s="246">
        <f t="shared" si="121"/>
        <v>0</v>
      </c>
      <c r="IH14" s="246"/>
      <c r="II14" s="246"/>
      <c r="IJ14" s="246"/>
      <c r="IK14" s="246"/>
      <c r="IL14" s="246"/>
      <c r="IM14" s="246"/>
      <c r="IN14" s="243">
        <f t="shared" si="53"/>
        <v>0</v>
      </c>
      <c r="IO14" s="270">
        <f t="shared" si="122"/>
        <v>0</v>
      </c>
      <c r="IP14" s="246"/>
      <c r="IQ14" s="246"/>
      <c r="IR14" s="246"/>
      <c r="IS14" s="246"/>
      <c r="IT14" s="246"/>
      <c r="IU14" s="246"/>
      <c r="IV14" s="243">
        <f t="shared" si="54"/>
        <v>0</v>
      </c>
      <c r="IW14" s="246">
        <f t="shared" si="55"/>
        <v>0</v>
      </c>
      <c r="IX14" s="246"/>
      <c r="IY14" s="246"/>
      <c r="IZ14" s="246"/>
      <c r="JA14" s="246"/>
      <c r="JB14" s="246"/>
      <c r="JC14" s="246"/>
      <c r="JD14" s="243">
        <f t="shared" si="56"/>
        <v>0</v>
      </c>
      <c r="JE14" s="246">
        <f t="shared" si="57"/>
        <v>0</v>
      </c>
      <c r="JF14" s="246"/>
      <c r="JG14" s="246"/>
      <c r="JH14" s="246"/>
      <c r="JI14" s="246"/>
      <c r="JJ14" s="246"/>
      <c r="JK14" s="246"/>
      <c r="JL14" s="243">
        <f t="shared" si="58"/>
        <v>0</v>
      </c>
      <c r="JM14" s="246">
        <f t="shared" si="59"/>
        <v>0</v>
      </c>
      <c r="JN14" s="246"/>
      <c r="JO14" s="246"/>
      <c r="JP14" s="246"/>
      <c r="JQ14" s="246"/>
      <c r="JR14" s="246"/>
      <c r="JS14" s="246"/>
      <c r="JT14" s="243">
        <f t="shared" si="60"/>
        <v>0</v>
      </c>
      <c r="JU14" s="246">
        <f t="shared" si="61"/>
        <v>0</v>
      </c>
      <c r="JV14" s="246"/>
      <c r="JW14" s="246"/>
      <c r="JX14" s="246"/>
      <c r="JY14" s="246"/>
      <c r="JZ14" s="246"/>
      <c r="KA14" s="246"/>
      <c r="KB14" s="243">
        <f t="shared" si="62"/>
        <v>0</v>
      </c>
      <c r="KC14" s="246">
        <f t="shared" si="63"/>
        <v>0</v>
      </c>
      <c r="KD14" s="246"/>
      <c r="KE14" s="246"/>
      <c r="KF14" s="246"/>
      <c r="KG14" s="246"/>
      <c r="KH14" s="246"/>
      <c r="KI14" s="246"/>
      <c r="KJ14" s="243">
        <f t="shared" si="64"/>
        <v>0</v>
      </c>
      <c r="KK14" s="246">
        <f t="shared" si="65"/>
        <v>0</v>
      </c>
      <c r="KL14" s="246"/>
      <c r="KM14" s="246"/>
      <c r="KN14" s="246"/>
      <c r="KO14" s="246"/>
      <c r="KP14" s="246"/>
      <c r="KQ14" s="246"/>
      <c r="KR14" s="243">
        <f t="shared" si="66"/>
        <v>0</v>
      </c>
      <c r="KS14" s="246">
        <f t="shared" si="67"/>
        <v>0</v>
      </c>
      <c r="KT14" s="246"/>
      <c r="KU14" s="246"/>
      <c r="KV14" s="246"/>
      <c r="KW14" s="246"/>
      <c r="KX14" s="246"/>
      <c r="KY14" s="246"/>
      <c r="KZ14" s="243">
        <f t="shared" si="68"/>
        <v>0</v>
      </c>
      <c r="LA14" s="246">
        <f t="shared" si="69"/>
        <v>0</v>
      </c>
      <c r="LB14" s="246"/>
      <c r="LC14" s="246"/>
      <c r="LD14" s="246"/>
      <c r="LE14" s="246"/>
      <c r="LF14" s="246"/>
      <c r="LG14" s="246"/>
      <c r="LH14" s="243">
        <f t="shared" si="70"/>
        <v>0</v>
      </c>
      <c r="LI14" s="246">
        <f t="shared" si="71"/>
        <v>0</v>
      </c>
      <c r="LJ14" s="246"/>
      <c r="LK14" s="246"/>
      <c r="LL14" s="246"/>
      <c r="LM14" s="246"/>
      <c r="LN14" s="246"/>
      <c r="LO14" s="246"/>
      <c r="LP14" s="243">
        <f t="shared" si="72"/>
        <v>0</v>
      </c>
      <c r="LQ14" s="246">
        <f t="shared" si="73"/>
        <v>0</v>
      </c>
      <c r="LR14" s="246"/>
      <c r="LS14" s="246"/>
      <c r="LT14" s="244">
        <f t="shared" si="74"/>
        <v>0</v>
      </c>
      <c r="LU14" s="246"/>
      <c r="LV14" s="246"/>
      <c r="LW14" s="246"/>
      <c r="LX14" s="246"/>
      <c r="LY14" s="246"/>
      <c r="LZ14" s="246"/>
      <c r="MA14" s="246"/>
      <c r="MB14" s="243">
        <f t="shared" si="75"/>
        <v>0</v>
      </c>
      <c r="MC14" s="246">
        <f t="shared" si="76"/>
        <v>0</v>
      </c>
      <c r="MD14" s="246"/>
      <c r="ME14" s="246"/>
      <c r="MF14" s="246"/>
      <c r="MG14" s="246"/>
      <c r="MH14" s="246"/>
      <c r="MI14" s="246"/>
      <c r="MJ14" s="243">
        <f t="shared" si="77"/>
        <v>0</v>
      </c>
      <c r="MK14" s="246">
        <f t="shared" si="78"/>
        <v>0</v>
      </c>
      <c r="ML14" s="246"/>
      <c r="MM14" s="246"/>
      <c r="MN14" s="246"/>
      <c r="MO14" s="246"/>
      <c r="MP14" s="246"/>
      <c r="MQ14" s="246"/>
      <c r="MR14" s="243">
        <f t="shared" si="79"/>
        <v>0</v>
      </c>
      <c r="MS14" s="246">
        <f t="shared" si="80"/>
        <v>0</v>
      </c>
      <c r="MT14" s="246"/>
      <c r="MU14" s="246"/>
      <c r="MV14" s="246"/>
      <c r="MW14" s="246"/>
      <c r="MX14" s="246"/>
      <c r="MY14" s="246"/>
      <c r="MZ14" s="243">
        <f t="shared" si="81"/>
        <v>0</v>
      </c>
      <c r="NA14" s="246">
        <f t="shared" si="123"/>
        <v>0</v>
      </c>
      <c r="NB14" s="246"/>
      <c r="NC14" s="246"/>
      <c r="ND14" s="243">
        <f t="shared" si="82"/>
        <v>0</v>
      </c>
      <c r="NE14" s="248"/>
      <c r="NF14" s="246"/>
      <c r="NG14" s="246"/>
      <c r="NH14" s="246"/>
      <c r="NI14" s="246"/>
      <c r="NJ14" s="246"/>
      <c r="NK14" s="246"/>
      <c r="NL14" s="243">
        <f t="shared" si="83"/>
        <v>0</v>
      </c>
      <c r="NM14" s="246">
        <f t="shared" si="84"/>
        <v>0</v>
      </c>
      <c r="NN14" s="246"/>
      <c r="NO14" s="246"/>
      <c r="NP14" s="246"/>
      <c r="NQ14" s="246"/>
      <c r="NR14" s="246"/>
      <c r="NS14" s="246"/>
      <c r="NT14" s="243">
        <f t="shared" si="85"/>
        <v>0</v>
      </c>
      <c r="NU14" s="246">
        <f t="shared" si="86"/>
        <v>0</v>
      </c>
      <c r="NV14" s="246"/>
      <c r="NW14" s="246"/>
      <c r="NX14" s="246"/>
      <c r="NY14" s="246"/>
      <c r="NZ14" s="246"/>
      <c r="OA14" s="246"/>
      <c r="OB14" s="243">
        <f t="shared" si="87"/>
        <v>0</v>
      </c>
      <c r="OC14" s="246">
        <f t="shared" si="88"/>
        <v>0</v>
      </c>
      <c r="OD14" s="246"/>
      <c r="OE14" s="246"/>
      <c r="OF14" s="246"/>
      <c r="OG14" s="246"/>
      <c r="OH14" s="246"/>
      <c r="OI14" s="246"/>
      <c r="OJ14" s="243">
        <f t="shared" si="89"/>
        <v>0</v>
      </c>
      <c r="OK14" s="246">
        <f t="shared" si="124"/>
        <v>0</v>
      </c>
      <c r="OL14" s="246"/>
      <c r="OM14" s="246"/>
      <c r="ON14" s="246"/>
      <c r="OO14" s="246"/>
      <c r="OP14" s="246"/>
      <c r="OQ14" s="246"/>
      <c r="OR14" s="243">
        <f t="shared" si="90"/>
        <v>0</v>
      </c>
      <c r="OS14" s="246">
        <f t="shared" si="91"/>
        <v>0</v>
      </c>
      <c r="OT14" s="246"/>
      <c r="OU14" s="246"/>
      <c r="OV14" s="246"/>
      <c r="OW14" s="246"/>
      <c r="OX14" s="246"/>
      <c r="OY14" s="246"/>
      <c r="OZ14" s="243">
        <f t="shared" si="92"/>
        <v>0</v>
      </c>
      <c r="PA14" s="246">
        <v>0</v>
      </c>
      <c r="PB14" s="246"/>
      <c r="PC14" s="246"/>
      <c r="PD14" s="243">
        <f t="shared" si="93"/>
        <v>0</v>
      </c>
      <c r="PE14" s="246">
        <v>0</v>
      </c>
      <c r="PF14" s="246"/>
      <c r="PG14" s="246"/>
      <c r="PH14" s="246"/>
      <c r="PI14" s="246"/>
      <c r="PJ14" s="246"/>
      <c r="PK14" s="246"/>
      <c r="PL14" s="243">
        <f t="shared" si="94"/>
        <v>0</v>
      </c>
      <c r="PM14" s="276">
        <v>0</v>
      </c>
      <c r="PN14" s="246">
        <v>956.00840262941097</v>
      </c>
      <c r="PO14" s="246">
        <v>0</v>
      </c>
      <c r="PP14" s="246"/>
      <c r="PQ14" s="246"/>
      <c r="PR14" s="246"/>
      <c r="PS14" s="246"/>
      <c r="PT14" s="243">
        <f t="shared" si="95"/>
        <v>0</v>
      </c>
      <c r="PU14" s="246"/>
      <c r="PV14" s="246"/>
      <c r="PW14" s="246"/>
      <c r="PX14" s="246"/>
      <c r="PY14" s="246"/>
      <c r="PZ14" s="246"/>
      <c r="QA14" s="246"/>
      <c r="QB14" s="243">
        <f t="shared" si="96"/>
        <v>0</v>
      </c>
      <c r="QC14" s="246"/>
      <c r="QD14" s="246"/>
      <c r="QE14" s="246"/>
      <c r="QF14" s="246"/>
      <c r="QG14" s="246"/>
      <c r="QH14" s="246"/>
      <c r="QI14" s="246"/>
      <c r="QJ14" s="243">
        <f t="shared" si="97"/>
        <v>0</v>
      </c>
      <c r="QK14" s="246"/>
      <c r="QL14" s="246"/>
      <c r="QM14" s="246"/>
      <c r="QN14" s="246"/>
      <c r="QO14" s="246"/>
      <c r="QP14" s="243">
        <f t="shared" si="98"/>
        <v>0</v>
      </c>
      <c r="QQ14" s="248"/>
      <c r="QR14" s="246"/>
      <c r="QS14" s="246"/>
      <c r="QT14" s="246"/>
      <c r="QU14" s="246"/>
      <c r="QV14" s="243">
        <f t="shared" si="99"/>
        <v>0</v>
      </c>
      <c r="QW14" s="246"/>
      <c r="QX14" s="246"/>
      <c r="QY14" s="246"/>
      <c r="QZ14" s="246"/>
      <c r="RA14" s="246"/>
      <c r="RB14" s="246"/>
      <c r="RC14" s="246"/>
      <c r="RD14" s="243">
        <f t="shared" si="100"/>
        <v>0</v>
      </c>
      <c r="RE14" s="300"/>
      <c r="RF14" s="259">
        <f t="shared" si="101"/>
        <v>2957.4</v>
      </c>
      <c r="RG14" s="259">
        <f t="shared" si="11"/>
        <v>2258.4460800000002</v>
      </c>
      <c r="RH14" s="259">
        <f t="shared" si="11"/>
        <v>2710.1352960000004</v>
      </c>
      <c r="RI14" s="256">
        <f t="shared" si="12"/>
        <v>2799.9327321739152</v>
      </c>
    </row>
    <row r="15" spans="1:477">
      <c r="A15" s="5" t="s">
        <v>11</v>
      </c>
      <c r="B15" s="263">
        <v>0</v>
      </c>
      <c r="C15" s="246">
        <v>42.105559999999997</v>
      </c>
      <c r="D15" s="246">
        <v>39.999999999998998</v>
      </c>
      <c r="E15" s="246">
        <v>0</v>
      </c>
      <c r="F15" s="246"/>
      <c r="G15" s="246"/>
      <c r="H15" s="254">
        <f t="shared" si="13"/>
        <v>0</v>
      </c>
      <c r="I15" s="246">
        <f t="shared" si="102"/>
        <v>0</v>
      </c>
      <c r="J15" s="263">
        <v>47.999500675179</v>
      </c>
      <c r="K15" s="246">
        <v>0</v>
      </c>
      <c r="L15" s="246">
        <v>0</v>
      </c>
      <c r="M15" s="246">
        <v>345.64084000000003</v>
      </c>
      <c r="N15" s="246">
        <v>104.999996692754</v>
      </c>
      <c r="O15" s="246">
        <v>0</v>
      </c>
      <c r="P15" s="243">
        <f t="shared" si="14"/>
        <v>0</v>
      </c>
      <c r="Q15" s="246">
        <v>0</v>
      </c>
      <c r="R15" s="246"/>
      <c r="S15" s="246"/>
      <c r="T15" s="246"/>
      <c r="U15" s="246"/>
      <c r="V15" s="246"/>
      <c r="W15" s="246"/>
      <c r="X15" s="243">
        <f t="shared" si="15"/>
        <v>0</v>
      </c>
      <c r="Y15" s="246">
        <f t="shared" si="104"/>
        <v>0</v>
      </c>
      <c r="Z15" s="246">
        <v>51.999459064779003</v>
      </c>
      <c r="AA15" s="246">
        <v>40.013910000000003</v>
      </c>
      <c r="AB15" s="246">
        <v>39.999999999998998</v>
      </c>
      <c r="AC15" s="246">
        <v>239.41782000000001</v>
      </c>
      <c r="AD15" s="246">
        <v>37.999998803091998</v>
      </c>
      <c r="AE15" s="246">
        <v>364.39881000000003</v>
      </c>
      <c r="AF15" s="243">
        <f t="shared" si="16"/>
        <v>437.278572</v>
      </c>
      <c r="AG15" s="246">
        <f>AC15/115*110+200</f>
        <v>429.00834956521737</v>
      </c>
      <c r="AH15" s="246"/>
      <c r="AI15" s="246"/>
      <c r="AJ15" s="246"/>
      <c r="AK15" s="246"/>
      <c r="AL15" s="246"/>
      <c r="AM15" s="246"/>
      <c r="AN15" s="243">
        <f t="shared" si="17"/>
        <v>0</v>
      </c>
      <c r="AO15" s="246">
        <f t="shared" si="106"/>
        <v>0</v>
      </c>
      <c r="AP15" s="246">
        <v>45.999521480380999</v>
      </c>
      <c r="AQ15" s="246">
        <v>0</v>
      </c>
      <c r="AR15" s="246"/>
      <c r="AS15" s="246"/>
      <c r="AT15" s="246"/>
      <c r="AU15" s="246"/>
      <c r="AV15" s="243">
        <f t="shared" si="18"/>
        <v>0</v>
      </c>
      <c r="AW15" s="246">
        <f t="shared" si="107"/>
        <v>0</v>
      </c>
      <c r="AX15" s="246"/>
      <c r="AY15" s="246"/>
      <c r="AZ15" s="246"/>
      <c r="BA15" s="246"/>
      <c r="BB15" s="246"/>
      <c r="BC15" s="246"/>
      <c r="BD15" s="243">
        <f t="shared" si="19"/>
        <v>0</v>
      </c>
      <c r="BE15" s="246">
        <f t="shared" si="108"/>
        <v>0</v>
      </c>
      <c r="BF15" s="246">
        <v>4.9999479869960002</v>
      </c>
      <c r="BG15" s="246">
        <v>87.039000000000001</v>
      </c>
      <c r="BH15" s="246">
        <v>84.999999999997996</v>
      </c>
      <c r="BI15" s="246">
        <v>0</v>
      </c>
      <c r="BJ15" s="246"/>
      <c r="BK15" s="246"/>
      <c r="BL15" s="243">
        <f t="shared" si="20"/>
        <v>0</v>
      </c>
      <c r="BM15" s="246">
        <f t="shared" si="109"/>
        <v>0</v>
      </c>
      <c r="BN15" s="246"/>
      <c r="BO15" s="246"/>
      <c r="BP15" s="246"/>
      <c r="BQ15" s="246"/>
      <c r="BR15" s="246"/>
      <c r="BS15" s="246"/>
      <c r="BT15" s="243">
        <f t="shared" si="21"/>
        <v>0</v>
      </c>
      <c r="BU15" s="246">
        <f t="shared" si="110"/>
        <v>0</v>
      </c>
      <c r="BV15" s="246">
        <v>2876.9872006638543</v>
      </c>
      <c r="BW15" s="246">
        <v>3335.4885600000021</v>
      </c>
      <c r="BX15" s="246">
        <v>3334.9999999999368</v>
      </c>
      <c r="BY15" s="246">
        <v>2539.2418000000007</v>
      </c>
      <c r="BZ15" s="246">
        <v>2520.9999205946056</v>
      </c>
      <c r="CA15" s="246">
        <v>2304.3166100000003</v>
      </c>
      <c r="CB15" s="243">
        <f t="shared" si="22"/>
        <v>2765.179932</v>
      </c>
      <c r="CC15" s="246">
        <f t="shared" si="111"/>
        <v>2428.8399826086961</v>
      </c>
      <c r="CD15" s="246">
        <v>56.999407051775997</v>
      </c>
      <c r="CE15" s="246">
        <v>0</v>
      </c>
      <c r="CF15" s="246">
        <v>0</v>
      </c>
      <c r="CG15" s="246">
        <v>13.300990000000001</v>
      </c>
      <c r="CH15" s="246">
        <v>13.999999559033</v>
      </c>
      <c r="CI15" s="246">
        <v>150.12020999999999</v>
      </c>
      <c r="CJ15" s="243">
        <f t="shared" si="23"/>
        <v>180.14425199999999</v>
      </c>
      <c r="CK15" s="246">
        <f>CG15/115*110+198-11</f>
        <v>199.72268608695651</v>
      </c>
      <c r="CL15" s="246"/>
      <c r="CM15" s="246"/>
      <c r="CN15" s="246">
        <v>0</v>
      </c>
      <c r="CO15" s="246">
        <v>4.4459900000000001</v>
      </c>
      <c r="CP15" s="246">
        <v>0</v>
      </c>
      <c r="CQ15" s="246">
        <v>25.515599999999999</v>
      </c>
      <c r="CR15" s="243">
        <f t="shared" si="24"/>
        <v>30.618719999999996</v>
      </c>
      <c r="CS15" s="246">
        <f t="shared" si="113"/>
        <v>4.2526860869565217</v>
      </c>
      <c r="CT15" s="246">
        <v>15.855169322175</v>
      </c>
      <c r="CU15" s="246">
        <v>0</v>
      </c>
      <c r="CV15" s="246">
        <v>0</v>
      </c>
      <c r="CW15" s="246">
        <v>48.79495</v>
      </c>
      <c r="CX15" s="246">
        <v>50.999998393623002</v>
      </c>
      <c r="CY15" s="246">
        <v>3.8274300000000001</v>
      </c>
      <c r="CZ15" s="243">
        <f t="shared" si="25"/>
        <v>4.5929159999999998</v>
      </c>
      <c r="DA15" s="246">
        <f t="shared" si="114"/>
        <v>46.67343043478261</v>
      </c>
      <c r="DB15" s="246"/>
      <c r="DC15" s="246"/>
      <c r="DD15" s="246"/>
      <c r="DE15" s="246"/>
      <c r="DF15" s="246"/>
      <c r="DG15" s="246"/>
      <c r="DH15" s="243">
        <f t="shared" si="26"/>
        <v>0</v>
      </c>
      <c r="DI15" s="246">
        <f t="shared" si="27"/>
        <v>0</v>
      </c>
      <c r="DJ15" s="246"/>
      <c r="DK15" s="246"/>
      <c r="DL15" s="246"/>
      <c r="DM15" s="246"/>
      <c r="DN15" s="246"/>
      <c r="DO15" s="246"/>
      <c r="DP15" s="243">
        <f t="shared" si="28"/>
        <v>0</v>
      </c>
      <c r="DQ15" s="246">
        <f t="shared" si="29"/>
        <v>0</v>
      </c>
      <c r="DR15" s="246"/>
      <c r="DS15" s="246"/>
      <c r="DT15" s="246"/>
      <c r="DU15" s="246"/>
      <c r="DV15" s="246"/>
      <c r="DW15" s="246"/>
      <c r="DX15" s="243">
        <f t="shared" si="30"/>
        <v>0</v>
      </c>
      <c r="DY15" s="246">
        <f t="shared" si="115"/>
        <v>0</v>
      </c>
      <c r="DZ15" s="246"/>
      <c r="EA15" s="246"/>
      <c r="EB15" s="246"/>
      <c r="EC15" s="246"/>
      <c r="ED15" s="246"/>
      <c r="EE15" s="246"/>
      <c r="EF15" s="243">
        <f t="shared" si="31"/>
        <v>0</v>
      </c>
      <c r="EG15" s="246">
        <f t="shared" si="116"/>
        <v>0</v>
      </c>
      <c r="EH15" s="246"/>
      <c r="EI15" s="246"/>
      <c r="EJ15" s="246"/>
      <c r="EK15" s="246"/>
      <c r="EL15" s="246"/>
      <c r="EM15" s="246"/>
      <c r="EN15" s="243">
        <f t="shared" si="32"/>
        <v>0</v>
      </c>
      <c r="EO15" s="246">
        <f t="shared" si="117"/>
        <v>0</v>
      </c>
      <c r="EP15" s="246"/>
      <c r="EQ15" s="246"/>
      <c r="ER15" s="246"/>
      <c r="ES15" s="246"/>
      <c r="ET15" s="246"/>
      <c r="EU15" s="246"/>
      <c r="EV15" s="243">
        <f t="shared" si="33"/>
        <v>0</v>
      </c>
      <c r="EW15" s="246">
        <f t="shared" si="34"/>
        <v>0</v>
      </c>
      <c r="EX15" s="246"/>
      <c r="EY15" s="246"/>
      <c r="EZ15" s="246"/>
      <c r="FA15" s="246"/>
      <c r="FB15" s="246"/>
      <c r="FC15" s="246"/>
      <c r="FD15" s="243">
        <f t="shared" si="35"/>
        <v>0</v>
      </c>
      <c r="FE15" s="246">
        <f t="shared" si="36"/>
        <v>0</v>
      </c>
      <c r="FF15" s="246"/>
      <c r="FG15" s="246"/>
      <c r="FH15" s="246">
        <v>0</v>
      </c>
      <c r="FI15" s="246">
        <v>8.8550000000000004</v>
      </c>
      <c r="FJ15" s="246">
        <v>9.9999996850239992</v>
      </c>
      <c r="FK15" s="246">
        <v>0</v>
      </c>
      <c r="FL15" s="243">
        <f t="shared" si="37"/>
        <v>0</v>
      </c>
      <c r="FM15" s="246">
        <f t="shared" si="118"/>
        <v>8.4700000000000006</v>
      </c>
      <c r="FN15" s="246"/>
      <c r="FO15" s="246"/>
      <c r="FP15" s="246"/>
      <c r="FQ15" s="246"/>
      <c r="FR15" s="246"/>
      <c r="FS15" s="246"/>
      <c r="FT15" s="243">
        <f t="shared" si="38"/>
        <v>0</v>
      </c>
      <c r="FU15" s="246">
        <f t="shared" si="39"/>
        <v>0</v>
      </c>
      <c r="FV15" s="246"/>
      <c r="FW15" s="246"/>
      <c r="FX15" s="246"/>
      <c r="FY15" s="246"/>
      <c r="FZ15" s="246"/>
      <c r="GA15" s="246"/>
      <c r="GB15" s="243">
        <f t="shared" si="40"/>
        <v>0</v>
      </c>
      <c r="GC15" s="246">
        <f t="shared" si="41"/>
        <v>0</v>
      </c>
      <c r="GD15" s="246">
        <v>39.999583895983001</v>
      </c>
      <c r="GE15" s="246">
        <v>442.20069000000001</v>
      </c>
      <c r="GF15" s="246">
        <v>50</v>
      </c>
      <c r="GG15" s="246">
        <v>13.33797</v>
      </c>
      <c r="GH15" s="246">
        <v>18.999999401545999</v>
      </c>
      <c r="GI15" s="246">
        <v>90.292699999999996</v>
      </c>
      <c r="GJ15" s="243">
        <f t="shared" si="42"/>
        <v>108.35124</v>
      </c>
      <c r="GK15" s="246">
        <f>GG15/115*110+100</f>
        <v>112.75805826086956</v>
      </c>
      <c r="GL15" s="246"/>
      <c r="GM15" s="246"/>
      <c r="GN15" s="246"/>
      <c r="GO15" s="246"/>
      <c r="GP15" s="246"/>
      <c r="GQ15" s="246"/>
      <c r="GR15" s="243">
        <f t="shared" si="43"/>
        <v>0</v>
      </c>
      <c r="GS15" s="247">
        <f t="shared" si="44"/>
        <v>0</v>
      </c>
      <c r="GT15" s="246"/>
      <c r="GU15" s="246"/>
      <c r="GV15" s="246"/>
      <c r="GW15" s="246"/>
      <c r="GX15" s="246"/>
      <c r="GY15" s="246"/>
      <c r="GZ15" s="243">
        <f t="shared" si="45"/>
        <v>0</v>
      </c>
      <c r="HA15" s="246">
        <f t="shared" si="46"/>
        <v>0</v>
      </c>
      <c r="HB15" s="246"/>
      <c r="HC15" s="246"/>
      <c r="HD15" s="246"/>
      <c r="HE15" s="246"/>
      <c r="HF15" s="246"/>
      <c r="HG15" s="246"/>
      <c r="HH15" s="243">
        <f t="shared" si="47"/>
        <v>0</v>
      </c>
      <c r="HI15" s="246">
        <f t="shared" si="48"/>
        <v>0</v>
      </c>
      <c r="HJ15" s="246"/>
      <c r="HK15" s="246"/>
      <c r="HL15" s="246"/>
      <c r="HM15" s="246"/>
      <c r="HN15" s="246"/>
      <c r="HO15" s="246"/>
      <c r="HP15" s="243">
        <f t="shared" si="49"/>
        <v>0</v>
      </c>
      <c r="HQ15" s="246">
        <f t="shared" si="50"/>
        <v>0</v>
      </c>
      <c r="HR15" s="246"/>
      <c r="HS15" s="246"/>
      <c r="HT15" s="246"/>
      <c r="HU15" s="246"/>
      <c r="HV15" s="246"/>
      <c r="HW15" s="246"/>
      <c r="HX15" s="243">
        <f t="shared" si="51"/>
        <v>0</v>
      </c>
      <c r="HY15" s="246">
        <f t="shared" si="120"/>
        <v>0</v>
      </c>
      <c r="HZ15" s="246">
        <v>149.99843960993999</v>
      </c>
      <c r="IA15" s="246">
        <v>0</v>
      </c>
      <c r="IB15" s="246"/>
      <c r="IC15" s="246"/>
      <c r="ID15" s="246"/>
      <c r="IE15" s="246">
        <v>59.5364</v>
      </c>
      <c r="IF15" s="243">
        <f t="shared" si="52"/>
        <v>71.443680000000001</v>
      </c>
      <c r="IG15" s="246">
        <f t="shared" si="121"/>
        <v>0</v>
      </c>
      <c r="IH15" s="246">
        <v>11348.491902740523</v>
      </c>
      <c r="II15" s="246">
        <v>9944.3104000000112</v>
      </c>
      <c r="IJ15" s="246">
        <v>9944.9999999998272</v>
      </c>
      <c r="IK15" s="246">
        <v>10437.544110000003</v>
      </c>
      <c r="IL15" s="246">
        <v>10397.9996724882</v>
      </c>
      <c r="IM15" s="246">
        <v>8991.6876599999996</v>
      </c>
      <c r="IN15" s="243">
        <f t="shared" si="53"/>
        <v>10790.025192000001</v>
      </c>
      <c r="IO15" s="270">
        <f>IK15/115*110+816</f>
        <v>10799.737844347828</v>
      </c>
      <c r="IP15" s="246"/>
      <c r="IQ15" s="246"/>
      <c r="IR15" s="246"/>
      <c r="IS15" s="246"/>
      <c r="IT15" s="246"/>
      <c r="IU15" s="246"/>
      <c r="IV15" s="243">
        <f t="shared" si="54"/>
        <v>0</v>
      </c>
      <c r="IW15" s="246">
        <f t="shared" si="55"/>
        <v>0</v>
      </c>
      <c r="IX15" s="246"/>
      <c r="IY15" s="246"/>
      <c r="IZ15" s="246"/>
      <c r="JA15" s="246"/>
      <c r="JB15" s="246"/>
      <c r="JC15" s="246"/>
      <c r="JD15" s="243">
        <f t="shared" si="56"/>
        <v>0</v>
      </c>
      <c r="JE15" s="246">
        <f t="shared" si="57"/>
        <v>0</v>
      </c>
      <c r="JF15" s="246"/>
      <c r="JG15" s="246"/>
      <c r="JH15" s="246"/>
      <c r="JI15" s="246"/>
      <c r="JJ15" s="246"/>
      <c r="JK15" s="246"/>
      <c r="JL15" s="243">
        <f t="shared" si="58"/>
        <v>0</v>
      </c>
      <c r="JM15" s="246">
        <f t="shared" si="59"/>
        <v>0</v>
      </c>
      <c r="JN15" s="246"/>
      <c r="JO15" s="246"/>
      <c r="JP15" s="246"/>
      <c r="JQ15" s="246"/>
      <c r="JR15" s="246"/>
      <c r="JS15" s="246"/>
      <c r="JT15" s="243">
        <f t="shared" si="60"/>
        <v>0</v>
      </c>
      <c r="JU15" s="246">
        <f t="shared" si="61"/>
        <v>0</v>
      </c>
      <c r="JV15" s="246"/>
      <c r="JW15" s="246"/>
      <c r="JX15" s="246"/>
      <c r="JY15" s="246"/>
      <c r="JZ15" s="246"/>
      <c r="KA15" s="246"/>
      <c r="KB15" s="243">
        <f t="shared" si="62"/>
        <v>0</v>
      </c>
      <c r="KC15" s="246">
        <f t="shared" si="63"/>
        <v>0</v>
      </c>
      <c r="KD15" s="246"/>
      <c r="KE15" s="246"/>
      <c r="KF15" s="246"/>
      <c r="KG15" s="246"/>
      <c r="KH15" s="246"/>
      <c r="KI15" s="246"/>
      <c r="KJ15" s="243">
        <f t="shared" si="64"/>
        <v>0</v>
      </c>
      <c r="KK15" s="246">
        <f t="shared" si="65"/>
        <v>0</v>
      </c>
      <c r="KL15" s="246"/>
      <c r="KM15" s="246"/>
      <c r="KN15" s="246"/>
      <c r="KO15" s="246"/>
      <c r="KP15" s="246"/>
      <c r="KQ15" s="246"/>
      <c r="KR15" s="243">
        <f t="shared" si="66"/>
        <v>0</v>
      </c>
      <c r="KS15" s="246">
        <f t="shared" si="67"/>
        <v>0</v>
      </c>
      <c r="KT15" s="246"/>
      <c r="KU15" s="246"/>
      <c r="KV15" s="246"/>
      <c r="KW15" s="246"/>
      <c r="KX15" s="246"/>
      <c r="KY15" s="246"/>
      <c r="KZ15" s="243">
        <f t="shared" si="68"/>
        <v>0</v>
      </c>
      <c r="LA15" s="246">
        <f t="shared" si="69"/>
        <v>0</v>
      </c>
      <c r="LB15" s="246"/>
      <c r="LC15" s="246"/>
      <c r="LD15" s="246"/>
      <c r="LE15" s="246"/>
      <c r="LF15" s="246"/>
      <c r="LG15" s="246"/>
      <c r="LH15" s="243">
        <f t="shared" si="70"/>
        <v>0</v>
      </c>
      <c r="LI15" s="246">
        <f t="shared" si="71"/>
        <v>0</v>
      </c>
      <c r="LJ15" s="246"/>
      <c r="LK15" s="246"/>
      <c r="LL15" s="246"/>
      <c r="LM15" s="246"/>
      <c r="LN15" s="246"/>
      <c r="LO15" s="246"/>
      <c r="LP15" s="243">
        <f t="shared" si="72"/>
        <v>0</v>
      </c>
      <c r="LQ15" s="246">
        <f t="shared" si="73"/>
        <v>0</v>
      </c>
      <c r="LR15" s="246"/>
      <c r="LS15" s="246"/>
      <c r="LT15" s="244">
        <f t="shared" si="74"/>
        <v>0</v>
      </c>
      <c r="LU15" s="246"/>
      <c r="LV15" s="246"/>
      <c r="LW15" s="246"/>
      <c r="LX15" s="246"/>
      <c r="LY15" s="246"/>
      <c r="LZ15" s="246"/>
      <c r="MA15" s="246"/>
      <c r="MB15" s="243">
        <f t="shared" si="75"/>
        <v>0</v>
      </c>
      <c r="MC15" s="246">
        <f t="shared" si="76"/>
        <v>0</v>
      </c>
      <c r="MD15" s="246"/>
      <c r="ME15" s="246"/>
      <c r="MF15" s="246"/>
      <c r="MG15" s="246"/>
      <c r="MH15" s="246"/>
      <c r="MI15" s="246"/>
      <c r="MJ15" s="243">
        <f t="shared" si="77"/>
        <v>0</v>
      </c>
      <c r="MK15" s="246">
        <f t="shared" si="78"/>
        <v>0</v>
      </c>
      <c r="ML15" s="246"/>
      <c r="MM15" s="246"/>
      <c r="MN15" s="246"/>
      <c r="MO15" s="246"/>
      <c r="MP15" s="246"/>
      <c r="MQ15" s="246"/>
      <c r="MR15" s="243">
        <f t="shared" si="79"/>
        <v>0</v>
      </c>
      <c r="MS15" s="246">
        <f t="shared" si="80"/>
        <v>0</v>
      </c>
      <c r="MT15" s="246"/>
      <c r="MU15" s="246"/>
      <c r="MV15" s="246"/>
      <c r="MW15" s="246"/>
      <c r="MX15" s="246"/>
      <c r="MY15" s="246"/>
      <c r="MZ15" s="243">
        <f t="shared" si="81"/>
        <v>0</v>
      </c>
      <c r="NA15" s="246">
        <f t="shared" si="123"/>
        <v>0</v>
      </c>
      <c r="NB15" s="246"/>
      <c r="NC15" s="246"/>
      <c r="ND15" s="243">
        <f t="shared" si="82"/>
        <v>0</v>
      </c>
      <c r="NE15" s="248"/>
      <c r="NF15" s="246"/>
      <c r="NG15" s="246"/>
      <c r="NH15" s="246"/>
      <c r="NI15" s="246"/>
      <c r="NJ15" s="246"/>
      <c r="NK15" s="246"/>
      <c r="NL15" s="243">
        <f t="shared" si="83"/>
        <v>0</v>
      </c>
      <c r="NM15" s="246">
        <f t="shared" si="84"/>
        <v>0</v>
      </c>
      <c r="NN15" s="246"/>
      <c r="NO15" s="246"/>
      <c r="NP15" s="246"/>
      <c r="NQ15" s="246"/>
      <c r="NR15" s="246"/>
      <c r="NS15" s="246"/>
      <c r="NT15" s="243">
        <f t="shared" si="85"/>
        <v>0</v>
      </c>
      <c r="NU15" s="246">
        <f t="shared" si="86"/>
        <v>0</v>
      </c>
      <c r="NV15" s="246"/>
      <c r="NW15" s="246"/>
      <c r="NX15" s="246"/>
      <c r="NY15" s="246"/>
      <c r="NZ15" s="246"/>
      <c r="OA15" s="246"/>
      <c r="OB15" s="243">
        <f t="shared" si="87"/>
        <v>0</v>
      </c>
      <c r="OC15" s="246">
        <f t="shared" si="88"/>
        <v>0</v>
      </c>
      <c r="OD15" s="246">
        <v>67.663492218779993</v>
      </c>
      <c r="OE15" s="246">
        <v>17.746980000000001</v>
      </c>
      <c r="OF15" s="246">
        <v>17.999999999999002</v>
      </c>
      <c r="OG15" s="246">
        <v>66.504949999999994</v>
      </c>
      <c r="OH15" s="246">
        <v>64.999997952656997</v>
      </c>
      <c r="OI15" s="246">
        <v>383.87332000000004</v>
      </c>
      <c r="OJ15" s="243">
        <f t="shared" si="89"/>
        <v>460.64798400000001</v>
      </c>
      <c r="OK15" s="246">
        <f>OG15/115*110+200+87</f>
        <v>350.61343043478257</v>
      </c>
      <c r="OL15" s="246"/>
      <c r="OM15" s="246"/>
      <c r="ON15" s="246"/>
      <c r="OO15" s="246"/>
      <c r="OP15" s="246"/>
      <c r="OQ15" s="246"/>
      <c r="OR15" s="243">
        <f t="shared" si="90"/>
        <v>0</v>
      </c>
      <c r="OS15" s="246">
        <f t="shared" si="91"/>
        <v>0</v>
      </c>
      <c r="OT15" s="246"/>
      <c r="OU15" s="246"/>
      <c r="OV15" s="246"/>
      <c r="OW15" s="246"/>
      <c r="OX15" s="246"/>
      <c r="OY15" s="246"/>
      <c r="OZ15" s="243">
        <f t="shared" si="92"/>
        <v>0</v>
      </c>
      <c r="PA15" s="246">
        <v>0</v>
      </c>
      <c r="PB15" s="246"/>
      <c r="PC15" s="246"/>
      <c r="PD15" s="243">
        <f t="shared" si="93"/>
        <v>0</v>
      </c>
      <c r="PE15" s="246">
        <v>0</v>
      </c>
      <c r="PF15" s="246"/>
      <c r="PG15" s="246"/>
      <c r="PH15" s="246"/>
      <c r="PI15" s="246"/>
      <c r="PJ15" s="246"/>
      <c r="PK15" s="246"/>
      <c r="PL15" s="243">
        <f t="shared" si="94"/>
        <v>0</v>
      </c>
      <c r="PM15" s="276">
        <v>0</v>
      </c>
      <c r="PN15" s="246">
        <v>1171.0063752896399</v>
      </c>
      <c r="PO15" s="246">
        <v>0</v>
      </c>
      <c r="PP15" s="246">
        <v>387</v>
      </c>
      <c r="PQ15" s="246">
        <v>0</v>
      </c>
      <c r="PR15" s="246">
        <v>-885.99997209314699</v>
      </c>
      <c r="PS15" s="246">
        <v>0</v>
      </c>
      <c r="PT15" s="243">
        <f t="shared" si="95"/>
        <v>0</v>
      </c>
      <c r="PU15" s="246"/>
      <c r="PV15" s="246"/>
      <c r="PW15" s="246"/>
      <c r="PX15" s="246"/>
      <c r="PY15" s="246"/>
      <c r="PZ15" s="246"/>
      <c r="QA15" s="246"/>
      <c r="QB15" s="243">
        <f t="shared" si="96"/>
        <v>0</v>
      </c>
      <c r="QC15" s="246"/>
      <c r="QD15" s="246"/>
      <c r="QE15" s="246"/>
      <c r="QF15" s="246"/>
      <c r="QG15" s="246"/>
      <c r="QH15" s="246"/>
      <c r="QI15" s="246"/>
      <c r="QJ15" s="243">
        <f t="shared" si="97"/>
        <v>0</v>
      </c>
      <c r="QK15" s="246"/>
      <c r="QL15" s="246"/>
      <c r="QM15" s="246"/>
      <c r="QN15" s="246"/>
      <c r="QO15" s="246"/>
      <c r="QP15" s="243">
        <f t="shared" si="98"/>
        <v>0</v>
      </c>
      <c r="QQ15" s="248"/>
      <c r="QR15" s="246"/>
      <c r="QS15" s="246"/>
      <c r="QT15" s="246"/>
      <c r="QU15" s="246"/>
      <c r="QV15" s="243">
        <f t="shared" si="99"/>
        <v>0</v>
      </c>
      <c r="QW15" s="246"/>
      <c r="QX15" s="246"/>
      <c r="QY15" s="246"/>
      <c r="QZ15" s="246"/>
      <c r="RA15" s="246"/>
      <c r="RB15" s="246"/>
      <c r="RC15" s="246"/>
      <c r="RD15" s="243">
        <f t="shared" si="100"/>
        <v>0</v>
      </c>
      <c r="RE15" s="300"/>
      <c r="RF15" s="259">
        <f t="shared" si="101"/>
        <v>12334.999611477388</v>
      </c>
      <c r="RG15" s="259">
        <f t="shared" si="11"/>
        <v>12373.568740000001</v>
      </c>
      <c r="RH15" s="259">
        <f t="shared" si="11"/>
        <v>14848.282488000001</v>
      </c>
      <c r="RI15" s="256">
        <f t="shared" si="12"/>
        <v>14380.076467826089</v>
      </c>
    </row>
    <row r="16" spans="1:477">
      <c r="A16" s="5" t="s">
        <v>12</v>
      </c>
      <c r="B16" s="263">
        <v>170.97015229174599</v>
      </c>
      <c r="C16" s="246">
        <v>294.85537999999997</v>
      </c>
      <c r="D16" s="246">
        <v>295.01030785911399</v>
      </c>
      <c r="E16" s="246">
        <v>131.36437000000001</v>
      </c>
      <c r="F16" s="246">
        <v>215.180981043701</v>
      </c>
      <c r="G16" s="246">
        <v>173.16701</v>
      </c>
      <c r="H16" s="254">
        <f t="shared" si="13"/>
        <v>207.80041200000002</v>
      </c>
      <c r="I16" s="246">
        <f>E16/115*110+100</f>
        <v>225.65287565217392</v>
      </c>
      <c r="J16" s="263"/>
      <c r="K16" s="246"/>
      <c r="L16" s="246"/>
      <c r="M16" s="246"/>
      <c r="N16" s="246"/>
      <c r="O16" s="246"/>
      <c r="P16" s="243">
        <f t="shared" si="14"/>
        <v>0</v>
      </c>
      <c r="Q16" s="246">
        <f t="shared" si="103"/>
        <v>0</v>
      </c>
      <c r="R16" s="246">
        <v>28.283698701349</v>
      </c>
      <c r="S16" s="246">
        <v>20.84703</v>
      </c>
      <c r="T16" s="246">
        <v>23.000803663591999</v>
      </c>
      <c r="U16" s="246">
        <v>5.2334199999999997</v>
      </c>
      <c r="V16" s="246"/>
      <c r="W16" s="246">
        <v>42.787039999999998</v>
      </c>
      <c r="X16" s="243">
        <f t="shared" si="15"/>
        <v>51.344447999999993</v>
      </c>
      <c r="Y16" s="246">
        <f t="shared" si="104"/>
        <v>5.0058800000000003</v>
      </c>
      <c r="Z16" s="246"/>
      <c r="AA16" s="246"/>
      <c r="AB16" s="246"/>
      <c r="AC16" s="246"/>
      <c r="AD16" s="246"/>
      <c r="AE16" s="246"/>
      <c r="AF16" s="243">
        <f t="shared" si="16"/>
        <v>0</v>
      </c>
      <c r="AG16" s="246">
        <f t="shared" si="105"/>
        <v>0</v>
      </c>
      <c r="AH16" s="246">
        <v>98.885238517537005</v>
      </c>
      <c r="AI16" s="246">
        <v>81.353809999999001</v>
      </c>
      <c r="AJ16" s="246">
        <v>90.003144770576995</v>
      </c>
      <c r="AK16" s="246">
        <v>101.83173000000001</v>
      </c>
      <c r="AL16" s="246">
        <v>77.465153175731999</v>
      </c>
      <c r="AM16" s="246">
        <v>60.157060000000001</v>
      </c>
      <c r="AN16" s="243">
        <f t="shared" si="17"/>
        <v>72.18847199999999</v>
      </c>
      <c r="AO16" s="246">
        <f>AK16/115*110-7-1</f>
        <v>89.404263478260873</v>
      </c>
      <c r="AP16" s="246"/>
      <c r="AQ16" s="246"/>
      <c r="AR16" s="246"/>
      <c r="AS16" s="246"/>
      <c r="AT16" s="246"/>
      <c r="AU16" s="246"/>
      <c r="AV16" s="243">
        <f t="shared" si="18"/>
        <v>0</v>
      </c>
      <c r="AW16" s="246">
        <f t="shared" si="107"/>
        <v>0</v>
      </c>
      <c r="AX16" s="246">
        <v>77.155502903682006</v>
      </c>
      <c r="AY16" s="246">
        <v>43.56156</v>
      </c>
      <c r="AZ16" s="246">
        <v>57.001991688032</v>
      </c>
      <c r="BA16" s="246">
        <v>76.530100000000004</v>
      </c>
      <c r="BB16" s="246">
        <v>42.079836292990002</v>
      </c>
      <c r="BC16" s="246">
        <v>32.468809999999998</v>
      </c>
      <c r="BD16" s="243">
        <f t="shared" si="19"/>
        <v>38.962571999999994</v>
      </c>
      <c r="BE16" s="246">
        <f>BA16/115*110-33</f>
        <v>40.202704347826099</v>
      </c>
      <c r="BF16" s="246"/>
      <c r="BG16" s="246"/>
      <c r="BH16" s="246"/>
      <c r="BI16" s="246"/>
      <c r="BJ16" s="246"/>
      <c r="BK16" s="246"/>
      <c r="BL16" s="243">
        <f t="shared" si="20"/>
        <v>0</v>
      </c>
      <c r="BM16" s="246">
        <f t="shared" si="109"/>
        <v>0</v>
      </c>
      <c r="BN16" s="246"/>
      <c r="BO16" s="246"/>
      <c r="BP16" s="246"/>
      <c r="BQ16" s="246"/>
      <c r="BR16" s="246"/>
      <c r="BS16" s="246"/>
      <c r="BT16" s="243">
        <f t="shared" si="21"/>
        <v>0</v>
      </c>
      <c r="BU16" s="246">
        <f t="shared" si="110"/>
        <v>0</v>
      </c>
      <c r="BV16" s="246">
        <v>26.99234636229</v>
      </c>
      <c r="BW16" s="246">
        <v>25.704059999999998</v>
      </c>
      <c r="BX16" s="246">
        <v>25.875117666116001</v>
      </c>
      <c r="BY16" s="246">
        <v>35.319230000000005</v>
      </c>
      <c r="BZ16" s="246">
        <v>24.865357809492998</v>
      </c>
      <c r="CA16" s="246">
        <v>4.9912900000000002</v>
      </c>
      <c r="CB16" s="243">
        <f t="shared" si="22"/>
        <v>5.989548000000001</v>
      </c>
      <c r="CC16" s="246">
        <f t="shared" si="111"/>
        <v>33.783611304347829</v>
      </c>
      <c r="CD16" s="246"/>
      <c r="CE16" s="246"/>
      <c r="CF16" s="246"/>
      <c r="CG16" s="246"/>
      <c r="CH16" s="246"/>
      <c r="CI16" s="246"/>
      <c r="CJ16" s="243">
        <f t="shared" si="23"/>
        <v>0</v>
      </c>
      <c r="CK16" s="246">
        <f t="shared" si="112"/>
        <v>0</v>
      </c>
      <c r="CL16" s="246"/>
      <c r="CM16" s="246"/>
      <c r="CN16" s="246"/>
      <c r="CO16" s="246"/>
      <c r="CP16" s="246"/>
      <c r="CQ16" s="246"/>
      <c r="CR16" s="243">
        <f t="shared" si="24"/>
        <v>0</v>
      </c>
      <c r="CS16" s="246">
        <f t="shared" si="113"/>
        <v>0</v>
      </c>
      <c r="CT16" s="246"/>
      <c r="CU16" s="246"/>
      <c r="CV16" s="246"/>
      <c r="CW16" s="246"/>
      <c r="CX16" s="246"/>
      <c r="CY16" s="246"/>
      <c r="CZ16" s="243">
        <f t="shared" si="25"/>
        <v>0</v>
      </c>
      <c r="DA16" s="246">
        <f t="shared" si="114"/>
        <v>0</v>
      </c>
      <c r="DB16" s="246"/>
      <c r="DC16" s="246"/>
      <c r="DD16" s="246"/>
      <c r="DE16" s="246"/>
      <c r="DF16" s="246"/>
      <c r="DG16" s="246"/>
      <c r="DH16" s="243">
        <f t="shared" si="26"/>
        <v>0</v>
      </c>
      <c r="DI16" s="246">
        <f t="shared" si="27"/>
        <v>0</v>
      </c>
      <c r="DJ16" s="246"/>
      <c r="DK16" s="246"/>
      <c r="DL16" s="246"/>
      <c r="DM16" s="246"/>
      <c r="DN16" s="246"/>
      <c r="DO16" s="246"/>
      <c r="DP16" s="243">
        <f t="shared" si="28"/>
        <v>0</v>
      </c>
      <c r="DQ16" s="246">
        <f t="shared" si="29"/>
        <v>0</v>
      </c>
      <c r="DR16" s="246"/>
      <c r="DS16" s="246"/>
      <c r="DT16" s="246">
        <v>0</v>
      </c>
      <c r="DU16" s="246">
        <v>4.9686700000000004</v>
      </c>
      <c r="DV16" s="246"/>
      <c r="DW16" s="246"/>
      <c r="DX16" s="243">
        <f t="shared" si="30"/>
        <v>0</v>
      </c>
      <c r="DY16" s="246">
        <f t="shared" si="115"/>
        <v>4.7526408695652185</v>
      </c>
      <c r="DZ16" s="246">
        <v>3100</v>
      </c>
      <c r="EA16" s="246">
        <v>3110.0038999999997</v>
      </c>
      <c r="EB16" s="246">
        <v>3109.1086343525049</v>
      </c>
      <c r="EC16" s="246">
        <v>2553.133780000001</v>
      </c>
      <c r="ED16" s="246">
        <v>2467.4085826344331</v>
      </c>
      <c r="EE16" s="246">
        <v>1826.9005999999999</v>
      </c>
      <c r="EF16" s="243">
        <f t="shared" si="31"/>
        <v>2192.2807199999997</v>
      </c>
      <c r="EG16" s="246">
        <f>EC16/115*110-100</f>
        <v>2342.1279634782618</v>
      </c>
      <c r="EH16" s="246"/>
      <c r="EI16" s="246"/>
      <c r="EJ16" s="246"/>
      <c r="EK16" s="246"/>
      <c r="EL16" s="246"/>
      <c r="EM16" s="246"/>
      <c r="EN16" s="243">
        <f t="shared" si="32"/>
        <v>0</v>
      </c>
      <c r="EO16" s="246">
        <f t="shared" si="117"/>
        <v>0</v>
      </c>
      <c r="EP16" s="246"/>
      <c r="EQ16" s="246"/>
      <c r="ER16" s="246"/>
      <c r="ES16" s="246"/>
      <c r="ET16" s="246"/>
      <c r="EU16" s="246"/>
      <c r="EV16" s="243">
        <f t="shared" si="33"/>
        <v>0</v>
      </c>
      <c r="EW16" s="246">
        <f t="shared" si="34"/>
        <v>0</v>
      </c>
      <c r="EX16" s="246"/>
      <c r="EY16" s="246"/>
      <c r="EZ16" s="246"/>
      <c r="FA16" s="246"/>
      <c r="FB16" s="246"/>
      <c r="FC16" s="246"/>
      <c r="FD16" s="243">
        <f t="shared" si="35"/>
        <v>0</v>
      </c>
      <c r="FE16" s="246">
        <f t="shared" si="36"/>
        <v>0</v>
      </c>
      <c r="FF16" s="246"/>
      <c r="FG16" s="246"/>
      <c r="FH16" s="246"/>
      <c r="FI16" s="246"/>
      <c r="FJ16" s="246"/>
      <c r="FK16" s="246"/>
      <c r="FL16" s="243">
        <f t="shared" si="37"/>
        <v>0</v>
      </c>
      <c r="FM16" s="246">
        <f t="shared" si="118"/>
        <v>0</v>
      </c>
      <c r="FN16" s="246"/>
      <c r="FO16" s="246"/>
      <c r="FP16" s="246"/>
      <c r="FQ16" s="246"/>
      <c r="FR16" s="246"/>
      <c r="FS16" s="246"/>
      <c r="FT16" s="243">
        <f t="shared" si="38"/>
        <v>0</v>
      </c>
      <c r="FU16" s="246">
        <f t="shared" si="39"/>
        <v>0</v>
      </c>
      <c r="FV16" s="246"/>
      <c r="FW16" s="246"/>
      <c r="FX16" s="246"/>
      <c r="FY16" s="246"/>
      <c r="FZ16" s="246"/>
      <c r="GA16" s="246"/>
      <c r="GB16" s="243">
        <f t="shared" si="40"/>
        <v>0</v>
      </c>
      <c r="GC16" s="246">
        <f t="shared" si="41"/>
        <v>0</v>
      </c>
      <c r="GD16" s="246"/>
      <c r="GE16" s="246"/>
      <c r="GF16" s="246"/>
      <c r="GG16" s="246"/>
      <c r="GH16" s="246"/>
      <c r="GI16" s="246"/>
      <c r="GJ16" s="243">
        <f t="shared" si="42"/>
        <v>0</v>
      </c>
      <c r="GK16" s="246">
        <f t="shared" si="119"/>
        <v>0</v>
      </c>
      <c r="GL16" s="246"/>
      <c r="GM16" s="246"/>
      <c r="GN16" s="246"/>
      <c r="GO16" s="246"/>
      <c r="GP16" s="246"/>
      <c r="GQ16" s="246"/>
      <c r="GR16" s="243">
        <f t="shared" si="43"/>
        <v>0</v>
      </c>
      <c r="GS16" s="247">
        <f t="shared" si="44"/>
        <v>0</v>
      </c>
      <c r="GT16" s="246"/>
      <c r="GU16" s="246"/>
      <c r="GV16" s="246"/>
      <c r="GW16" s="246"/>
      <c r="GX16" s="246"/>
      <c r="GY16" s="246"/>
      <c r="GZ16" s="243">
        <f t="shared" si="45"/>
        <v>0</v>
      </c>
      <c r="HA16" s="246">
        <f t="shared" si="46"/>
        <v>0</v>
      </c>
      <c r="HB16" s="246"/>
      <c r="HC16" s="246"/>
      <c r="HD16" s="246"/>
      <c r="HE16" s="246"/>
      <c r="HF16" s="246"/>
      <c r="HG16" s="246"/>
      <c r="HH16" s="243">
        <f t="shared" si="47"/>
        <v>0</v>
      </c>
      <c r="HI16" s="246">
        <f t="shared" si="48"/>
        <v>0</v>
      </c>
      <c r="HJ16" s="246"/>
      <c r="HK16" s="246"/>
      <c r="HL16" s="246"/>
      <c r="HM16" s="246"/>
      <c r="HN16" s="246"/>
      <c r="HO16" s="246"/>
      <c r="HP16" s="243">
        <f t="shared" si="49"/>
        <v>0</v>
      </c>
      <c r="HQ16" s="246">
        <f t="shared" si="50"/>
        <v>0</v>
      </c>
      <c r="HR16" s="246"/>
      <c r="HS16" s="246"/>
      <c r="HT16" s="246"/>
      <c r="HU16" s="246"/>
      <c r="HV16" s="246"/>
      <c r="HW16" s="246"/>
      <c r="HX16" s="243">
        <f t="shared" si="51"/>
        <v>0</v>
      </c>
      <c r="HY16" s="246">
        <f t="shared" si="120"/>
        <v>0</v>
      </c>
      <c r="HZ16" s="246"/>
      <c r="IA16" s="246"/>
      <c r="IB16" s="246"/>
      <c r="IC16" s="246"/>
      <c r="ID16" s="246"/>
      <c r="IE16" s="246"/>
      <c r="IF16" s="243">
        <f t="shared" si="52"/>
        <v>0</v>
      </c>
      <c r="IG16" s="246">
        <f t="shared" si="121"/>
        <v>0</v>
      </c>
      <c r="IH16" s="246"/>
      <c r="II16" s="246"/>
      <c r="IJ16" s="246"/>
      <c r="IK16" s="246"/>
      <c r="IL16" s="246"/>
      <c r="IM16" s="246"/>
      <c r="IN16" s="243">
        <f t="shared" si="53"/>
        <v>0</v>
      </c>
      <c r="IO16" s="270">
        <f t="shared" si="122"/>
        <v>0</v>
      </c>
      <c r="IP16" s="246"/>
      <c r="IQ16" s="246"/>
      <c r="IR16" s="246"/>
      <c r="IS16" s="246"/>
      <c r="IT16" s="246"/>
      <c r="IU16" s="246"/>
      <c r="IV16" s="243">
        <f t="shared" si="54"/>
        <v>0</v>
      </c>
      <c r="IW16" s="246">
        <f t="shared" si="55"/>
        <v>0</v>
      </c>
      <c r="IX16" s="246"/>
      <c r="IY16" s="246"/>
      <c r="IZ16" s="246"/>
      <c r="JA16" s="246"/>
      <c r="JB16" s="246"/>
      <c r="JC16" s="246"/>
      <c r="JD16" s="243">
        <f t="shared" si="56"/>
        <v>0</v>
      </c>
      <c r="JE16" s="246">
        <f t="shared" si="57"/>
        <v>0</v>
      </c>
      <c r="JF16" s="246"/>
      <c r="JG16" s="246"/>
      <c r="JH16" s="246"/>
      <c r="JI16" s="246"/>
      <c r="JJ16" s="246"/>
      <c r="JK16" s="246"/>
      <c r="JL16" s="243">
        <f t="shared" si="58"/>
        <v>0</v>
      </c>
      <c r="JM16" s="246">
        <f t="shared" si="59"/>
        <v>0</v>
      </c>
      <c r="JN16" s="246"/>
      <c r="JO16" s="246"/>
      <c r="JP16" s="246"/>
      <c r="JQ16" s="246"/>
      <c r="JR16" s="246"/>
      <c r="JS16" s="246"/>
      <c r="JT16" s="243">
        <f t="shared" si="60"/>
        <v>0</v>
      </c>
      <c r="JU16" s="246">
        <f t="shared" si="61"/>
        <v>0</v>
      </c>
      <c r="JV16" s="246"/>
      <c r="JW16" s="246"/>
      <c r="JX16" s="246"/>
      <c r="JY16" s="246"/>
      <c r="JZ16" s="246"/>
      <c r="KA16" s="246"/>
      <c r="KB16" s="243">
        <f t="shared" si="62"/>
        <v>0</v>
      </c>
      <c r="KC16" s="246">
        <f t="shared" si="63"/>
        <v>0</v>
      </c>
      <c r="KD16" s="246"/>
      <c r="KE16" s="246"/>
      <c r="KF16" s="246"/>
      <c r="KG16" s="246"/>
      <c r="KH16" s="246"/>
      <c r="KI16" s="246"/>
      <c r="KJ16" s="243">
        <f t="shared" si="64"/>
        <v>0</v>
      </c>
      <c r="KK16" s="246">
        <f t="shared" si="65"/>
        <v>0</v>
      </c>
      <c r="KL16" s="246"/>
      <c r="KM16" s="246"/>
      <c r="KN16" s="246"/>
      <c r="KO16" s="246"/>
      <c r="KP16" s="246"/>
      <c r="KQ16" s="246"/>
      <c r="KR16" s="243">
        <f t="shared" si="66"/>
        <v>0</v>
      </c>
      <c r="KS16" s="246">
        <f t="shared" si="67"/>
        <v>0</v>
      </c>
      <c r="KT16" s="246"/>
      <c r="KU16" s="246"/>
      <c r="KV16" s="246"/>
      <c r="KW16" s="246"/>
      <c r="KX16" s="246"/>
      <c r="KY16" s="246"/>
      <c r="KZ16" s="243">
        <f t="shared" si="68"/>
        <v>0</v>
      </c>
      <c r="LA16" s="246">
        <f t="shared" si="69"/>
        <v>0</v>
      </c>
      <c r="LB16" s="246"/>
      <c r="LC16" s="246"/>
      <c r="LD16" s="246"/>
      <c r="LE16" s="246"/>
      <c r="LF16" s="246"/>
      <c r="LG16" s="246"/>
      <c r="LH16" s="243">
        <f t="shared" si="70"/>
        <v>0</v>
      </c>
      <c r="LI16" s="246">
        <f t="shared" si="71"/>
        <v>0</v>
      </c>
      <c r="LJ16" s="246"/>
      <c r="LK16" s="246"/>
      <c r="LL16" s="246"/>
      <c r="LM16" s="246"/>
      <c r="LN16" s="246"/>
      <c r="LO16" s="246"/>
      <c r="LP16" s="243">
        <f t="shared" si="72"/>
        <v>0</v>
      </c>
      <c r="LQ16" s="246">
        <f t="shared" si="73"/>
        <v>0</v>
      </c>
      <c r="LR16" s="246"/>
      <c r="LS16" s="246"/>
      <c r="LT16" s="244">
        <f t="shared" si="74"/>
        <v>0</v>
      </c>
      <c r="LU16" s="246"/>
      <c r="LV16" s="246"/>
      <c r="LW16" s="246"/>
      <c r="LX16" s="246"/>
      <c r="LY16" s="246"/>
      <c r="LZ16" s="246"/>
      <c r="MA16" s="246"/>
      <c r="MB16" s="243">
        <f t="shared" si="75"/>
        <v>0</v>
      </c>
      <c r="MC16" s="246">
        <f t="shared" si="76"/>
        <v>0</v>
      </c>
      <c r="MD16" s="246"/>
      <c r="ME16" s="246"/>
      <c r="MF16" s="246"/>
      <c r="MG16" s="246"/>
      <c r="MH16" s="246"/>
      <c r="MI16" s="246"/>
      <c r="MJ16" s="243">
        <f t="shared" si="77"/>
        <v>0</v>
      </c>
      <c r="MK16" s="246">
        <f t="shared" si="78"/>
        <v>0</v>
      </c>
      <c r="ML16" s="246"/>
      <c r="MM16" s="246"/>
      <c r="MN16" s="246"/>
      <c r="MO16" s="246"/>
      <c r="MP16" s="246"/>
      <c r="MQ16" s="246"/>
      <c r="MR16" s="243">
        <f t="shared" si="79"/>
        <v>0</v>
      </c>
      <c r="MS16" s="246">
        <f t="shared" si="80"/>
        <v>0</v>
      </c>
      <c r="MT16" s="246"/>
      <c r="MU16" s="246"/>
      <c r="MV16" s="246"/>
      <c r="MW16" s="246"/>
      <c r="MX16" s="246">
        <v>21.999999307052999</v>
      </c>
      <c r="MY16" s="246">
        <v>43.291759999999996</v>
      </c>
      <c r="MZ16" s="243">
        <f t="shared" si="81"/>
        <v>51.95011199999999</v>
      </c>
      <c r="NA16" s="246">
        <v>58</v>
      </c>
      <c r="NB16" s="246"/>
      <c r="NC16" s="246"/>
      <c r="ND16" s="243">
        <f t="shared" si="82"/>
        <v>0</v>
      </c>
      <c r="NE16" s="248"/>
      <c r="NF16" s="246"/>
      <c r="NG16" s="246"/>
      <c r="NH16" s="246"/>
      <c r="NI16" s="246"/>
      <c r="NJ16" s="246"/>
      <c r="NK16" s="246"/>
      <c r="NL16" s="243">
        <f t="shared" si="83"/>
        <v>0</v>
      </c>
      <c r="NM16" s="246">
        <f t="shared" si="84"/>
        <v>0</v>
      </c>
      <c r="NN16" s="246"/>
      <c r="NO16" s="246"/>
      <c r="NP16" s="246"/>
      <c r="NQ16" s="246"/>
      <c r="NR16" s="246"/>
      <c r="NS16" s="246"/>
      <c r="NT16" s="243">
        <f t="shared" si="85"/>
        <v>0</v>
      </c>
      <c r="NU16" s="246">
        <f t="shared" si="86"/>
        <v>0</v>
      </c>
      <c r="NV16" s="246"/>
      <c r="NW16" s="246"/>
      <c r="NX16" s="246"/>
      <c r="NY16" s="246"/>
      <c r="NZ16" s="246"/>
      <c r="OA16" s="246"/>
      <c r="OB16" s="243">
        <f t="shared" si="87"/>
        <v>0</v>
      </c>
      <c r="OC16" s="246">
        <f t="shared" si="88"/>
        <v>0</v>
      </c>
      <c r="OD16" s="246"/>
      <c r="OE16" s="246"/>
      <c r="OF16" s="246"/>
      <c r="OG16" s="246"/>
      <c r="OH16" s="246"/>
      <c r="OI16" s="246"/>
      <c r="OJ16" s="243">
        <f t="shared" si="89"/>
        <v>0</v>
      </c>
      <c r="OK16" s="246">
        <f t="shared" si="124"/>
        <v>0</v>
      </c>
      <c r="OL16" s="246"/>
      <c r="OM16" s="246"/>
      <c r="ON16" s="246"/>
      <c r="OO16" s="246"/>
      <c r="OP16" s="246"/>
      <c r="OQ16" s="246"/>
      <c r="OR16" s="243">
        <f t="shared" si="90"/>
        <v>0</v>
      </c>
      <c r="OS16" s="246">
        <f t="shared" si="91"/>
        <v>0</v>
      </c>
      <c r="OT16" s="246"/>
      <c r="OU16" s="246"/>
      <c r="OV16" s="246"/>
      <c r="OW16" s="246"/>
      <c r="OX16" s="246"/>
      <c r="OY16" s="246"/>
      <c r="OZ16" s="243">
        <f t="shared" si="92"/>
        <v>0</v>
      </c>
      <c r="PA16" s="246">
        <v>0</v>
      </c>
      <c r="PB16" s="246"/>
      <c r="PC16" s="246"/>
      <c r="PD16" s="243">
        <f t="shared" si="93"/>
        <v>0</v>
      </c>
      <c r="PE16" s="246">
        <v>0</v>
      </c>
      <c r="PF16" s="246"/>
      <c r="PG16" s="246"/>
      <c r="PH16" s="246"/>
      <c r="PI16" s="246"/>
      <c r="PJ16" s="246"/>
      <c r="PK16" s="246"/>
      <c r="PL16" s="243">
        <f t="shared" si="94"/>
        <v>0</v>
      </c>
      <c r="PM16" s="276">
        <v>0</v>
      </c>
      <c r="PN16" s="246">
        <v>-283.26585719461502</v>
      </c>
      <c r="PO16" s="246">
        <v>0</v>
      </c>
      <c r="PP16" s="246"/>
      <c r="PQ16" s="246"/>
      <c r="PR16" s="246">
        <v>-21.999999307052999</v>
      </c>
      <c r="PS16" s="246">
        <v>0</v>
      </c>
      <c r="PT16" s="243">
        <f t="shared" si="95"/>
        <v>0</v>
      </c>
      <c r="PU16" s="246"/>
      <c r="PV16" s="246"/>
      <c r="PW16" s="246"/>
      <c r="PX16" s="246"/>
      <c r="PY16" s="246"/>
      <c r="PZ16" s="246"/>
      <c r="QA16" s="246"/>
      <c r="QB16" s="243">
        <f t="shared" si="96"/>
        <v>0</v>
      </c>
      <c r="QC16" s="246"/>
      <c r="QD16" s="246"/>
      <c r="QE16" s="246"/>
      <c r="QF16" s="246"/>
      <c r="QG16" s="246"/>
      <c r="QH16" s="246"/>
      <c r="QI16" s="246"/>
      <c r="QJ16" s="243">
        <f t="shared" si="97"/>
        <v>0</v>
      </c>
      <c r="QK16" s="246"/>
      <c r="QL16" s="246"/>
      <c r="QM16" s="246"/>
      <c r="QN16" s="246"/>
      <c r="QO16" s="246"/>
      <c r="QP16" s="243">
        <f t="shared" si="98"/>
        <v>0</v>
      </c>
      <c r="QQ16" s="248"/>
      <c r="QR16" s="246"/>
      <c r="QS16" s="246"/>
      <c r="QT16" s="246"/>
      <c r="QU16" s="246"/>
      <c r="QV16" s="243">
        <f t="shared" si="99"/>
        <v>0</v>
      </c>
      <c r="QW16" s="246"/>
      <c r="QX16" s="246"/>
      <c r="QY16" s="246"/>
      <c r="QZ16" s="246"/>
      <c r="RA16" s="246"/>
      <c r="RB16" s="246"/>
      <c r="RC16" s="246"/>
      <c r="RD16" s="243">
        <f t="shared" si="100"/>
        <v>0</v>
      </c>
      <c r="RE16" s="300"/>
      <c r="RF16" s="259">
        <f t="shared" si="101"/>
        <v>2826.9999109563496</v>
      </c>
      <c r="RG16" s="259">
        <f t="shared" si="11"/>
        <v>2183.7635700000001</v>
      </c>
      <c r="RH16" s="259">
        <f t="shared" si="11"/>
        <v>2620.5162839999994</v>
      </c>
      <c r="RI16" s="256">
        <f t="shared" si="12"/>
        <v>2798.9299391304357</v>
      </c>
    </row>
    <row r="17" spans="1:479">
      <c r="A17" s="5" t="s">
        <v>13</v>
      </c>
      <c r="B17" s="263">
        <v>687.58516753113702</v>
      </c>
      <c r="C17" s="246">
        <v>769.86040000000003</v>
      </c>
      <c r="D17" s="246">
        <v>592.02021721179392</v>
      </c>
      <c r="E17" s="246">
        <v>505.02259999999995</v>
      </c>
      <c r="F17" s="246">
        <v>584.41769861041303</v>
      </c>
      <c r="G17" s="246">
        <v>310.54715999999996</v>
      </c>
      <c r="H17" s="254">
        <f t="shared" si="13"/>
        <v>372.65659199999993</v>
      </c>
      <c r="I17" s="246">
        <f>E17/115*110-100</f>
        <v>383.06509565217385</v>
      </c>
      <c r="J17" s="263">
        <v>1735.4134907559921</v>
      </c>
      <c r="K17" s="246">
        <v>1927.6943900000001</v>
      </c>
      <c r="L17" s="246">
        <v>1682.9437285665952</v>
      </c>
      <c r="M17" s="246">
        <v>1660.7953900000002</v>
      </c>
      <c r="N17" s="246">
        <v>1580.1277219384701</v>
      </c>
      <c r="O17" s="246">
        <v>848.04462000000001</v>
      </c>
      <c r="P17" s="243">
        <f t="shared" si="14"/>
        <v>1017.653544</v>
      </c>
      <c r="Q17" s="247">
        <f>M17/115*110-76</f>
        <v>1512.5868947826089</v>
      </c>
      <c r="R17" s="246">
        <v>1110.017552262156</v>
      </c>
      <c r="S17" s="246">
        <v>902.86085000000003</v>
      </c>
      <c r="T17" s="246">
        <v>910.50287113439504</v>
      </c>
      <c r="U17" s="246">
        <v>1019.96614</v>
      </c>
      <c r="V17" s="246">
        <v>959.363259748357</v>
      </c>
      <c r="W17" s="246">
        <v>597.78395</v>
      </c>
      <c r="X17" s="243">
        <f t="shared" si="15"/>
        <v>717.3407400000001</v>
      </c>
      <c r="Y17" s="247">
        <f>U17/115*110-15</f>
        <v>960.61978608695654</v>
      </c>
      <c r="Z17" s="246">
        <v>2611.0412873481887</v>
      </c>
      <c r="AA17" s="246">
        <v>1841.3358999999982</v>
      </c>
      <c r="AB17" s="246">
        <v>1218.320216446182</v>
      </c>
      <c r="AC17" s="246">
        <v>1742.4291099999998</v>
      </c>
      <c r="AD17" s="246">
        <v>1665.2556682172381</v>
      </c>
      <c r="AE17" s="246">
        <v>1086.13759</v>
      </c>
      <c r="AF17" s="243">
        <f t="shared" si="16"/>
        <v>1303.365108</v>
      </c>
      <c r="AG17" s="247">
        <f>AC17/115*110-262-90</f>
        <v>1314.6713226086954</v>
      </c>
      <c r="AH17" s="246">
        <v>209.00345214831802</v>
      </c>
      <c r="AI17" s="246">
        <v>149.879519999998</v>
      </c>
      <c r="AJ17" s="246">
        <v>119.98846452737901</v>
      </c>
      <c r="AK17" s="246">
        <v>122.03337999999998</v>
      </c>
      <c r="AL17" s="246">
        <v>123.63081984739399</v>
      </c>
      <c r="AM17" s="246">
        <v>93.470789999999994</v>
      </c>
      <c r="AN17" s="243">
        <f t="shared" si="17"/>
        <v>112.16494799999998</v>
      </c>
      <c r="AO17" s="246">
        <f t="shared" si="106"/>
        <v>116.7275808695652</v>
      </c>
      <c r="AP17" s="246">
        <v>606.0088868210189</v>
      </c>
      <c r="AQ17" s="246">
        <v>554.212869999997</v>
      </c>
      <c r="AR17" s="246">
        <v>504.35004290439701</v>
      </c>
      <c r="AS17" s="246">
        <v>622.39345000000003</v>
      </c>
      <c r="AT17" s="246">
        <v>577.72224216152301</v>
      </c>
      <c r="AU17" s="246">
        <v>229.39643000000001</v>
      </c>
      <c r="AV17" s="243">
        <f t="shared" si="18"/>
        <v>275.27571599999999</v>
      </c>
      <c r="AW17" s="247">
        <f>AS17/115*110-18-77</f>
        <v>500.33286521739137</v>
      </c>
      <c r="AX17" s="246">
        <v>1725.0256010021899</v>
      </c>
      <c r="AY17" s="246">
        <v>1823.7484600000012</v>
      </c>
      <c r="AZ17" s="246">
        <v>1462.87186012498</v>
      </c>
      <c r="BA17" s="246">
        <v>1855.5075100000013</v>
      </c>
      <c r="BB17" s="246">
        <v>1744.64465182553</v>
      </c>
      <c r="BC17" s="246">
        <v>1222.43469</v>
      </c>
      <c r="BD17" s="243">
        <f t="shared" si="19"/>
        <v>1466.9216280000001</v>
      </c>
      <c r="BE17" s="246">
        <f>BA17/115*110-250-45</f>
        <v>1479.833270434784</v>
      </c>
      <c r="BF17" s="246">
        <v>383.90348833823703</v>
      </c>
      <c r="BG17" s="246">
        <v>428.56089999999796</v>
      </c>
      <c r="BH17" s="246">
        <v>332.59144715135301</v>
      </c>
      <c r="BI17" s="246">
        <v>304.44484999999997</v>
      </c>
      <c r="BJ17" s="246">
        <v>314.68645309791503</v>
      </c>
      <c r="BK17" s="246">
        <v>196.69708</v>
      </c>
      <c r="BL17" s="243">
        <f t="shared" si="20"/>
        <v>236.036496</v>
      </c>
      <c r="BM17" s="246">
        <f>BI17/115*110-51</f>
        <v>240.20811739130431</v>
      </c>
      <c r="BN17" s="246">
        <v>247.89090505725</v>
      </c>
      <c r="BO17" s="246">
        <v>153.97034999999801</v>
      </c>
      <c r="BP17" s="246">
        <v>171.44073677431902</v>
      </c>
      <c r="BQ17" s="246">
        <v>132.61711</v>
      </c>
      <c r="BR17" s="246">
        <v>147.300041875619</v>
      </c>
      <c r="BS17" s="246">
        <v>106.40448000000001</v>
      </c>
      <c r="BT17" s="243">
        <f t="shared" si="21"/>
        <v>127.68537600000002</v>
      </c>
      <c r="BU17" s="246">
        <f>BQ17/115*110+3</f>
        <v>129.85114869565217</v>
      </c>
      <c r="BV17" s="246">
        <v>1464.3591618432401</v>
      </c>
      <c r="BW17" s="246">
        <v>1533.0014699999961</v>
      </c>
      <c r="BX17" s="246">
        <v>1027.0054788207792</v>
      </c>
      <c r="BY17" s="246">
        <v>919.04059999999993</v>
      </c>
      <c r="BZ17" s="246">
        <v>988.05807310074795</v>
      </c>
      <c r="CA17" s="246">
        <v>610.61320999999998</v>
      </c>
      <c r="CB17" s="243">
        <f t="shared" si="22"/>
        <v>732.73585200000002</v>
      </c>
      <c r="CC17" s="246">
        <f>BY17/115*110-129</f>
        <v>750.08231304347817</v>
      </c>
      <c r="CD17" s="246">
        <v>853.60866666666709</v>
      </c>
      <c r="CE17" s="246">
        <v>809.44442999999694</v>
      </c>
      <c r="CF17" s="246">
        <v>664.09942932295496</v>
      </c>
      <c r="CG17" s="246">
        <v>750.23397</v>
      </c>
      <c r="CH17" s="246">
        <v>793.41089578613207</v>
      </c>
      <c r="CI17" s="246">
        <v>551.66695000000004</v>
      </c>
      <c r="CJ17" s="243">
        <f t="shared" si="23"/>
        <v>662.00034000000005</v>
      </c>
      <c r="CK17" s="246">
        <f>CG17/115*110-18</f>
        <v>699.61510173913052</v>
      </c>
      <c r="CL17" s="246">
        <v>358.005660999866</v>
      </c>
      <c r="CM17" s="246">
        <v>289.98197999999996</v>
      </c>
      <c r="CN17" s="246">
        <v>205.80496725568398</v>
      </c>
      <c r="CO17" s="246">
        <v>167.64049</v>
      </c>
      <c r="CP17" s="246">
        <v>191.29875568262301</v>
      </c>
      <c r="CQ17" s="246">
        <v>154.38897</v>
      </c>
      <c r="CR17" s="243">
        <f t="shared" si="24"/>
        <v>185.26676400000002</v>
      </c>
      <c r="CS17" s="246">
        <f>CO17/115*110+30</f>
        <v>190.35177304347826</v>
      </c>
      <c r="CT17" s="246">
        <v>267.43213671432994</v>
      </c>
      <c r="CU17" s="246">
        <v>271.26047999999997</v>
      </c>
      <c r="CV17" s="246">
        <v>221.33897952602601</v>
      </c>
      <c r="CW17" s="246">
        <v>216.86865000000003</v>
      </c>
      <c r="CX17" s="246">
        <v>229.55850681914802</v>
      </c>
      <c r="CY17" s="246">
        <v>114.73795000000001</v>
      </c>
      <c r="CZ17" s="243">
        <f t="shared" si="25"/>
        <v>137.68554</v>
      </c>
      <c r="DA17" s="246">
        <f t="shared" si="114"/>
        <v>207.43957826086958</v>
      </c>
      <c r="DB17" s="246">
        <v>115.665455883535</v>
      </c>
      <c r="DC17" s="246">
        <v>117.709789999999</v>
      </c>
      <c r="DD17" s="246">
        <v>107.853714257455</v>
      </c>
      <c r="DE17" s="246">
        <v>82.864760000000004</v>
      </c>
      <c r="DF17" s="246">
        <v>112.86626585274701</v>
      </c>
      <c r="DG17" s="246">
        <v>56.848370000000003</v>
      </c>
      <c r="DH17" s="243">
        <f t="shared" si="26"/>
        <v>68.218043999999992</v>
      </c>
      <c r="DI17" s="246">
        <f t="shared" si="27"/>
        <v>79.261944347826088</v>
      </c>
      <c r="DJ17" s="246"/>
      <c r="DK17" s="246"/>
      <c r="DL17" s="246"/>
      <c r="DM17" s="246"/>
      <c r="DN17" s="246"/>
      <c r="DO17" s="246"/>
      <c r="DP17" s="243">
        <f t="shared" si="28"/>
        <v>0</v>
      </c>
      <c r="DQ17" s="246">
        <f t="shared" si="29"/>
        <v>0</v>
      </c>
      <c r="DR17" s="246">
        <v>1391.2363035419548</v>
      </c>
      <c r="DS17" s="246">
        <v>1491.8329399999989</v>
      </c>
      <c r="DT17" s="246">
        <v>1162.368802072853</v>
      </c>
      <c r="DU17" s="246">
        <v>1341.1204900000012</v>
      </c>
      <c r="DV17" s="246">
        <v>1283.614650630403</v>
      </c>
      <c r="DW17" s="246">
        <v>1007.6204699999998</v>
      </c>
      <c r="DX17" s="243">
        <f t="shared" si="30"/>
        <v>1209.1445639999997</v>
      </c>
      <c r="DY17" s="246">
        <f>DU17/115*110+200</f>
        <v>1482.8109034782619</v>
      </c>
      <c r="DZ17" s="246">
        <v>796.01258702763607</v>
      </c>
      <c r="EA17" s="246">
        <v>400.81431999999899</v>
      </c>
      <c r="EB17" s="246">
        <v>292.91120292251799</v>
      </c>
      <c r="EC17" s="246">
        <v>437.30804999999998</v>
      </c>
      <c r="ED17" s="246">
        <v>412.24881849605305</v>
      </c>
      <c r="EE17" s="246">
        <v>283.68094000000002</v>
      </c>
      <c r="EF17" s="243">
        <f t="shared" si="31"/>
        <v>340.41712800000005</v>
      </c>
      <c r="EG17" s="246">
        <f>EC17/115*110-50</f>
        <v>368.29465652173911</v>
      </c>
      <c r="EH17" s="246">
        <v>19.411630356728001</v>
      </c>
      <c r="EI17" s="246">
        <v>24.240269999999001</v>
      </c>
      <c r="EJ17" s="246">
        <v>30.534994213823001</v>
      </c>
      <c r="EK17" s="246">
        <v>13.902049999999999</v>
      </c>
      <c r="EL17" s="246">
        <v>22.955850681912999</v>
      </c>
      <c r="EM17" s="246">
        <v>7.2389200000000002</v>
      </c>
      <c r="EN17" s="243">
        <f t="shared" si="32"/>
        <v>8.6867039999999989</v>
      </c>
      <c r="EO17" s="246">
        <f t="shared" si="117"/>
        <v>13.297613043478261</v>
      </c>
      <c r="EP17" s="246">
        <v>1.000010671733</v>
      </c>
      <c r="EQ17" s="246">
        <v>3.7470000000000003E-2</v>
      </c>
      <c r="ER17" s="246">
        <v>3.7925577279999997E-2</v>
      </c>
      <c r="ES17" s="246">
        <v>0</v>
      </c>
      <c r="ET17" s="246"/>
      <c r="EU17" s="246"/>
      <c r="EV17" s="243">
        <f t="shared" si="33"/>
        <v>0</v>
      </c>
      <c r="EW17" s="246">
        <f t="shared" si="34"/>
        <v>0</v>
      </c>
      <c r="EX17" s="246">
        <v>140.67355502600898</v>
      </c>
      <c r="EY17" s="246">
        <v>131.24084000000002</v>
      </c>
      <c r="EZ17" s="246">
        <v>134.699554435256</v>
      </c>
      <c r="FA17" s="246">
        <v>142.92893000000001</v>
      </c>
      <c r="FB17" s="246">
        <v>144.43056054037999</v>
      </c>
      <c r="FC17" s="246">
        <v>109.27153999999898</v>
      </c>
      <c r="FD17" s="243">
        <f t="shared" si="35"/>
        <v>131.12584799999877</v>
      </c>
      <c r="FE17" s="246">
        <f t="shared" si="36"/>
        <v>136.71462869565218</v>
      </c>
      <c r="FF17" s="246">
        <v>321.00507592446098</v>
      </c>
      <c r="FG17" s="246">
        <v>276.20186999999902</v>
      </c>
      <c r="FH17" s="246">
        <v>174.151949771099</v>
      </c>
      <c r="FI17" s="246">
        <v>213.51495</v>
      </c>
      <c r="FJ17" s="246">
        <v>219.037075256604</v>
      </c>
      <c r="FK17" s="246">
        <v>119.02847</v>
      </c>
      <c r="FL17" s="243">
        <f t="shared" si="37"/>
        <v>142.83416399999999</v>
      </c>
      <c r="FM17" s="246">
        <f t="shared" si="118"/>
        <v>204.23169130434781</v>
      </c>
      <c r="FN17" s="246">
        <v>2.3095754031999999E-2</v>
      </c>
      <c r="FO17" s="246">
        <v>0.52059999999999995</v>
      </c>
      <c r="FP17" s="246">
        <v>0.52692969128300005</v>
      </c>
      <c r="FQ17" s="246">
        <v>0.77957999999999994</v>
      </c>
      <c r="FR17" s="246">
        <v>0.95649377841299998</v>
      </c>
      <c r="FS17" s="246">
        <v>0</v>
      </c>
      <c r="FT17" s="243">
        <f t="shared" si="38"/>
        <v>0</v>
      </c>
      <c r="FU17" s="246">
        <f t="shared" si="39"/>
        <v>0.74568521739130433</v>
      </c>
      <c r="FV17" s="246">
        <v>5.6667246471119999</v>
      </c>
      <c r="FW17" s="246">
        <v>3.8744400000000003</v>
      </c>
      <c r="FX17" s="246">
        <v>3.9215472014869999</v>
      </c>
      <c r="FY17" s="246">
        <v>1.69896</v>
      </c>
      <c r="FZ17" s="246">
        <v>1.2833468323720001</v>
      </c>
      <c r="GA17" s="246">
        <v>1.45109</v>
      </c>
      <c r="GB17" s="243">
        <f t="shared" si="40"/>
        <v>1.7413079999999999</v>
      </c>
      <c r="GC17" s="246">
        <f t="shared" si="41"/>
        <v>1.6250921739130435</v>
      </c>
      <c r="GD17" s="246">
        <v>177.00279887423503</v>
      </c>
      <c r="GE17" s="246">
        <v>187.058259999999</v>
      </c>
      <c r="GF17" s="246">
        <v>212.45952417745701</v>
      </c>
      <c r="GG17" s="246">
        <v>196.83912999999998</v>
      </c>
      <c r="GH17" s="246">
        <v>274.86305093721097</v>
      </c>
      <c r="GI17" s="246">
        <v>175.61181000000002</v>
      </c>
      <c r="GJ17" s="243">
        <f t="shared" si="42"/>
        <v>210.734172</v>
      </c>
      <c r="GK17" s="246">
        <f t="shared" si="119"/>
        <v>188.28090695652173</v>
      </c>
      <c r="GL17" s="246">
        <v>54.000853893833998</v>
      </c>
      <c r="GM17" s="246">
        <v>35.358710000000002</v>
      </c>
      <c r="GN17" s="246">
        <v>34.996635487151998</v>
      </c>
      <c r="GO17" s="246">
        <v>57.755479999999999</v>
      </c>
      <c r="GP17" s="246">
        <v>56.433132926374</v>
      </c>
      <c r="GQ17" s="246">
        <v>26.472100000000005</v>
      </c>
      <c r="GR17" s="243">
        <f t="shared" si="43"/>
        <v>31.766520000000003</v>
      </c>
      <c r="GS17" s="247">
        <f>GO17/115*110+23</f>
        <v>78.244372173913035</v>
      </c>
      <c r="GT17" s="246"/>
      <c r="GU17" s="246"/>
      <c r="GV17" s="246"/>
      <c r="GW17" s="246"/>
      <c r="GX17" s="246"/>
      <c r="GY17" s="246"/>
      <c r="GZ17" s="243">
        <f t="shared" si="45"/>
        <v>0</v>
      </c>
      <c r="HA17" s="246">
        <f t="shared" si="46"/>
        <v>0</v>
      </c>
      <c r="HB17" s="246">
        <v>0.39764808784900002</v>
      </c>
      <c r="HC17" s="246">
        <v>0.22676999999999997</v>
      </c>
      <c r="HD17" s="246">
        <v>0.229527172669</v>
      </c>
      <c r="HE17" s="246">
        <v>0</v>
      </c>
      <c r="HF17" s="246"/>
      <c r="HG17" s="246"/>
      <c r="HH17" s="243">
        <f t="shared" si="47"/>
        <v>0</v>
      </c>
      <c r="HI17" s="246">
        <f t="shared" si="48"/>
        <v>0</v>
      </c>
      <c r="HJ17" s="246">
        <v>26.612816874229001</v>
      </c>
      <c r="HK17" s="246">
        <v>27.765449999999998</v>
      </c>
      <c r="HL17" s="246">
        <v>28.10303495358</v>
      </c>
      <c r="HM17" s="246">
        <v>27.973739999999999</v>
      </c>
      <c r="HN17" s="246">
        <v>26.781825795566</v>
      </c>
      <c r="HO17" s="246">
        <v>20.751389999999997</v>
      </c>
      <c r="HP17" s="243">
        <f t="shared" si="49"/>
        <v>24.901667999999994</v>
      </c>
      <c r="HQ17" s="246">
        <f t="shared" si="50"/>
        <v>26.757490434782607</v>
      </c>
      <c r="HR17" s="246">
        <v>465.004886170276</v>
      </c>
      <c r="HS17" s="246">
        <v>453.86636999999894</v>
      </c>
      <c r="HT17" s="246">
        <v>377.76185447391799</v>
      </c>
      <c r="HU17" s="246">
        <v>347.46800000000002</v>
      </c>
      <c r="HV17" s="246">
        <v>329.99035355252602</v>
      </c>
      <c r="HW17" s="246">
        <v>204.73758000000001</v>
      </c>
      <c r="HX17" s="243">
        <f t="shared" si="51"/>
        <v>245.68509599999999</v>
      </c>
      <c r="HY17" s="246">
        <f>HU17/115*110-62</f>
        <v>270.36069565217394</v>
      </c>
      <c r="HZ17" s="246">
        <v>808.012776781821</v>
      </c>
      <c r="IA17" s="246">
        <v>659.88916999999992</v>
      </c>
      <c r="IB17" s="246">
        <v>776.77385116009305</v>
      </c>
      <c r="IC17" s="246">
        <v>643.37861000000009</v>
      </c>
      <c r="ID17" s="246">
        <v>639.64584090005803</v>
      </c>
      <c r="IE17" s="246">
        <v>462.99871000000002</v>
      </c>
      <c r="IF17" s="243">
        <f t="shared" si="52"/>
        <v>555.59845200000007</v>
      </c>
      <c r="IG17" s="246">
        <f>IC17/115*110-15</f>
        <v>600.40562695652181</v>
      </c>
      <c r="IH17" s="246">
        <v>7248.2176375863455</v>
      </c>
      <c r="II17" s="246">
        <v>6989.0652800000025</v>
      </c>
      <c r="IJ17" s="246">
        <v>6584.7371113359641</v>
      </c>
      <c r="IK17" s="246">
        <v>6373.201140000001</v>
      </c>
      <c r="IL17" s="246">
        <v>6358.3467135839664</v>
      </c>
      <c r="IM17" s="246">
        <v>3541.5720300000007</v>
      </c>
      <c r="IN17" s="243">
        <f t="shared" si="53"/>
        <v>4249.8864360000007</v>
      </c>
      <c r="IO17" s="270">
        <f t="shared" si="122"/>
        <v>6096.10543826087</v>
      </c>
      <c r="IP17" s="246"/>
      <c r="IQ17" s="246"/>
      <c r="IR17" s="246"/>
      <c r="IS17" s="246"/>
      <c r="IT17" s="246"/>
      <c r="IU17" s="246"/>
      <c r="IV17" s="243">
        <f t="shared" si="54"/>
        <v>0</v>
      </c>
      <c r="IW17" s="246">
        <f t="shared" si="55"/>
        <v>0</v>
      </c>
      <c r="IX17" s="246">
        <v>0</v>
      </c>
      <c r="IY17" s="246">
        <v>7.8060000000000004E-2</v>
      </c>
      <c r="IZ17" s="246">
        <v>1.079009088938</v>
      </c>
      <c r="JA17" s="246">
        <v>0.31612000000000001</v>
      </c>
      <c r="JB17" s="246">
        <v>0.30236681323100001</v>
      </c>
      <c r="JC17" s="246">
        <v>3.8129999999999997E-2</v>
      </c>
      <c r="JD17" s="243">
        <f t="shared" si="56"/>
        <v>4.5755999999999991E-2</v>
      </c>
      <c r="JE17" s="246">
        <f t="shared" si="57"/>
        <v>0.30237565217391305</v>
      </c>
      <c r="JF17" s="246"/>
      <c r="JG17" s="246"/>
      <c r="JH17" s="246"/>
      <c r="JI17" s="246"/>
      <c r="JJ17" s="246"/>
      <c r="JK17" s="246"/>
      <c r="JL17" s="243">
        <f t="shared" si="58"/>
        <v>0</v>
      </c>
      <c r="JM17" s="246">
        <f t="shared" si="59"/>
        <v>0</v>
      </c>
      <c r="JN17" s="246"/>
      <c r="JO17" s="246"/>
      <c r="JP17" s="246"/>
      <c r="JQ17" s="246"/>
      <c r="JR17" s="246"/>
      <c r="JS17" s="246"/>
      <c r="JT17" s="243">
        <f t="shared" si="60"/>
        <v>0</v>
      </c>
      <c r="JU17" s="246">
        <f t="shared" si="61"/>
        <v>0</v>
      </c>
      <c r="JV17" s="246">
        <v>0</v>
      </c>
      <c r="JW17" s="246">
        <v>0.11334</v>
      </c>
      <c r="JX17" s="246">
        <v>0.11471803920400001</v>
      </c>
      <c r="JY17" s="246">
        <v>0</v>
      </c>
      <c r="JZ17" s="246"/>
      <c r="KA17" s="246"/>
      <c r="KB17" s="243">
        <f t="shared" si="62"/>
        <v>0</v>
      </c>
      <c r="KC17" s="246">
        <f t="shared" si="63"/>
        <v>0</v>
      </c>
      <c r="KD17" s="246">
        <v>0</v>
      </c>
      <c r="KE17" s="246">
        <v>7.2099999999999997E-2</v>
      </c>
      <c r="KF17" s="246">
        <v>7.2976624550999999E-2</v>
      </c>
      <c r="KG17" s="246">
        <v>0</v>
      </c>
      <c r="KH17" s="246"/>
      <c r="KI17" s="246"/>
      <c r="KJ17" s="243">
        <f t="shared" si="64"/>
        <v>0</v>
      </c>
      <c r="KK17" s="246">
        <f t="shared" si="65"/>
        <v>0</v>
      </c>
      <c r="KL17" s="246"/>
      <c r="KM17" s="246"/>
      <c r="KN17" s="246"/>
      <c r="KO17" s="246"/>
      <c r="KP17" s="246"/>
      <c r="KQ17" s="246"/>
      <c r="KR17" s="243">
        <f t="shared" si="66"/>
        <v>0</v>
      </c>
      <c r="KS17" s="246">
        <f t="shared" si="67"/>
        <v>0</v>
      </c>
      <c r="KT17" s="246">
        <v>4.2090439781870002</v>
      </c>
      <c r="KU17" s="246">
        <v>10.36131</v>
      </c>
      <c r="KV17" s="246">
        <v>8.9991348395529993</v>
      </c>
      <c r="KW17" s="246">
        <v>22.694190000000003</v>
      </c>
      <c r="KX17" s="246">
        <v>22.955850681914001</v>
      </c>
      <c r="KY17" s="246">
        <v>5.0840400000000008</v>
      </c>
      <c r="KZ17" s="243">
        <f t="shared" si="68"/>
        <v>6.1008480000000009</v>
      </c>
      <c r="LA17" s="246">
        <f t="shared" si="69"/>
        <v>21.707486086956525</v>
      </c>
      <c r="LB17" s="246"/>
      <c r="LC17" s="246"/>
      <c r="LD17" s="246"/>
      <c r="LE17" s="246"/>
      <c r="LF17" s="246"/>
      <c r="LG17" s="246"/>
      <c r="LH17" s="243">
        <f t="shared" si="70"/>
        <v>0</v>
      </c>
      <c r="LI17" s="246">
        <f t="shared" si="71"/>
        <v>0</v>
      </c>
      <c r="LJ17" s="246">
        <v>0.72133673464799997</v>
      </c>
      <c r="LK17" s="246">
        <v>0.32338</v>
      </c>
      <c r="LL17" s="246">
        <v>0.32731180093500001</v>
      </c>
      <c r="LM17" s="246">
        <v>2.99899</v>
      </c>
      <c r="LN17" s="246">
        <v>2.868515276523</v>
      </c>
      <c r="LO17" s="246">
        <v>0.83039999999999992</v>
      </c>
      <c r="LP17" s="243">
        <f t="shared" si="72"/>
        <v>0.99647999999999981</v>
      </c>
      <c r="LQ17" s="246">
        <f t="shared" si="73"/>
        <v>2.8685991304347827</v>
      </c>
      <c r="LR17" s="246"/>
      <c r="LS17" s="246"/>
      <c r="LT17" s="244">
        <f t="shared" si="74"/>
        <v>0</v>
      </c>
      <c r="LU17" s="246"/>
      <c r="LV17" s="246"/>
      <c r="LW17" s="246"/>
      <c r="LX17" s="246"/>
      <c r="LY17" s="246"/>
      <c r="LZ17" s="246"/>
      <c r="MA17" s="246"/>
      <c r="MB17" s="243">
        <f t="shared" si="75"/>
        <v>0</v>
      </c>
      <c r="MC17" s="246">
        <f t="shared" si="76"/>
        <v>0</v>
      </c>
      <c r="MD17" s="246">
        <v>24</v>
      </c>
      <c r="ME17" s="246">
        <v>9.2123999999990005</v>
      </c>
      <c r="MF17" s="246">
        <v>9.3244085439410007</v>
      </c>
      <c r="MG17" s="246">
        <v>8.9146900000000002</v>
      </c>
      <c r="MH17" s="246">
        <v>17.999999433043001</v>
      </c>
      <c r="MI17" s="246">
        <v>14.437059999999997</v>
      </c>
      <c r="MJ17" s="243">
        <f t="shared" si="77"/>
        <v>17.324471999999997</v>
      </c>
      <c r="MK17" s="246">
        <f t="shared" si="78"/>
        <v>8.527094782608696</v>
      </c>
      <c r="ML17" s="246">
        <v>0</v>
      </c>
      <c r="MM17" s="246">
        <v>4.9335399999990006</v>
      </c>
      <c r="MN17" s="246"/>
      <c r="MO17" s="246"/>
      <c r="MP17" s="246"/>
      <c r="MQ17" s="246"/>
      <c r="MR17" s="243">
        <f t="shared" si="79"/>
        <v>0</v>
      </c>
      <c r="MS17" s="246">
        <f t="shared" si="80"/>
        <v>0</v>
      </c>
      <c r="MT17" s="246">
        <v>738.56958331220289</v>
      </c>
      <c r="MU17" s="246">
        <v>673.6260299999999</v>
      </c>
      <c r="MV17" s="246">
        <v>510.67756220487195</v>
      </c>
      <c r="MW17" s="246">
        <v>669.19658000000004</v>
      </c>
      <c r="MX17" s="246">
        <v>549.02742880913001</v>
      </c>
      <c r="MY17" s="246">
        <v>382.45965999999999</v>
      </c>
      <c r="MZ17" s="243">
        <f t="shared" si="81"/>
        <v>458.95159199999995</v>
      </c>
      <c r="NA17" s="246">
        <f>MW17/115*110-65-50-25</f>
        <v>500.10107652173917</v>
      </c>
      <c r="NB17" s="246"/>
      <c r="NC17" s="246"/>
      <c r="ND17" s="243">
        <f t="shared" si="82"/>
        <v>0</v>
      </c>
      <c r="NE17" s="248"/>
      <c r="NF17" s="246"/>
      <c r="NG17" s="246"/>
      <c r="NH17" s="246"/>
      <c r="NI17" s="246"/>
      <c r="NJ17" s="246"/>
      <c r="NK17" s="246"/>
      <c r="NL17" s="243">
        <f t="shared" si="83"/>
        <v>0</v>
      </c>
      <c r="NM17" s="246">
        <f t="shared" si="84"/>
        <v>0</v>
      </c>
      <c r="NN17" s="246"/>
      <c r="NO17" s="246"/>
      <c r="NP17" s="246"/>
      <c r="NQ17" s="246"/>
      <c r="NR17" s="246"/>
      <c r="NS17" s="246"/>
      <c r="NT17" s="243">
        <f t="shared" si="85"/>
        <v>0</v>
      </c>
      <c r="NU17" s="246">
        <f t="shared" si="86"/>
        <v>0</v>
      </c>
      <c r="NV17" s="246"/>
      <c r="NW17" s="246"/>
      <c r="NX17" s="246"/>
      <c r="NY17" s="246"/>
      <c r="NZ17" s="246"/>
      <c r="OA17" s="246"/>
      <c r="OB17" s="243">
        <f t="shared" si="87"/>
        <v>0</v>
      </c>
      <c r="OC17" s="246">
        <f t="shared" si="88"/>
        <v>0</v>
      </c>
      <c r="OD17" s="246">
        <v>1497.3038787042201</v>
      </c>
      <c r="OE17" s="246">
        <v>1496.9118700000008</v>
      </c>
      <c r="OF17" s="246">
        <v>974.99072414135105</v>
      </c>
      <c r="OG17" s="246">
        <v>1247.4133600000002</v>
      </c>
      <c r="OH17" s="246">
        <v>1242.1399438272001</v>
      </c>
      <c r="OI17" s="246">
        <v>916.14190999999892</v>
      </c>
      <c r="OJ17" s="243">
        <f t="shared" si="89"/>
        <v>1099.3702919999987</v>
      </c>
      <c r="OK17" s="246">
        <f t="shared" si="124"/>
        <v>1193.1779965217395</v>
      </c>
      <c r="OL17" s="246">
        <v>50.474656584266</v>
      </c>
      <c r="OM17" s="246">
        <v>48.590490000000003</v>
      </c>
      <c r="ON17" s="246">
        <v>37.536610202653996</v>
      </c>
      <c r="OO17" s="246">
        <v>33.740789999999997</v>
      </c>
      <c r="OP17" s="246">
        <v>32.520788466044998</v>
      </c>
      <c r="OQ17" s="246">
        <v>24.491610000000001</v>
      </c>
      <c r="OR17" s="243">
        <f t="shared" si="90"/>
        <v>29.389932000000002</v>
      </c>
      <c r="OS17" s="246">
        <f>OO17/115*110-2</f>
        <v>30.273799130434782</v>
      </c>
      <c r="OT17" s="246"/>
      <c r="OU17" s="246"/>
      <c r="OV17" s="246"/>
      <c r="OW17" s="246"/>
      <c r="OX17" s="246"/>
      <c r="OY17" s="246"/>
      <c r="OZ17" s="243">
        <f t="shared" si="92"/>
        <v>0</v>
      </c>
      <c r="PA17" s="246">
        <v>0</v>
      </c>
      <c r="PB17" s="246"/>
      <c r="PC17" s="246"/>
      <c r="PD17" s="243">
        <f t="shared" si="93"/>
        <v>0</v>
      </c>
      <c r="PE17" s="246">
        <v>0</v>
      </c>
      <c r="PF17" s="246"/>
      <c r="PG17" s="246"/>
      <c r="PH17" s="246"/>
      <c r="PI17" s="246"/>
      <c r="PJ17" s="246"/>
      <c r="PK17" s="246"/>
      <c r="PL17" s="243">
        <f t="shared" si="94"/>
        <v>0</v>
      </c>
      <c r="PM17" s="276">
        <v>0</v>
      </c>
      <c r="PN17" s="246">
        <v>-1256.20984829791</v>
      </c>
      <c r="PO17" s="246">
        <v>0</v>
      </c>
      <c r="PP17" s="246">
        <v>-3778</v>
      </c>
      <c r="PQ17" s="246">
        <v>0</v>
      </c>
      <c r="PR17" s="246">
        <v>-644.999986550534</v>
      </c>
      <c r="PS17" s="246">
        <v>0</v>
      </c>
      <c r="PT17" s="243">
        <f t="shared" si="95"/>
        <v>0</v>
      </c>
      <c r="PU17" s="246"/>
      <c r="PV17" s="246"/>
      <c r="PW17" s="246"/>
      <c r="PX17" s="246"/>
      <c r="PY17" s="246"/>
      <c r="PZ17" s="246"/>
      <c r="QA17" s="246"/>
      <c r="QB17" s="243">
        <f t="shared" si="96"/>
        <v>0</v>
      </c>
      <c r="QC17" s="246"/>
      <c r="QD17" s="246"/>
      <c r="QE17" s="246"/>
      <c r="QF17" s="246"/>
      <c r="QG17" s="246"/>
      <c r="QH17" s="246"/>
      <c r="QI17" s="246"/>
      <c r="QJ17" s="243">
        <f t="shared" si="97"/>
        <v>0</v>
      </c>
      <c r="QK17" s="246"/>
      <c r="QL17" s="246"/>
      <c r="QM17" s="246"/>
      <c r="QN17" s="246"/>
      <c r="QO17" s="246"/>
      <c r="QP17" s="243">
        <f t="shared" si="98"/>
        <v>0</v>
      </c>
      <c r="QQ17" s="248"/>
      <c r="QR17" s="246"/>
      <c r="QS17" s="246"/>
      <c r="QT17" s="246"/>
      <c r="QU17" s="246"/>
      <c r="QV17" s="243">
        <f t="shared" si="99"/>
        <v>0</v>
      </c>
      <c r="QW17" s="246"/>
      <c r="QX17" s="246"/>
      <c r="QY17" s="246"/>
      <c r="QZ17" s="246"/>
      <c r="RA17" s="246"/>
      <c r="RB17" s="246"/>
      <c r="RC17" s="246"/>
      <c r="RD17" s="243">
        <f t="shared" si="100"/>
        <v>0</v>
      </c>
      <c r="RE17" s="300"/>
      <c r="RF17" s="259">
        <f t="shared" si="101"/>
        <v>21005.743675232246</v>
      </c>
      <c r="RG17" s="259">
        <f t="shared" si="11"/>
        <v>13483.090099999999</v>
      </c>
      <c r="RH17" s="259">
        <f t="shared" si="11"/>
        <v>16179.708119999998</v>
      </c>
      <c r="RI17" s="256">
        <f t="shared" si="12"/>
        <v>19789.480020869571</v>
      </c>
    </row>
    <row r="18" spans="1:479">
      <c r="A18" s="5" t="s">
        <v>14</v>
      </c>
      <c r="B18" s="263">
        <v>24.956558557104</v>
      </c>
      <c r="C18" s="246">
        <v>38.757669999999003</v>
      </c>
      <c r="D18" s="246">
        <v>28.501932387764999</v>
      </c>
      <c r="E18" s="246">
        <v>100.75474</v>
      </c>
      <c r="F18" s="246">
        <v>37.304411291785996</v>
      </c>
      <c r="G18" s="246">
        <v>12.45993</v>
      </c>
      <c r="H18" s="254">
        <f t="shared" si="13"/>
        <v>14.951915999999999</v>
      </c>
      <c r="I18" s="246">
        <f>E18/115*110-56</f>
        <v>40.374099130434772</v>
      </c>
      <c r="J18" s="263">
        <v>493.05989132000803</v>
      </c>
      <c r="K18" s="246">
        <v>748.89092000000005</v>
      </c>
      <c r="L18" s="246">
        <v>597.54797067875506</v>
      </c>
      <c r="M18" s="246">
        <v>286.86932999999999</v>
      </c>
      <c r="N18" s="246">
        <v>333.82665489316798</v>
      </c>
      <c r="O18" s="246">
        <v>4.5350099999999944</v>
      </c>
      <c r="P18" s="243">
        <f t="shared" si="14"/>
        <v>5.442011999999993</v>
      </c>
      <c r="Q18" s="247">
        <f>M18/115*110-128-16-30</f>
        <v>100.39675043478258</v>
      </c>
      <c r="R18" s="246">
        <v>244.93344326530601</v>
      </c>
      <c r="S18" s="246">
        <v>82.503010000000003</v>
      </c>
      <c r="T18" s="246">
        <v>80.505458147898992</v>
      </c>
      <c r="U18" s="246">
        <v>139.74970999999999</v>
      </c>
      <c r="V18" s="246">
        <v>127.217607738656</v>
      </c>
      <c r="W18" s="246">
        <v>59.957670000000007</v>
      </c>
      <c r="X18" s="243">
        <f t="shared" si="15"/>
        <v>71.949204000000009</v>
      </c>
      <c r="Y18" s="247">
        <f>U18/115*110-15</f>
        <v>118.67363565217391</v>
      </c>
      <c r="Z18" s="246">
        <v>48.989405254474995</v>
      </c>
      <c r="AA18" s="246">
        <v>127.208799999999</v>
      </c>
      <c r="AB18" s="246">
        <v>67.004542806326</v>
      </c>
      <c r="AC18" s="246">
        <v>299.93214</v>
      </c>
      <c r="AD18" s="246">
        <v>312.78314083113298</v>
      </c>
      <c r="AE18" s="246">
        <v>170.65619999999998</v>
      </c>
      <c r="AF18" s="243">
        <f t="shared" si="16"/>
        <v>204.78744</v>
      </c>
      <c r="AG18" s="247">
        <f>AC18/115*110-100</f>
        <v>186.89161217391302</v>
      </c>
      <c r="AH18" s="246">
        <v>5.0619691700330005</v>
      </c>
      <c r="AI18" s="246">
        <v>3.2977599999999998</v>
      </c>
      <c r="AJ18" s="246">
        <v>3.3029938297359998</v>
      </c>
      <c r="AK18" s="246">
        <v>1.9377599999999999</v>
      </c>
      <c r="AL18" s="246">
        <v>14.68577942758</v>
      </c>
      <c r="AM18" s="246">
        <v>4.2217900000000004</v>
      </c>
      <c r="AN18" s="243">
        <f t="shared" si="17"/>
        <v>5.0661480000000001</v>
      </c>
      <c r="AO18" s="246">
        <f>AK18/115*110+8</f>
        <v>9.8535095652173901</v>
      </c>
      <c r="AP18" s="246">
        <v>103.972833985837</v>
      </c>
      <c r="AQ18" s="246">
        <v>70.61878999999999</v>
      </c>
      <c r="AR18" s="246">
        <v>51.003457957054003</v>
      </c>
      <c r="AS18" s="246">
        <v>24.277089999999998</v>
      </c>
      <c r="AT18" s="246">
        <v>20.086990695577001</v>
      </c>
      <c r="AU18" s="246">
        <v>4.2661800000000003</v>
      </c>
      <c r="AV18" s="243">
        <f t="shared" si="18"/>
        <v>5.1194160000000011</v>
      </c>
      <c r="AW18" s="247">
        <f>AS18/115*110-8</f>
        <v>15.221564347826085</v>
      </c>
      <c r="AX18" s="246">
        <v>1339.68541755602</v>
      </c>
      <c r="AY18" s="246">
        <v>917.60031000000004</v>
      </c>
      <c r="AZ18" s="246">
        <v>1237.5567850790901</v>
      </c>
      <c r="BA18" s="246">
        <v>2468.774730000001</v>
      </c>
      <c r="BB18" s="246">
        <v>2025.91649015396</v>
      </c>
      <c r="BC18" s="246">
        <v>1590.9447400000001</v>
      </c>
      <c r="BD18" s="243">
        <f t="shared" si="19"/>
        <v>1909.1336880000003</v>
      </c>
      <c r="BE18" s="246">
        <f>BA18/115*110-361-50</f>
        <v>1950.4366982608703</v>
      </c>
      <c r="BF18" s="246">
        <v>4.5851847048929999</v>
      </c>
      <c r="BG18" s="246">
        <v>6.24038</v>
      </c>
      <c r="BH18" s="246">
        <v>5.1143102383840002</v>
      </c>
      <c r="BI18" s="246">
        <v>3.2264400000000002</v>
      </c>
      <c r="BJ18" s="246">
        <v>5.7391401987349999</v>
      </c>
      <c r="BK18" s="246">
        <v>0.61456</v>
      </c>
      <c r="BL18" s="243">
        <f t="shared" si="20"/>
        <v>0.73747199999999991</v>
      </c>
      <c r="BM18" s="246">
        <f t="shared" si="109"/>
        <v>3.08616</v>
      </c>
      <c r="BN18" s="246">
        <v>26.92859979544</v>
      </c>
      <c r="BO18" s="246">
        <v>17.018969999998998</v>
      </c>
      <c r="BP18" s="246">
        <v>8.5005763261750005</v>
      </c>
      <c r="BQ18" s="246">
        <v>8.4018800000000002</v>
      </c>
      <c r="BR18" s="246">
        <v>6.6956635651909995</v>
      </c>
      <c r="BS18" s="246">
        <v>8.2122099999999989</v>
      </c>
      <c r="BT18" s="243">
        <f t="shared" si="21"/>
        <v>9.854651999999998</v>
      </c>
      <c r="BU18" s="246">
        <f>BQ18/115*110+5</f>
        <v>13.036580869565217</v>
      </c>
      <c r="BV18" s="246">
        <v>2449.5051708792962</v>
      </c>
      <c r="BW18" s="246">
        <v>3737.8394500000031</v>
      </c>
      <c r="BX18" s="246">
        <v>4281.4676229168454</v>
      </c>
      <c r="BY18" s="246">
        <v>2594.757090000001</v>
      </c>
      <c r="BZ18" s="246">
        <v>3498.0059511298437</v>
      </c>
      <c r="CA18" s="246">
        <v>1324.86562</v>
      </c>
      <c r="CB18" s="243">
        <f t="shared" si="22"/>
        <v>1589.8387439999999</v>
      </c>
      <c r="CC18" s="246">
        <f>BY18/115*110-482</f>
        <v>1999.9415643478269</v>
      </c>
      <c r="CD18" s="246">
        <v>9.9113280505489989</v>
      </c>
      <c r="CE18" s="246">
        <v>6.1578300000000006</v>
      </c>
      <c r="CF18" s="246">
        <v>6.1676030076680002</v>
      </c>
      <c r="CG18" s="246">
        <v>9.2246099999999984</v>
      </c>
      <c r="CH18" s="246">
        <v>5.7391401987349999</v>
      </c>
      <c r="CI18" s="246">
        <v>7.3908000000000005</v>
      </c>
      <c r="CJ18" s="243">
        <f t="shared" si="23"/>
        <v>8.8689600000000013</v>
      </c>
      <c r="CK18" s="246">
        <f t="shared" si="112"/>
        <v>8.8235399999999977</v>
      </c>
      <c r="CL18" s="246">
        <v>7.9983700391500001</v>
      </c>
      <c r="CM18" s="246">
        <v>7.6582100000000004</v>
      </c>
      <c r="CN18" s="246">
        <v>5.0003390153970004</v>
      </c>
      <c r="CO18" s="246">
        <v>3.5183300000000006</v>
      </c>
      <c r="CP18" s="246">
        <v>7.652186931648</v>
      </c>
      <c r="CQ18" s="246">
        <v>6.9085999999999999</v>
      </c>
      <c r="CR18" s="243">
        <f t="shared" si="24"/>
        <v>8.2903200000000012</v>
      </c>
      <c r="CS18" s="246">
        <f t="shared" si="113"/>
        <v>3.3653591304347832</v>
      </c>
      <c r="CT18" s="246">
        <v>1.682624426659</v>
      </c>
      <c r="CU18" s="246">
        <v>6.59931</v>
      </c>
      <c r="CV18" s="246">
        <v>9.0003390153969995</v>
      </c>
      <c r="CW18" s="246">
        <v>7.8511600000000001</v>
      </c>
      <c r="CX18" s="246">
        <v>6.6956635651919996</v>
      </c>
      <c r="CY18" s="246">
        <v>1.3047900000000001</v>
      </c>
      <c r="CZ18" s="243">
        <f t="shared" si="25"/>
        <v>1.5657480000000001</v>
      </c>
      <c r="DA18" s="246">
        <f t="shared" si="114"/>
        <v>7.5098052173913041</v>
      </c>
      <c r="DB18" s="246">
        <v>586.43299668403199</v>
      </c>
      <c r="DC18" s="246">
        <v>747.51409999999987</v>
      </c>
      <c r="DD18" s="246">
        <v>23.001762880066</v>
      </c>
      <c r="DE18" s="246">
        <v>21.839919999999999</v>
      </c>
      <c r="DF18" s="246">
        <v>28.695700993681001</v>
      </c>
      <c r="DG18" s="246">
        <v>1.0784400000000001</v>
      </c>
      <c r="DH18" s="243">
        <f t="shared" si="26"/>
        <v>1.2941280000000002</v>
      </c>
      <c r="DI18" s="246">
        <f>DE18/115*110-3</f>
        <v>17.890358260869565</v>
      </c>
      <c r="DJ18" s="246"/>
      <c r="DK18" s="246"/>
      <c r="DL18" s="246"/>
      <c r="DM18" s="246"/>
      <c r="DN18" s="246"/>
      <c r="DO18" s="246"/>
      <c r="DP18" s="243">
        <f t="shared" si="28"/>
        <v>0</v>
      </c>
      <c r="DQ18" s="246">
        <f t="shared" si="29"/>
        <v>0</v>
      </c>
      <c r="DR18" s="246">
        <v>392.23052237553395</v>
      </c>
      <c r="DS18" s="246">
        <v>225.58909000000003</v>
      </c>
      <c r="DT18" s="246">
        <v>294.03562039728598</v>
      </c>
      <c r="DU18" s="246">
        <v>727.06130999999993</v>
      </c>
      <c r="DV18" s="246">
        <v>216.17428081907002</v>
      </c>
      <c r="DW18" s="246">
        <v>441.34199000000001</v>
      </c>
      <c r="DX18" s="243">
        <f t="shared" si="30"/>
        <v>529.61038800000006</v>
      </c>
      <c r="DY18" s="246">
        <f>DU18/115*110+100</f>
        <v>795.4499486956521</v>
      </c>
      <c r="DZ18" s="246">
        <v>2.132852536228</v>
      </c>
      <c r="EA18" s="246">
        <v>26.1144</v>
      </c>
      <c r="EB18" s="246">
        <v>13.35753345645</v>
      </c>
      <c r="EC18" s="246">
        <v>45.169800000000002</v>
      </c>
      <c r="ED18" s="246">
        <v>24.869607527853997</v>
      </c>
      <c r="EE18" s="246">
        <v>86.279000000000011</v>
      </c>
      <c r="EF18" s="243">
        <f t="shared" si="31"/>
        <v>103.5348</v>
      </c>
      <c r="EG18" s="246">
        <f t="shared" si="116"/>
        <v>43.205895652173915</v>
      </c>
      <c r="EH18" s="246">
        <v>3.6965092555600001</v>
      </c>
      <c r="EI18" s="246">
        <v>1.240529999999</v>
      </c>
      <c r="EJ18" s="246">
        <v>1.2424988281740001</v>
      </c>
      <c r="EK18" s="246">
        <v>1.7841100000000001</v>
      </c>
      <c r="EL18" s="246">
        <v>0.95652336645500002</v>
      </c>
      <c r="EM18" s="246">
        <v>2.0186299999999999</v>
      </c>
      <c r="EN18" s="243">
        <f t="shared" si="32"/>
        <v>2.4223559999999997</v>
      </c>
      <c r="EO18" s="246">
        <f t="shared" si="117"/>
        <v>1.7065399999999999</v>
      </c>
      <c r="EP18" s="246"/>
      <c r="EQ18" s="246"/>
      <c r="ER18" s="246"/>
      <c r="ES18" s="246"/>
      <c r="ET18" s="246"/>
      <c r="EU18" s="246"/>
      <c r="EV18" s="243">
        <f t="shared" si="33"/>
        <v>0</v>
      </c>
      <c r="EW18" s="246">
        <f t="shared" si="34"/>
        <v>0</v>
      </c>
      <c r="EX18" s="246">
        <v>39.989133594335001</v>
      </c>
      <c r="EY18" s="246">
        <v>38.993249999999996</v>
      </c>
      <c r="EZ18" s="246">
        <v>41.05513565311</v>
      </c>
      <c r="FA18" s="246">
        <v>38.389540000000004</v>
      </c>
      <c r="FB18" s="246">
        <v>37.304411291786003</v>
      </c>
      <c r="FC18" s="246">
        <v>24.300789999999996</v>
      </c>
      <c r="FD18" s="243">
        <f t="shared" si="35"/>
        <v>29.160947999999998</v>
      </c>
      <c r="FE18" s="246">
        <f t="shared" si="36"/>
        <v>36.720429565217394</v>
      </c>
      <c r="FF18" s="246">
        <v>8.9978267188660013</v>
      </c>
      <c r="FG18" s="246">
        <v>9.6082999999999998</v>
      </c>
      <c r="FH18" s="246">
        <v>6.5004407200159999</v>
      </c>
      <c r="FI18" s="246">
        <v>51.897609999998998</v>
      </c>
      <c r="FJ18" s="246">
        <v>54.521831887996001</v>
      </c>
      <c r="FK18" s="246">
        <v>8.9178500000000014</v>
      </c>
      <c r="FL18" s="243">
        <f t="shared" si="37"/>
        <v>10.701420000000002</v>
      </c>
      <c r="FM18" s="246">
        <f t="shared" si="118"/>
        <v>49.641192173912088</v>
      </c>
      <c r="FN18" s="246">
        <v>0.101482416112</v>
      </c>
      <c r="FO18" s="246">
        <v>0</v>
      </c>
      <c r="FP18" s="246">
        <v>0</v>
      </c>
      <c r="FQ18" s="246">
        <v>0.20302000000000001</v>
      </c>
      <c r="FR18" s="246"/>
      <c r="FS18" s="246"/>
      <c r="FT18" s="243">
        <f t="shared" si="38"/>
        <v>0</v>
      </c>
      <c r="FU18" s="246">
        <f t="shared" si="39"/>
        <v>0.19419304347826086</v>
      </c>
      <c r="FV18" s="246"/>
      <c r="FW18" s="246"/>
      <c r="FX18" s="246"/>
      <c r="FY18" s="246"/>
      <c r="FZ18" s="246">
        <v>0</v>
      </c>
      <c r="GA18" s="246">
        <v>0.10105</v>
      </c>
      <c r="GB18" s="243">
        <f t="shared" si="40"/>
        <v>0.12125999999999999</v>
      </c>
      <c r="GC18" s="246">
        <f t="shared" si="41"/>
        <v>0</v>
      </c>
      <c r="GD18" s="246">
        <v>3.9934664777890001</v>
      </c>
      <c r="GE18" s="246">
        <v>4.849589999999</v>
      </c>
      <c r="GF18" s="246">
        <v>2.0001356061590001</v>
      </c>
      <c r="GG18" s="246">
        <v>8.4386700000000001</v>
      </c>
      <c r="GH18" s="246">
        <v>12.652186963146001</v>
      </c>
      <c r="GI18" s="246">
        <v>144.10194999999999</v>
      </c>
      <c r="GJ18" s="243">
        <f t="shared" si="42"/>
        <v>172.92233999999996</v>
      </c>
      <c r="GK18" s="246">
        <f>GG18/115*110+94</f>
        <v>102.07177130434783</v>
      </c>
      <c r="GL18" s="246">
        <v>4.9986416992910003</v>
      </c>
      <c r="GM18" s="246">
        <v>1.3882899999999998</v>
      </c>
      <c r="GN18" s="246">
        <v>3.3904933360479999</v>
      </c>
      <c r="GO18" s="246">
        <v>7.6690399999999999</v>
      </c>
      <c r="GP18" s="246">
        <v>7.652186931648</v>
      </c>
      <c r="GQ18" s="246">
        <v>5.2467699999999997</v>
      </c>
      <c r="GR18" s="243">
        <f t="shared" si="43"/>
        <v>6.2961239999999989</v>
      </c>
      <c r="GS18" s="247">
        <f>GO18/115*110+4</f>
        <v>11.33560347826087</v>
      </c>
      <c r="GT18" s="246"/>
      <c r="GU18" s="246"/>
      <c r="GV18" s="246"/>
      <c r="GW18" s="246"/>
      <c r="GX18" s="246"/>
      <c r="GY18" s="246"/>
      <c r="GZ18" s="243">
        <f t="shared" si="45"/>
        <v>0</v>
      </c>
      <c r="HA18" s="246">
        <f t="shared" si="46"/>
        <v>0</v>
      </c>
      <c r="HB18" s="246"/>
      <c r="HC18" s="246"/>
      <c r="HD18" s="246"/>
      <c r="HE18" s="246"/>
      <c r="HF18" s="246"/>
      <c r="HG18" s="246"/>
      <c r="HH18" s="243">
        <f t="shared" si="47"/>
        <v>0</v>
      </c>
      <c r="HI18" s="246">
        <f t="shared" si="48"/>
        <v>0</v>
      </c>
      <c r="HJ18" s="246"/>
      <c r="HK18" s="246"/>
      <c r="HL18" s="246"/>
      <c r="HM18" s="246"/>
      <c r="HN18" s="246"/>
      <c r="HO18" s="246"/>
      <c r="HP18" s="243">
        <f t="shared" si="49"/>
        <v>0</v>
      </c>
      <c r="HQ18" s="246">
        <f t="shared" si="50"/>
        <v>0</v>
      </c>
      <c r="HR18" s="246">
        <v>72.147744008809994</v>
      </c>
      <c r="HS18" s="246">
        <v>57.758929999999992</v>
      </c>
      <c r="HT18" s="246">
        <v>53.503559661673997</v>
      </c>
      <c r="HU18" s="246">
        <v>111.58926</v>
      </c>
      <c r="HV18" s="246">
        <v>55.478355254451998</v>
      </c>
      <c r="HW18" s="246">
        <v>48.651069999999997</v>
      </c>
      <c r="HX18" s="243">
        <f t="shared" si="51"/>
        <v>58.381284000000001</v>
      </c>
      <c r="HY18" s="246">
        <f>HU18/115*110-42</f>
        <v>64.737553043478258</v>
      </c>
      <c r="HZ18" s="246">
        <v>22.993751816743</v>
      </c>
      <c r="IA18" s="246">
        <v>26.154549999999002</v>
      </c>
      <c r="IB18" s="246">
        <v>26.196059528149</v>
      </c>
      <c r="IC18" s="246">
        <v>5.8068999999999997</v>
      </c>
      <c r="ID18" s="246">
        <v>10.065471733022001</v>
      </c>
      <c r="IE18" s="246">
        <v>4.2359100000000005</v>
      </c>
      <c r="IF18" s="243">
        <f t="shared" si="52"/>
        <v>5.0830920000000006</v>
      </c>
      <c r="IG18" s="246">
        <f t="shared" si="121"/>
        <v>5.5544260869565214</v>
      </c>
      <c r="IH18" s="246">
        <v>12620.459300606781</v>
      </c>
      <c r="II18" s="246">
        <v>13327.73939000001</v>
      </c>
      <c r="IJ18" s="246">
        <v>18582.603820562708</v>
      </c>
      <c r="IK18" s="246">
        <v>19640.326110000002</v>
      </c>
      <c r="IL18" s="246">
        <v>19574.999383434941</v>
      </c>
      <c r="IM18" s="246">
        <v>9995.6181300000026</v>
      </c>
      <c r="IN18" s="243">
        <f t="shared" si="53"/>
        <v>11994.741756000003</v>
      </c>
      <c r="IO18" s="270">
        <f t="shared" si="122"/>
        <v>18786.39888782609</v>
      </c>
      <c r="IP18" s="246"/>
      <c r="IQ18" s="246"/>
      <c r="IR18" s="246"/>
      <c r="IS18" s="246"/>
      <c r="IT18" s="246"/>
      <c r="IU18" s="246"/>
      <c r="IV18" s="243">
        <f t="shared" si="54"/>
        <v>0</v>
      </c>
      <c r="IW18" s="246">
        <f t="shared" si="55"/>
        <v>0</v>
      </c>
      <c r="IX18" s="246"/>
      <c r="IY18" s="246"/>
      <c r="IZ18" s="246"/>
      <c r="JA18" s="246"/>
      <c r="JB18" s="246"/>
      <c r="JC18" s="246"/>
      <c r="JD18" s="243">
        <f t="shared" si="56"/>
        <v>0</v>
      </c>
      <c r="JE18" s="246">
        <f t="shared" si="57"/>
        <v>0</v>
      </c>
      <c r="JF18" s="246"/>
      <c r="JG18" s="246"/>
      <c r="JH18" s="246"/>
      <c r="JI18" s="246"/>
      <c r="JJ18" s="246"/>
      <c r="JK18" s="246"/>
      <c r="JL18" s="243">
        <f t="shared" si="58"/>
        <v>0</v>
      </c>
      <c r="JM18" s="246">
        <f t="shared" si="59"/>
        <v>0</v>
      </c>
      <c r="JN18" s="246"/>
      <c r="JO18" s="246"/>
      <c r="JP18" s="246"/>
      <c r="JQ18" s="246"/>
      <c r="JR18" s="246"/>
      <c r="JS18" s="246"/>
      <c r="JT18" s="243">
        <f t="shared" si="60"/>
        <v>0</v>
      </c>
      <c r="JU18" s="246">
        <f t="shared" si="61"/>
        <v>0</v>
      </c>
      <c r="JV18" s="246"/>
      <c r="JW18" s="246"/>
      <c r="JX18" s="246"/>
      <c r="JY18" s="246"/>
      <c r="JZ18" s="246"/>
      <c r="KA18" s="246"/>
      <c r="KB18" s="243">
        <f t="shared" si="62"/>
        <v>0</v>
      </c>
      <c r="KC18" s="246">
        <f t="shared" si="63"/>
        <v>0</v>
      </c>
      <c r="KD18" s="246">
        <v>0</v>
      </c>
      <c r="KE18" s="246">
        <v>0.39415</v>
      </c>
      <c r="KF18" s="246">
        <v>0.39477555006699999</v>
      </c>
      <c r="KG18" s="246">
        <v>0</v>
      </c>
      <c r="KH18" s="246"/>
      <c r="KI18" s="246"/>
      <c r="KJ18" s="243">
        <f t="shared" si="64"/>
        <v>0</v>
      </c>
      <c r="KK18" s="246">
        <f t="shared" si="65"/>
        <v>0</v>
      </c>
      <c r="KL18" s="246"/>
      <c r="KM18" s="246"/>
      <c r="KN18" s="246"/>
      <c r="KO18" s="246"/>
      <c r="KP18" s="246"/>
      <c r="KQ18" s="246"/>
      <c r="KR18" s="243">
        <f t="shared" si="66"/>
        <v>0</v>
      </c>
      <c r="KS18" s="246">
        <f t="shared" si="67"/>
        <v>0</v>
      </c>
      <c r="KT18" s="246"/>
      <c r="KU18" s="246"/>
      <c r="KV18" s="246"/>
      <c r="KW18" s="246"/>
      <c r="KX18" s="246"/>
      <c r="KY18" s="246"/>
      <c r="KZ18" s="243">
        <f t="shared" si="68"/>
        <v>0</v>
      </c>
      <c r="LA18" s="246">
        <f t="shared" si="69"/>
        <v>0</v>
      </c>
      <c r="LB18" s="246"/>
      <c r="LC18" s="246"/>
      <c r="LD18" s="246"/>
      <c r="LE18" s="246"/>
      <c r="LF18" s="246"/>
      <c r="LG18" s="246"/>
      <c r="LH18" s="243">
        <f t="shared" si="70"/>
        <v>0</v>
      </c>
      <c r="LI18" s="246">
        <f t="shared" si="71"/>
        <v>0</v>
      </c>
      <c r="LJ18" s="246">
        <v>0.26849276580999998</v>
      </c>
      <c r="LK18" s="246">
        <v>1.0302500000000001</v>
      </c>
      <c r="LL18" s="246">
        <v>1.031006204581</v>
      </c>
      <c r="LM18" s="246">
        <v>1.41987</v>
      </c>
      <c r="LN18" s="246">
        <v>1.1320454042000001</v>
      </c>
      <c r="LO18" s="246">
        <v>0.45174000000000003</v>
      </c>
      <c r="LP18" s="243">
        <f t="shared" si="72"/>
        <v>0.54208800000000013</v>
      </c>
      <c r="LQ18" s="246">
        <f t="shared" si="73"/>
        <v>1.3581365217391306</v>
      </c>
      <c r="LR18" s="246"/>
      <c r="LS18" s="246"/>
      <c r="LT18" s="244">
        <f t="shared" si="74"/>
        <v>0</v>
      </c>
      <c r="LU18" s="246"/>
      <c r="LV18" s="246"/>
      <c r="LW18" s="246"/>
      <c r="LX18" s="246"/>
      <c r="LY18" s="246"/>
      <c r="LZ18" s="246"/>
      <c r="MA18" s="246"/>
      <c r="MB18" s="243">
        <f t="shared" si="75"/>
        <v>0</v>
      </c>
      <c r="MC18" s="246">
        <f t="shared" si="76"/>
        <v>0</v>
      </c>
      <c r="MD18" s="246"/>
      <c r="ME18" s="246"/>
      <c r="MF18" s="246"/>
      <c r="MG18" s="246"/>
      <c r="MH18" s="246"/>
      <c r="MI18" s="246"/>
      <c r="MJ18" s="243">
        <f t="shared" si="77"/>
        <v>0</v>
      </c>
      <c r="MK18" s="246">
        <f t="shared" si="78"/>
        <v>0</v>
      </c>
      <c r="ML18" s="246">
        <v>3.4655236031999999E-2</v>
      </c>
      <c r="MM18" s="246">
        <v>1.46651</v>
      </c>
      <c r="MN18" s="246"/>
      <c r="MO18" s="246"/>
      <c r="MP18" s="246"/>
      <c r="MQ18" s="246"/>
      <c r="MR18" s="243">
        <f t="shared" si="79"/>
        <v>0</v>
      </c>
      <c r="MS18" s="246">
        <f t="shared" si="80"/>
        <v>0</v>
      </c>
      <c r="MT18" s="246">
        <v>54.985058692210998</v>
      </c>
      <c r="MU18" s="246">
        <v>232.15168000000006</v>
      </c>
      <c r="MV18" s="246">
        <v>192.01417084361699</v>
      </c>
      <c r="MW18" s="246">
        <v>15.553779999999998</v>
      </c>
      <c r="MX18" s="246">
        <v>30.608747726593002</v>
      </c>
      <c r="MY18" s="246">
        <v>54.255340000000004</v>
      </c>
      <c r="MZ18" s="243">
        <f t="shared" si="81"/>
        <v>65.106408000000016</v>
      </c>
      <c r="NA18" s="246">
        <f>MW18/115*110+50</f>
        <v>64.877528695652174</v>
      </c>
      <c r="NB18" s="246"/>
      <c r="NC18" s="246"/>
      <c r="ND18" s="243">
        <f t="shared" si="82"/>
        <v>0</v>
      </c>
      <c r="NE18" s="248"/>
      <c r="NF18" s="246"/>
      <c r="NG18" s="246"/>
      <c r="NH18" s="246"/>
      <c r="NI18" s="246"/>
      <c r="NJ18" s="246"/>
      <c r="NK18" s="246"/>
      <c r="NL18" s="243">
        <f t="shared" si="83"/>
        <v>0</v>
      </c>
      <c r="NM18" s="246">
        <f t="shared" si="84"/>
        <v>0</v>
      </c>
      <c r="NN18" s="246"/>
      <c r="NO18" s="246"/>
      <c r="NP18" s="246"/>
      <c r="NQ18" s="246"/>
      <c r="NR18" s="246"/>
      <c r="NS18" s="246"/>
      <c r="NT18" s="243">
        <f t="shared" si="85"/>
        <v>0</v>
      </c>
      <c r="NU18" s="246">
        <f t="shared" si="86"/>
        <v>0</v>
      </c>
      <c r="NV18" s="246"/>
      <c r="NW18" s="246"/>
      <c r="NX18" s="246"/>
      <c r="NY18" s="246"/>
      <c r="NZ18" s="246"/>
      <c r="OA18" s="246"/>
      <c r="OB18" s="243">
        <f t="shared" si="87"/>
        <v>0</v>
      </c>
      <c r="OC18" s="246">
        <f t="shared" si="88"/>
        <v>0</v>
      </c>
      <c r="OD18" s="246">
        <v>252.331954000873</v>
      </c>
      <c r="OE18" s="246">
        <v>421.2133</v>
      </c>
      <c r="OF18" s="246">
        <v>1011.2663656533</v>
      </c>
      <c r="OG18" s="246">
        <v>903.78742000000011</v>
      </c>
      <c r="OH18" s="246">
        <v>936.61017227702405</v>
      </c>
      <c r="OI18" s="246">
        <v>441.49090000000098</v>
      </c>
      <c r="OJ18" s="243">
        <f t="shared" si="89"/>
        <v>529.78908000000115</v>
      </c>
      <c r="OK18" s="246">
        <f>OG18/115*110-300-5</f>
        <v>559.49231478260879</v>
      </c>
      <c r="OL18" s="246">
        <v>0.104486810417</v>
      </c>
      <c r="OM18" s="246">
        <v>0</v>
      </c>
      <c r="ON18" s="246">
        <v>0</v>
      </c>
      <c r="OO18" s="246">
        <v>0.18895999999999999</v>
      </c>
      <c r="OP18" s="246">
        <v>0.180744655325</v>
      </c>
      <c r="OQ18" s="246">
        <v>0</v>
      </c>
      <c r="OR18" s="243">
        <f t="shared" si="90"/>
        <v>0</v>
      </c>
      <c r="OS18" s="246">
        <f t="shared" si="91"/>
        <v>0.18074434782608695</v>
      </c>
      <c r="OT18" s="246"/>
      <c r="OU18" s="246"/>
      <c r="OV18" s="246"/>
      <c r="OW18" s="246"/>
      <c r="OX18" s="246"/>
      <c r="OY18" s="246"/>
      <c r="OZ18" s="243">
        <f t="shared" si="92"/>
        <v>0</v>
      </c>
      <c r="PA18" s="246">
        <v>0</v>
      </c>
      <c r="PB18" s="246"/>
      <c r="PC18" s="246"/>
      <c r="PD18" s="243">
        <f t="shared" si="93"/>
        <v>0</v>
      </c>
      <c r="PE18" s="246">
        <v>0</v>
      </c>
      <c r="PF18" s="246"/>
      <c r="PG18" s="246"/>
      <c r="PH18" s="246"/>
      <c r="PI18" s="246"/>
      <c r="PJ18" s="246"/>
      <c r="PK18" s="246"/>
      <c r="PL18" s="243">
        <f t="shared" si="94"/>
        <v>0</v>
      </c>
      <c r="PM18" s="276">
        <v>0</v>
      </c>
      <c r="PN18" s="246">
        <v>831.19724398651795</v>
      </c>
      <c r="PO18" s="246">
        <v>0</v>
      </c>
      <c r="PP18" s="246">
        <v>-7632.7272756818202</v>
      </c>
      <c r="PQ18" s="246">
        <v>0</v>
      </c>
      <c r="PR18" s="246">
        <v>-1474.99996721102</v>
      </c>
      <c r="PS18" s="246">
        <v>0</v>
      </c>
      <c r="PT18" s="243">
        <f t="shared" si="95"/>
        <v>0</v>
      </c>
      <c r="PU18" s="246"/>
      <c r="PV18" s="246"/>
      <c r="PW18" s="246"/>
      <c r="PX18" s="246"/>
      <c r="PY18" s="246"/>
      <c r="PZ18" s="246"/>
      <c r="QA18" s="246"/>
      <c r="QB18" s="243">
        <f t="shared" si="96"/>
        <v>0</v>
      </c>
      <c r="QC18" s="246"/>
      <c r="QD18" s="246"/>
      <c r="QE18" s="246"/>
      <c r="QF18" s="246"/>
      <c r="QG18" s="246"/>
      <c r="QH18" s="246"/>
      <c r="QI18" s="246"/>
      <c r="QJ18" s="243">
        <f t="shared" si="97"/>
        <v>0</v>
      </c>
      <c r="QK18" s="246"/>
      <c r="QL18" s="246"/>
      <c r="QM18" s="246"/>
      <c r="QN18" s="246"/>
      <c r="QO18" s="246"/>
      <c r="QP18" s="243">
        <f t="shared" si="98"/>
        <v>0</v>
      </c>
      <c r="QQ18" s="248"/>
      <c r="QR18" s="246"/>
      <c r="QS18" s="246"/>
      <c r="QT18" s="246"/>
      <c r="QU18" s="246"/>
      <c r="QV18" s="243">
        <f t="shared" si="99"/>
        <v>0</v>
      </c>
      <c r="QW18" s="246"/>
      <c r="QX18" s="246"/>
      <c r="QY18" s="246"/>
      <c r="QZ18" s="246"/>
      <c r="RA18" s="246"/>
      <c r="RB18" s="246"/>
      <c r="RC18" s="246"/>
      <c r="RD18" s="243">
        <f t="shared" si="100"/>
        <v>0</v>
      </c>
      <c r="RE18" s="300"/>
      <c r="RF18" s="259">
        <f t="shared" si="101"/>
        <v>25919.250503677369</v>
      </c>
      <c r="RG18" s="259">
        <f t="shared" si="11"/>
        <v>14454.427660000003</v>
      </c>
      <c r="RH18" s="259">
        <f t="shared" si="11"/>
        <v>17345.313192000009</v>
      </c>
      <c r="RI18" s="256">
        <f t="shared" si="12"/>
        <v>24998.426402608693</v>
      </c>
    </row>
    <row r="19" spans="1:479">
      <c r="A19" s="5" t="s">
        <v>32</v>
      </c>
      <c r="B19" s="263"/>
      <c r="C19" s="246"/>
      <c r="D19" s="246"/>
      <c r="E19" s="246"/>
      <c r="F19" s="246"/>
      <c r="G19" s="246"/>
      <c r="H19" s="254">
        <f t="shared" si="13"/>
        <v>0</v>
      </c>
      <c r="I19" s="246">
        <f t="shared" si="102"/>
        <v>0</v>
      </c>
      <c r="J19" s="263"/>
      <c r="K19" s="246"/>
      <c r="L19" s="246"/>
      <c r="M19" s="246"/>
      <c r="N19" s="246"/>
      <c r="O19" s="246"/>
      <c r="P19" s="243">
        <f t="shared" si="14"/>
        <v>0</v>
      </c>
      <c r="Q19" s="246">
        <f t="shared" si="103"/>
        <v>0</v>
      </c>
      <c r="R19" s="246"/>
      <c r="S19" s="246"/>
      <c r="T19" s="246"/>
      <c r="U19" s="246"/>
      <c r="V19" s="246"/>
      <c r="W19" s="246"/>
      <c r="X19" s="243">
        <f t="shared" si="15"/>
        <v>0</v>
      </c>
      <c r="Y19" s="246">
        <f t="shared" si="104"/>
        <v>0</v>
      </c>
      <c r="Z19" s="246"/>
      <c r="AA19" s="246"/>
      <c r="AB19" s="246"/>
      <c r="AC19" s="246"/>
      <c r="AD19" s="246"/>
      <c r="AE19" s="246"/>
      <c r="AF19" s="243">
        <f t="shared" si="16"/>
        <v>0</v>
      </c>
      <c r="AG19" s="246">
        <f t="shared" si="105"/>
        <v>0</v>
      </c>
      <c r="AH19" s="246"/>
      <c r="AI19" s="246"/>
      <c r="AJ19" s="246"/>
      <c r="AK19" s="246"/>
      <c r="AL19" s="246"/>
      <c r="AM19" s="246"/>
      <c r="AN19" s="243">
        <f t="shared" si="17"/>
        <v>0</v>
      </c>
      <c r="AO19" s="246">
        <f t="shared" si="106"/>
        <v>0</v>
      </c>
      <c r="AP19" s="246"/>
      <c r="AQ19" s="246"/>
      <c r="AR19" s="246"/>
      <c r="AS19" s="246"/>
      <c r="AT19" s="246"/>
      <c r="AU19" s="246"/>
      <c r="AV19" s="243">
        <f t="shared" si="18"/>
        <v>0</v>
      </c>
      <c r="AW19" s="246">
        <f t="shared" si="107"/>
        <v>0</v>
      </c>
      <c r="AX19" s="246"/>
      <c r="AY19" s="246"/>
      <c r="AZ19" s="246"/>
      <c r="BA19" s="246"/>
      <c r="BB19" s="246"/>
      <c r="BC19" s="246"/>
      <c r="BD19" s="243">
        <f t="shared" si="19"/>
        <v>0</v>
      </c>
      <c r="BE19" s="246">
        <f t="shared" si="108"/>
        <v>0</v>
      </c>
      <c r="BF19" s="246"/>
      <c r="BG19" s="246"/>
      <c r="BH19" s="246"/>
      <c r="BI19" s="246"/>
      <c r="BJ19" s="246"/>
      <c r="BK19" s="246"/>
      <c r="BL19" s="243">
        <f t="shared" si="20"/>
        <v>0</v>
      </c>
      <c r="BM19" s="246">
        <f t="shared" si="109"/>
        <v>0</v>
      </c>
      <c r="BN19" s="246"/>
      <c r="BO19" s="246"/>
      <c r="BP19" s="246"/>
      <c r="BQ19" s="246"/>
      <c r="BR19" s="246"/>
      <c r="BS19" s="246"/>
      <c r="BT19" s="243">
        <f t="shared" si="21"/>
        <v>0</v>
      </c>
      <c r="BU19" s="246">
        <f t="shared" si="110"/>
        <v>0</v>
      </c>
      <c r="BV19" s="246"/>
      <c r="BW19" s="246"/>
      <c r="BX19" s="246"/>
      <c r="BY19" s="246"/>
      <c r="BZ19" s="246"/>
      <c r="CA19" s="246"/>
      <c r="CB19" s="243">
        <f t="shared" si="22"/>
        <v>0</v>
      </c>
      <c r="CC19" s="246">
        <f t="shared" si="111"/>
        <v>0</v>
      </c>
      <c r="CD19" s="246"/>
      <c r="CE19" s="246"/>
      <c r="CF19" s="246"/>
      <c r="CG19" s="246"/>
      <c r="CH19" s="246"/>
      <c r="CI19" s="246"/>
      <c r="CJ19" s="243">
        <f t="shared" si="23"/>
        <v>0</v>
      </c>
      <c r="CK19" s="246">
        <f t="shared" si="112"/>
        <v>0</v>
      </c>
      <c r="CL19" s="246"/>
      <c r="CM19" s="246"/>
      <c r="CN19" s="246"/>
      <c r="CO19" s="246"/>
      <c r="CP19" s="246"/>
      <c r="CQ19" s="246"/>
      <c r="CR19" s="243">
        <f t="shared" si="24"/>
        <v>0</v>
      </c>
      <c r="CS19" s="246">
        <f t="shared" si="113"/>
        <v>0</v>
      </c>
      <c r="CT19" s="246"/>
      <c r="CU19" s="246"/>
      <c r="CV19" s="246"/>
      <c r="CW19" s="246"/>
      <c r="CX19" s="246"/>
      <c r="CY19" s="246"/>
      <c r="CZ19" s="243">
        <f t="shared" si="25"/>
        <v>0</v>
      </c>
      <c r="DA19" s="246">
        <f t="shared" si="114"/>
        <v>0</v>
      </c>
      <c r="DB19" s="246">
        <v>0</v>
      </c>
      <c r="DC19" s="246">
        <v>345.59213</v>
      </c>
      <c r="DD19" s="246">
        <v>399.99999999999301</v>
      </c>
      <c r="DE19" s="246">
        <v>199.77035999999995</v>
      </c>
      <c r="DF19" s="246">
        <v>204.804681049149</v>
      </c>
      <c r="DG19" s="246">
        <v>142.43185999999997</v>
      </c>
      <c r="DH19" s="243">
        <f t="shared" si="26"/>
        <v>170.91823199999999</v>
      </c>
      <c r="DI19" s="246">
        <f t="shared" si="27"/>
        <v>191.084692173913</v>
      </c>
      <c r="DJ19" s="246"/>
      <c r="DK19" s="246"/>
      <c r="DL19" s="246"/>
      <c r="DM19" s="246"/>
      <c r="DN19" s="246"/>
      <c r="DO19" s="246"/>
      <c r="DP19" s="243">
        <f t="shared" si="28"/>
        <v>0</v>
      </c>
      <c r="DQ19" s="246">
        <f t="shared" si="29"/>
        <v>0</v>
      </c>
      <c r="DR19" s="246"/>
      <c r="DS19" s="246"/>
      <c r="DT19" s="246"/>
      <c r="DU19" s="246"/>
      <c r="DV19" s="246"/>
      <c r="DW19" s="246"/>
      <c r="DX19" s="243">
        <f t="shared" si="30"/>
        <v>0</v>
      </c>
      <c r="DY19" s="246">
        <f t="shared" si="115"/>
        <v>0</v>
      </c>
      <c r="DZ19" s="246"/>
      <c r="EA19" s="246"/>
      <c r="EB19" s="246"/>
      <c r="EC19" s="246"/>
      <c r="ED19" s="246"/>
      <c r="EE19" s="246"/>
      <c r="EF19" s="243">
        <f t="shared" si="31"/>
        <v>0</v>
      </c>
      <c r="EG19" s="246">
        <f t="shared" si="116"/>
        <v>0</v>
      </c>
      <c r="EH19" s="246"/>
      <c r="EI19" s="246"/>
      <c r="EJ19" s="246"/>
      <c r="EK19" s="246"/>
      <c r="EL19" s="246"/>
      <c r="EM19" s="246"/>
      <c r="EN19" s="243">
        <f t="shared" si="32"/>
        <v>0</v>
      </c>
      <c r="EO19" s="246">
        <f t="shared" si="117"/>
        <v>0</v>
      </c>
      <c r="EP19" s="246"/>
      <c r="EQ19" s="246"/>
      <c r="ER19" s="246"/>
      <c r="ES19" s="246"/>
      <c r="ET19" s="246"/>
      <c r="EU19" s="246"/>
      <c r="EV19" s="243">
        <f t="shared" si="33"/>
        <v>0</v>
      </c>
      <c r="EW19" s="246">
        <f t="shared" si="34"/>
        <v>0</v>
      </c>
      <c r="EX19" s="246">
        <v>109.99999999999299</v>
      </c>
      <c r="EY19" s="246">
        <v>109.68978999999899</v>
      </c>
      <c r="EZ19" s="246">
        <v>199.99999999999599</v>
      </c>
      <c r="FA19" s="246">
        <v>172.57925</v>
      </c>
      <c r="FB19" s="246">
        <v>162.69530737549201</v>
      </c>
      <c r="FC19" s="246">
        <v>131.56416999999999</v>
      </c>
      <c r="FD19" s="243">
        <f t="shared" si="35"/>
        <v>157.877004</v>
      </c>
      <c r="FE19" s="246">
        <f t="shared" si="36"/>
        <v>165.07580434782611</v>
      </c>
      <c r="FF19" s="246"/>
      <c r="FG19" s="246"/>
      <c r="FH19" s="246"/>
      <c r="FI19" s="246"/>
      <c r="FJ19" s="246"/>
      <c r="FK19" s="246"/>
      <c r="FL19" s="243">
        <f t="shared" si="37"/>
        <v>0</v>
      </c>
      <c r="FM19" s="246">
        <f t="shared" si="118"/>
        <v>0</v>
      </c>
      <c r="FN19" s="246"/>
      <c r="FO19" s="246"/>
      <c r="FP19" s="246"/>
      <c r="FQ19" s="246"/>
      <c r="FR19" s="246"/>
      <c r="FS19" s="246"/>
      <c r="FT19" s="243">
        <f t="shared" si="38"/>
        <v>0</v>
      </c>
      <c r="FU19" s="246">
        <f t="shared" si="39"/>
        <v>0</v>
      </c>
      <c r="FV19" s="246"/>
      <c r="FW19" s="246"/>
      <c r="FX19" s="246"/>
      <c r="FY19" s="246"/>
      <c r="FZ19" s="246"/>
      <c r="GA19" s="246"/>
      <c r="GB19" s="243">
        <f t="shared" si="40"/>
        <v>0</v>
      </c>
      <c r="GC19" s="246">
        <f t="shared" si="41"/>
        <v>0</v>
      </c>
      <c r="GD19" s="246"/>
      <c r="GE19" s="246"/>
      <c r="GF19" s="246"/>
      <c r="GG19" s="246"/>
      <c r="GH19" s="246"/>
      <c r="GI19" s="246"/>
      <c r="GJ19" s="243">
        <f t="shared" si="42"/>
        <v>0</v>
      </c>
      <c r="GK19" s="246">
        <f t="shared" si="119"/>
        <v>0</v>
      </c>
      <c r="GL19" s="246"/>
      <c r="GM19" s="246"/>
      <c r="GN19" s="246"/>
      <c r="GO19" s="246"/>
      <c r="GP19" s="246"/>
      <c r="GQ19" s="246"/>
      <c r="GR19" s="243">
        <f t="shared" si="43"/>
        <v>0</v>
      </c>
      <c r="GS19" s="247">
        <f t="shared" si="44"/>
        <v>0</v>
      </c>
      <c r="GT19" s="246"/>
      <c r="GU19" s="246"/>
      <c r="GV19" s="246"/>
      <c r="GW19" s="246"/>
      <c r="GX19" s="246"/>
      <c r="GY19" s="246"/>
      <c r="GZ19" s="243">
        <f t="shared" si="45"/>
        <v>0</v>
      </c>
      <c r="HA19" s="246">
        <f t="shared" si="46"/>
        <v>0</v>
      </c>
      <c r="HB19" s="246"/>
      <c r="HC19" s="246"/>
      <c r="HD19" s="246"/>
      <c r="HE19" s="246"/>
      <c r="HF19" s="246"/>
      <c r="HG19" s="246"/>
      <c r="HH19" s="243">
        <f t="shared" si="47"/>
        <v>0</v>
      </c>
      <c r="HI19" s="246">
        <f t="shared" si="48"/>
        <v>0</v>
      </c>
      <c r="HJ19" s="246"/>
      <c r="HK19" s="246"/>
      <c r="HL19" s="246"/>
      <c r="HM19" s="246"/>
      <c r="HN19" s="246"/>
      <c r="HO19" s="246"/>
      <c r="HP19" s="243">
        <f t="shared" si="49"/>
        <v>0</v>
      </c>
      <c r="HQ19" s="246">
        <f t="shared" si="50"/>
        <v>0</v>
      </c>
      <c r="HR19" s="246"/>
      <c r="HS19" s="246"/>
      <c r="HT19" s="246"/>
      <c r="HU19" s="246"/>
      <c r="HV19" s="246"/>
      <c r="HW19" s="246"/>
      <c r="HX19" s="243">
        <f t="shared" si="51"/>
        <v>0</v>
      </c>
      <c r="HY19" s="246">
        <f t="shared" si="120"/>
        <v>0</v>
      </c>
      <c r="HZ19" s="246"/>
      <c r="IA19" s="246"/>
      <c r="IB19" s="246"/>
      <c r="IC19" s="246"/>
      <c r="ID19" s="246"/>
      <c r="IE19" s="246"/>
      <c r="IF19" s="243">
        <f t="shared" si="52"/>
        <v>0</v>
      </c>
      <c r="IG19" s="246">
        <f t="shared" si="121"/>
        <v>0</v>
      </c>
      <c r="IH19" s="246"/>
      <c r="II19" s="246"/>
      <c r="IJ19" s="246"/>
      <c r="IK19" s="246"/>
      <c r="IL19" s="246"/>
      <c r="IM19" s="246"/>
      <c r="IN19" s="243">
        <f t="shared" si="53"/>
        <v>0</v>
      </c>
      <c r="IO19" s="270">
        <f t="shared" si="122"/>
        <v>0</v>
      </c>
      <c r="IP19" s="246"/>
      <c r="IQ19" s="246"/>
      <c r="IR19" s="246"/>
      <c r="IS19" s="246"/>
      <c r="IT19" s="246"/>
      <c r="IU19" s="246"/>
      <c r="IV19" s="243">
        <f t="shared" si="54"/>
        <v>0</v>
      </c>
      <c r="IW19" s="246">
        <f t="shared" si="55"/>
        <v>0</v>
      </c>
      <c r="IX19" s="246"/>
      <c r="IY19" s="246"/>
      <c r="IZ19" s="246"/>
      <c r="JA19" s="246"/>
      <c r="JB19" s="246"/>
      <c r="JC19" s="246"/>
      <c r="JD19" s="243">
        <f t="shared" si="56"/>
        <v>0</v>
      </c>
      <c r="JE19" s="246">
        <f t="shared" si="57"/>
        <v>0</v>
      </c>
      <c r="JF19" s="246"/>
      <c r="JG19" s="246"/>
      <c r="JH19" s="246"/>
      <c r="JI19" s="246"/>
      <c r="JJ19" s="246"/>
      <c r="JK19" s="246"/>
      <c r="JL19" s="243">
        <f t="shared" si="58"/>
        <v>0</v>
      </c>
      <c r="JM19" s="246">
        <f t="shared" si="59"/>
        <v>0</v>
      </c>
      <c r="JN19" s="246"/>
      <c r="JO19" s="246"/>
      <c r="JP19" s="246"/>
      <c r="JQ19" s="246"/>
      <c r="JR19" s="246"/>
      <c r="JS19" s="246"/>
      <c r="JT19" s="243">
        <f t="shared" si="60"/>
        <v>0</v>
      </c>
      <c r="JU19" s="246">
        <f t="shared" si="61"/>
        <v>0</v>
      </c>
      <c r="JV19" s="246"/>
      <c r="JW19" s="246"/>
      <c r="JX19" s="246"/>
      <c r="JY19" s="246"/>
      <c r="JZ19" s="246"/>
      <c r="KA19" s="246"/>
      <c r="KB19" s="243">
        <f t="shared" si="62"/>
        <v>0</v>
      </c>
      <c r="KC19" s="246">
        <f t="shared" si="63"/>
        <v>0</v>
      </c>
      <c r="KD19" s="246"/>
      <c r="KE19" s="246"/>
      <c r="KF19" s="246"/>
      <c r="KG19" s="246"/>
      <c r="KH19" s="246"/>
      <c r="KI19" s="246"/>
      <c r="KJ19" s="243">
        <f t="shared" si="64"/>
        <v>0</v>
      </c>
      <c r="KK19" s="246">
        <f t="shared" si="65"/>
        <v>0</v>
      </c>
      <c r="KL19" s="246"/>
      <c r="KM19" s="246"/>
      <c r="KN19" s="246"/>
      <c r="KO19" s="246"/>
      <c r="KP19" s="246"/>
      <c r="KQ19" s="246"/>
      <c r="KR19" s="243">
        <f t="shared" si="66"/>
        <v>0</v>
      </c>
      <c r="KS19" s="246">
        <f t="shared" si="67"/>
        <v>0</v>
      </c>
      <c r="KT19" s="246"/>
      <c r="KU19" s="246"/>
      <c r="KV19" s="246"/>
      <c r="KW19" s="246"/>
      <c r="KX19" s="246"/>
      <c r="KY19" s="246"/>
      <c r="KZ19" s="243">
        <f t="shared" si="68"/>
        <v>0</v>
      </c>
      <c r="LA19" s="246">
        <f t="shared" si="69"/>
        <v>0</v>
      </c>
      <c r="LB19" s="246"/>
      <c r="LC19" s="246"/>
      <c r="LD19" s="246"/>
      <c r="LE19" s="246"/>
      <c r="LF19" s="246"/>
      <c r="LG19" s="246"/>
      <c r="LH19" s="243">
        <f t="shared" si="70"/>
        <v>0</v>
      </c>
      <c r="LI19" s="246">
        <f t="shared" si="71"/>
        <v>0</v>
      </c>
      <c r="LJ19" s="246"/>
      <c r="LK19" s="246"/>
      <c r="LL19" s="246"/>
      <c r="LM19" s="246"/>
      <c r="LN19" s="246"/>
      <c r="LO19" s="246"/>
      <c r="LP19" s="243">
        <f t="shared" si="72"/>
        <v>0</v>
      </c>
      <c r="LQ19" s="246">
        <f t="shared" si="73"/>
        <v>0</v>
      </c>
      <c r="LR19" s="246"/>
      <c r="LS19" s="246"/>
      <c r="LT19" s="244">
        <f t="shared" si="74"/>
        <v>0</v>
      </c>
      <c r="LU19" s="246"/>
      <c r="LV19" s="246"/>
      <c r="LW19" s="246"/>
      <c r="LX19" s="246"/>
      <c r="LY19" s="246"/>
      <c r="LZ19" s="246"/>
      <c r="MA19" s="246"/>
      <c r="MB19" s="243">
        <f t="shared" si="75"/>
        <v>0</v>
      </c>
      <c r="MC19" s="246">
        <f t="shared" si="76"/>
        <v>0</v>
      </c>
      <c r="MD19" s="246"/>
      <c r="ME19" s="246"/>
      <c r="MF19" s="246"/>
      <c r="MG19" s="246"/>
      <c r="MH19" s="246"/>
      <c r="MI19" s="246"/>
      <c r="MJ19" s="243">
        <f t="shared" si="77"/>
        <v>0</v>
      </c>
      <c r="MK19" s="246">
        <f t="shared" si="78"/>
        <v>0</v>
      </c>
      <c r="ML19" s="246"/>
      <c r="MM19" s="246"/>
      <c r="MN19" s="246"/>
      <c r="MO19" s="246"/>
      <c r="MP19" s="246"/>
      <c r="MQ19" s="246"/>
      <c r="MR19" s="243">
        <f t="shared" si="79"/>
        <v>0</v>
      </c>
      <c r="MS19" s="246">
        <f t="shared" si="80"/>
        <v>0</v>
      </c>
      <c r="MT19" s="246"/>
      <c r="MU19" s="246"/>
      <c r="MV19" s="246"/>
      <c r="MW19" s="246"/>
      <c r="MX19" s="246"/>
      <c r="MY19" s="246"/>
      <c r="MZ19" s="243">
        <f t="shared" si="81"/>
        <v>0</v>
      </c>
      <c r="NA19" s="246">
        <f t="shared" si="123"/>
        <v>0</v>
      </c>
      <c r="NB19" s="246"/>
      <c r="NC19" s="246"/>
      <c r="ND19" s="243">
        <f t="shared" si="82"/>
        <v>0</v>
      </c>
      <c r="NE19" s="248"/>
      <c r="NF19" s="246"/>
      <c r="NG19" s="246"/>
      <c r="NH19" s="246"/>
      <c r="NI19" s="246"/>
      <c r="NJ19" s="246"/>
      <c r="NK19" s="246"/>
      <c r="NL19" s="243">
        <f t="shared" si="83"/>
        <v>0</v>
      </c>
      <c r="NM19" s="246">
        <f t="shared" si="84"/>
        <v>0</v>
      </c>
      <c r="NN19" s="246"/>
      <c r="NO19" s="246"/>
      <c r="NP19" s="246"/>
      <c r="NQ19" s="246"/>
      <c r="NR19" s="246"/>
      <c r="NS19" s="246"/>
      <c r="NT19" s="243">
        <f t="shared" si="85"/>
        <v>0</v>
      </c>
      <c r="NU19" s="246">
        <f t="shared" si="86"/>
        <v>0</v>
      </c>
      <c r="NV19" s="246"/>
      <c r="NW19" s="246"/>
      <c r="NX19" s="246"/>
      <c r="NY19" s="246"/>
      <c r="NZ19" s="246"/>
      <c r="OA19" s="246"/>
      <c r="OB19" s="243">
        <f t="shared" si="87"/>
        <v>0</v>
      </c>
      <c r="OC19" s="246">
        <f t="shared" si="88"/>
        <v>0</v>
      </c>
      <c r="OD19" s="246"/>
      <c r="OE19" s="246"/>
      <c r="OF19" s="246"/>
      <c r="OG19" s="246"/>
      <c r="OH19" s="246"/>
      <c r="OI19" s="246"/>
      <c r="OJ19" s="243">
        <f t="shared" si="89"/>
        <v>0</v>
      </c>
      <c r="OK19" s="246">
        <f t="shared" si="124"/>
        <v>0</v>
      </c>
      <c r="OL19" s="246"/>
      <c r="OM19" s="246"/>
      <c r="ON19" s="246"/>
      <c r="OO19" s="246"/>
      <c r="OP19" s="246"/>
      <c r="OQ19" s="246"/>
      <c r="OR19" s="243">
        <f t="shared" si="90"/>
        <v>0</v>
      </c>
      <c r="OS19" s="246">
        <f t="shared" si="91"/>
        <v>0</v>
      </c>
      <c r="OT19" s="246"/>
      <c r="OU19" s="246"/>
      <c r="OV19" s="246"/>
      <c r="OW19" s="246"/>
      <c r="OX19" s="246"/>
      <c r="OY19" s="246"/>
      <c r="OZ19" s="243">
        <f t="shared" si="92"/>
        <v>0</v>
      </c>
      <c r="PA19" s="246">
        <v>0</v>
      </c>
      <c r="PB19" s="246"/>
      <c r="PC19" s="246"/>
      <c r="PD19" s="243">
        <f t="shared" si="93"/>
        <v>0</v>
      </c>
      <c r="PE19" s="246">
        <v>0</v>
      </c>
      <c r="PF19" s="246"/>
      <c r="PG19" s="246"/>
      <c r="PH19" s="246"/>
      <c r="PI19" s="246"/>
      <c r="PJ19" s="246"/>
      <c r="PK19" s="246"/>
      <c r="PL19" s="243">
        <f t="shared" si="94"/>
        <v>0</v>
      </c>
      <c r="PM19" s="276">
        <v>0</v>
      </c>
      <c r="PN19" s="246"/>
      <c r="PO19" s="246"/>
      <c r="PP19" s="246"/>
      <c r="PQ19" s="246"/>
      <c r="PR19" s="246"/>
      <c r="PS19" s="246"/>
      <c r="PT19" s="243">
        <f t="shared" si="95"/>
        <v>0</v>
      </c>
      <c r="PU19" s="246"/>
      <c r="PV19" s="246"/>
      <c r="PW19" s="246"/>
      <c r="PX19" s="246"/>
      <c r="PY19" s="246"/>
      <c r="PZ19" s="246"/>
      <c r="QA19" s="246"/>
      <c r="QB19" s="243">
        <f t="shared" si="96"/>
        <v>0</v>
      </c>
      <c r="QC19" s="246"/>
      <c r="QD19" s="246"/>
      <c r="QE19" s="246"/>
      <c r="QF19" s="246"/>
      <c r="QG19" s="246"/>
      <c r="QH19" s="246"/>
      <c r="QI19" s="246"/>
      <c r="QJ19" s="243">
        <f t="shared" si="97"/>
        <v>0</v>
      </c>
      <c r="QK19" s="246"/>
      <c r="QL19" s="246"/>
      <c r="QM19" s="246"/>
      <c r="QN19" s="246"/>
      <c r="QO19" s="246"/>
      <c r="QP19" s="243">
        <f t="shared" si="98"/>
        <v>0</v>
      </c>
      <c r="QQ19" s="248"/>
      <c r="QR19" s="246"/>
      <c r="QS19" s="246"/>
      <c r="QT19" s="246"/>
      <c r="QU19" s="246"/>
      <c r="QV19" s="243">
        <f t="shared" si="99"/>
        <v>0</v>
      </c>
      <c r="QW19" s="246"/>
      <c r="QX19" s="246"/>
      <c r="QY19" s="246"/>
      <c r="QZ19" s="246"/>
      <c r="RA19" s="246"/>
      <c r="RB19" s="246"/>
      <c r="RC19" s="246"/>
      <c r="RD19" s="243">
        <f t="shared" si="100"/>
        <v>0</v>
      </c>
      <c r="RE19" s="300"/>
      <c r="RF19" s="259">
        <f t="shared" si="101"/>
        <v>367.499988424641</v>
      </c>
      <c r="RG19" s="259">
        <f t="shared" si="11"/>
        <v>273.99602999999996</v>
      </c>
      <c r="RH19" s="259">
        <f t="shared" si="11"/>
        <v>328.79523599999999</v>
      </c>
      <c r="RI19" s="256">
        <f t="shared" si="12"/>
        <v>356.16049652173911</v>
      </c>
    </row>
    <row r="20" spans="1:479">
      <c r="A20" s="5" t="s">
        <v>15</v>
      </c>
      <c r="B20" s="263">
        <v>13906.166666666701</v>
      </c>
      <c r="C20" s="246">
        <v>13589.575560000018</v>
      </c>
      <c r="D20" s="246">
        <v>30252.3999999997</v>
      </c>
      <c r="E20" s="246">
        <v>30897.433540000009</v>
      </c>
      <c r="F20" s="246">
        <v>43695.610343514803</v>
      </c>
      <c r="G20" s="246">
        <v>40165.91451000001</v>
      </c>
      <c r="H20" s="254">
        <f t="shared" si="13"/>
        <v>48199.097412000017</v>
      </c>
      <c r="I20" s="246">
        <v>50000</v>
      </c>
      <c r="J20" s="263">
        <v>23806.749999998901</v>
      </c>
      <c r="K20" s="246">
        <v>23843.01213000001</v>
      </c>
      <c r="L20" s="246">
        <v>25977.999999999502</v>
      </c>
      <c r="M20" s="246">
        <v>26486.070210000009</v>
      </c>
      <c r="N20" s="246">
        <v>26848.5116742877</v>
      </c>
      <c r="O20" s="246">
        <v>22714.661529999998</v>
      </c>
      <c r="P20" s="243">
        <f t="shared" si="14"/>
        <v>27257.593836</v>
      </c>
      <c r="Q20" s="246">
        <v>27260</v>
      </c>
      <c r="R20" s="246">
        <v>91517.999999994994</v>
      </c>
      <c r="S20" s="246">
        <v>88318.368660000095</v>
      </c>
      <c r="T20" s="246">
        <v>80011.999999998705</v>
      </c>
      <c r="U20" s="246">
        <v>80523.381870000027</v>
      </c>
      <c r="V20" s="246">
        <v>52237.4</v>
      </c>
      <c r="W20" s="246">
        <v>42724.332030000012</v>
      </c>
      <c r="X20" s="243">
        <f t="shared" si="15"/>
        <v>51269.198436000021</v>
      </c>
      <c r="Y20" s="246">
        <v>51270</v>
      </c>
      <c r="Z20" s="246"/>
      <c r="AA20" s="246"/>
      <c r="AB20" s="246"/>
      <c r="AC20" s="246"/>
      <c r="AD20" s="246"/>
      <c r="AE20" s="246"/>
      <c r="AF20" s="243">
        <f t="shared" si="16"/>
        <v>0</v>
      </c>
      <c r="AG20" s="246">
        <f t="shared" si="105"/>
        <v>0</v>
      </c>
      <c r="AH20" s="246"/>
      <c r="AI20" s="246"/>
      <c r="AJ20" s="246"/>
      <c r="AK20" s="246"/>
      <c r="AL20" s="246"/>
      <c r="AM20" s="246"/>
      <c r="AN20" s="243">
        <f t="shared" si="17"/>
        <v>0</v>
      </c>
      <c r="AO20" s="246">
        <f t="shared" si="106"/>
        <v>0</v>
      </c>
      <c r="AP20" s="246"/>
      <c r="AQ20" s="246"/>
      <c r="AR20" s="246"/>
      <c r="AS20" s="246"/>
      <c r="AT20" s="246"/>
      <c r="AU20" s="246"/>
      <c r="AV20" s="243">
        <f t="shared" si="18"/>
        <v>0</v>
      </c>
      <c r="AW20" s="246">
        <f t="shared" si="107"/>
        <v>0</v>
      </c>
      <c r="AX20" s="246"/>
      <c r="AY20" s="246"/>
      <c r="AZ20" s="246"/>
      <c r="BA20" s="246"/>
      <c r="BB20" s="246"/>
      <c r="BC20" s="246"/>
      <c r="BD20" s="243">
        <f t="shared" si="19"/>
        <v>0</v>
      </c>
      <c r="BE20" s="246">
        <f t="shared" si="108"/>
        <v>0</v>
      </c>
      <c r="BF20" s="246">
        <v>0</v>
      </c>
      <c r="BG20" s="246">
        <v>0</v>
      </c>
      <c r="BH20" s="246"/>
      <c r="BI20" s="246"/>
      <c r="BJ20" s="246"/>
      <c r="BK20" s="246"/>
      <c r="BL20" s="243">
        <f t="shared" si="20"/>
        <v>0</v>
      </c>
      <c r="BM20" s="246">
        <f t="shared" si="109"/>
        <v>0</v>
      </c>
      <c r="BN20" s="246">
        <v>47.999999999997002</v>
      </c>
      <c r="BO20" s="246">
        <v>101.73084</v>
      </c>
      <c r="BP20" s="246"/>
      <c r="BQ20" s="246"/>
      <c r="BR20" s="246"/>
      <c r="BS20" s="246"/>
      <c r="BT20" s="243">
        <f t="shared" si="21"/>
        <v>0</v>
      </c>
      <c r="BU20" s="246">
        <f t="shared" si="110"/>
        <v>0</v>
      </c>
      <c r="BV20" s="246">
        <v>9922.4999999995198</v>
      </c>
      <c r="BW20" s="246">
        <v>9961.217760000005</v>
      </c>
      <c r="BX20" s="246">
        <v>10788.199999999901</v>
      </c>
      <c r="BY20" s="246">
        <v>10787.310540000008</v>
      </c>
      <c r="BZ20" s="246">
        <v>13090.6003928437</v>
      </c>
      <c r="CA20" s="246">
        <v>10515.032439999999</v>
      </c>
      <c r="CB20" s="243">
        <f t="shared" si="22"/>
        <v>12618.038928</v>
      </c>
      <c r="CC20" s="246">
        <v>12618</v>
      </c>
      <c r="CD20" s="246"/>
      <c r="CE20" s="246"/>
      <c r="CF20" s="246"/>
      <c r="CG20" s="246"/>
      <c r="CH20" s="246"/>
      <c r="CI20" s="246"/>
      <c r="CJ20" s="243">
        <f t="shared" si="23"/>
        <v>0</v>
      </c>
      <c r="CK20" s="246">
        <f t="shared" si="112"/>
        <v>0</v>
      </c>
      <c r="CL20" s="246"/>
      <c r="CM20" s="246"/>
      <c r="CN20" s="246"/>
      <c r="CO20" s="246"/>
      <c r="CP20" s="246"/>
      <c r="CQ20" s="246"/>
      <c r="CR20" s="243">
        <f t="shared" si="24"/>
        <v>0</v>
      </c>
      <c r="CS20" s="246">
        <f t="shared" si="113"/>
        <v>0</v>
      </c>
      <c r="CT20" s="246"/>
      <c r="CU20" s="246"/>
      <c r="CV20" s="246"/>
      <c r="CW20" s="246"/>
      <c r="CX20" s="246"/>
      <c r="CY20" s="246"/>
      <c r="CZ20" s="243">
        <f t="shared" si="25"/>
        <v>0</v>
      </c>
      <c r="DA20" s="246">
        <f t="shared" si="114"/>
        <v>0</v>
      </c>
      <c r="DB20" s="246">
        <v>23169.999999998701</v>
      </c>
      <c r="DC20" s="246">
        <v>19891.752160000007</v>
      </c>
      <c r="DD20" s="246">
        <v>24211.2278075916</v>
      </c>
      <c r="DE20" s="246">
        <v>24198.32923000001</v>
      </c>
      <c r="DF20" s="246">
        <v>26157.999135951501</v>
      </c>
      <c r="DG20" s="246">
        <v>22036.27178000001</v>
      </c>
      <c r="DH20" s="243">
        <f t="shared" si="26"/>
        <v>26443.526136000015</v>
      </c>
      <c r="DI20" s="246">
        <v>26443</v>
      </c>
      <c r="DJ20" s="246">
        <v>2194.9999999998799</v>
      </c>
      <c r="DK20" s="246">
        <v>2182.955240000002</v>
      </c>
      <c r="DL20" s="246">
        <v>2287.97674415048</v>
      </c>
      <c r="DM20" s="246">
        <v>2282.5625800000007</v>
      </c>
      <c r="DN20" s="246">
        <v>2390.9999246892899</v>
      </c>
      <c r="DO20" s="246">
        <v>1964.0763000000002</v>
      </c>
      <c r="DP20" s="243">
        <f t="shared" si="28"/>
        <v>2356.89156</v>
      </c>
      <c r="DQ20" s="246">
        <v>2356</v>
      </c>
      <c r="DR20" s="246">
        <v>42069.833333331298</v>
      </c>
      <c r="DS20" s="246">
        <v>42336.414330000021</v>
      </c>
      <c r="DT20" s="246">
        <v>52804.999999999403</v>
      </c>
      <c r="DU20" s="246">
        <v>53543.097310000026</v>
      </c>
      <c r="DV20" s="246">
        <v>54000.110288033902</v>
      </c>
      <c r="DW20" s="246">
        <v>45800.148420000005</v>
      </c>
      <c r="DX20" s="243">
        <f t="shared" si="30"/>
        <v>54960.178104000006</v>
      </c>
      <c r="DY20" s="246">
        <v>54960</v>
      </c>
      <c r="DZ20" s="246">
        <v>126091.666666661</v>
      </c>
      <c r="EA20" s="246">
        <v>126928.81922000003</v>
      </c>
      <c r="EB20" s="246">
        <v>141999.601744721</v>
      </c>
      <c r="EC20" s="246">
        <v>141977.1617600001</v>
      </c>
      <c r="ED20" s="246">
        <v>165826.031940399</v>
      </c>
      <c r="EE20" s="246">
        <v>146362.85145000002</v>
      </c>
      <c r="EF20" s="243">
        <f t="shared" si="31"/>
        <v>175635.42174000002</v>
      </c>
      <c r="EG20" s="246">
        <v>175634</v>
      </c>
      <c r="EH20" s="246"/>
      <c r="EI20" s="246"/>
      <c r="EJ20" s="246"/>
      <c r="EK20" s="246"/>
      <c r="EL20" s="246"/>
      <c r="EM20" s="246"/>
      <c r="EN20" s="243">
        <f t="shared" si="32"/>
        <v>0</v>
      </c>
      <c r="EO20" s="246">
        <f t="shared" si="117"/>
        <v>0</v>
      </c>
      <c r="EP20" s="246"/>
      <c r="EQ20" s="246"/>
      <c r="ER20" s="246"/>
      <c r="ES20" s="246"/>
      <c r="ET20" s="246"/>
      <c r="EU20" s="246"/>
      <c r="EV20" s="243">
        <f t="shared" si="33"/>
        <v>0</v>
      </c>
      <c r="EW20" s="246">
        <f t="shared" si="34"/>
        <v>0</v>
      </c>
      <c r="EX20" s="246">
        <v>16602.999999999101</v>
      </c>
      <c r="EY20" s="246">
        <v>16751.356320000014</v>
      </c>
      <c r="EZ20" s="246">
        <v>19905.9999999996</v>
      </c>
      <c r="FA20" s="246">
        <v>20318.86525000001</v>
      </c>
      <c r="FB20" s="246">
        <v>20251.905245513</v>
      </c>
      <c r="FC20" s="246">
        <v>17566.472750000001</v>
      </c>
      <c r="FD20" s="243">
        <f t="shared" si="35"/>
        <v>21079.7673</v>
      </c>
      <c r="FE20" s="246">
        <v>21079</v>
      </c>
      <c r="FF20" s="246">
        <v>137272.99999999299</v>
      </c>
      <c r="FG20" s="246">
        <v>136983.97836000004</v>
      </c>
      <c r="FH20" s="246">
        <v>159999.99999999799</v>
      </c>
      <c r="FI20" s="246">
        <v>166512.97672000012</v>
      </c>
      <c r="FJ20" s="246">
        <v>205000.41667259799</v>
      </c>
      <c r="FK20" s="246">
        <v>167178.37066999997</v>
      </c>
      <c r="FL20" s="243">
        <f t="shared" si="37"/>
        <v>200614.04480399995</v>
      </c>
      <c r="FM20" s="246">
        <v>200613</v>
      </c>
      <c r="FN20" s="246"/>
      <c r="FO20" s="246"/>
      <c r="FP20" s="246">
        <v>2000</v>
      </c>
      <c r="FQ20" s="246">
        <v>1943.8442200000025</v>
      </c>
      <c r="FR20" s="246">
        <v>2869.5640475467198</v>
      </c>
      <c r="FS20" s="246">
        <v>1031.7908999999997</v>
      </c>
      <c r="FT20" s="243">
        <f t="shared" si="38"/>
        <v>1238.1490799999997</v>
      </c>
      <c r="FU20" s="246">
        <v>1238</v>
      </c>
      <c r="FV20" s="246"/>
      <c r="FW20" s="246"/>
      <c r="FX20" s="246"/>
      <c r="FY20" s="246"/>
      <c r="FZ20" s="246"/>
      <c r="GA20" s="246"/>
      <c r="GB20" s="243">
        <f t="shared" si="40"/>
        <v>0</v>
      </c>
      <c r="GC20" s="246">
        <f t="shared" si="41"/>
        <v>0</v>
      </c>
      <c r="GD20" s="246"/>
      <c r="GE20" s="246"/>
      <c r="GF20" s="246"/>
      <c r="GG20" s="246"/>
      <c r="GH20" s="246"/>
      <c r="GI20" s="246"/>
      <c r="GJ20" s="243">
        <f t="shared" si="42"/>
        <v>0</v>
      </c>
      <c r="GK20" s="246">
        <f t="shared" si="119"/>
        <v>0</v>
      </c>
      <c r="GL20" s="246"/>
      <c r="GM20" s="246"/>
      <c r="GN20" s="246"/>
      <c r="GO20" s="246"/>
      <c r="GP20" s="246"/>
      <c r="GQ20" s="246"/>
      <c r="GR20" s="243">
        <f t="shared" si="43"/>
        <v>0</v>
      </c>
      <c r="GS20" s="247">
        <f t="shared" si="44"/>
        <v>0</v>
      </c>
      <c r="GT20" s="246"/>
      <c r="GU20" s="246"/>
      <c r="GV20" s="246"/>
      <c r="GW20" s="246"/>
      <c r="GX20" s="246"/>
      <c r="GY20" s="246"/>
      <c r="GZ20" s="243">
        <f t="shared" si="45"/>
        <v>0</v>
      </c>
      <c r="HA20" s="246">
        <f t="shared" si="46"/>
        <v>0</v>
      </c>
      <c r="HB20" s="246"/>
      <c r="HC20" s="246"/>
      <c r="HD20" s="246"/>
      <c r="HE20" s="246"/>
      <c r="HF20" s="246"/>
      <c r="HG20" s="246"/>
      <c r="HH20" s="243">
        <f t="shared" si="47"/>
        <v>0</v>
      </c>
      <c r="HI20" s="246">
        <f t="shared" si="48"/>
        <v>0</v>
      </c>
      <c r="HJ20" s="246"/>
      <c r="HK20" s="246"/>
      <c r="HL20" s="246"/>
      <c r="HM20" s="246"/>
      <c r="HN20" s="246"/>
      <c r="HO20" s="246"/>
      <c r="HP20" s="243">
        <f t="shared" si="49"/>
        <v>0</v>
      </c>
      <c r="HQ20" s="246">
        <f t="shared" si="50"/>
        <v>0</v>
      </c>
      <c r="HR20" s="246"/>
      <c r="HS20" s="246"/>
      <c r="HT20" s="246"/>
      <c r="HU20" s="246"/>
      <c r="HV20" s="246"/>
      <c r="HW20" s="246"/>
      <c r="HX20" s="243">
        <f t="shared" si="51"/>
        <v>0</v>
      </c>
      <c r="HY20" s="246">
        <f t="shared" si="120"/>
        <v>0</v>
      </c>
      <c r="HZ20" s="246"/>
      <c r="IA20" s="246"/>
      <c r="IB20" s="246"/>
      <c r="IC20" s="246"/>
      <c r="ID20" s="246"/>
      <c r="IE20" s="246"/>
      <c r="IF20" s="243">
        <f t="shared" si="52"/>
        <v>0</v>
      </c>
      <c r="IG20" s="246">
        <f t="shared" si="121"/>
        <v>0</v>
      </c>
      <c r="IH20" s="246">
        <v>157157.49999999299</v>
      </c>
      <c r="II20" s="246">
        <v>164514.0038500001</v>
      </c>
      <c r="IJ20" s="246">
        <v>173552.72222077701</v>
      </c>
      <c r="IK20" s="246">
        <v>176393.9797600001</v>
      </c>
      <c r="IL20" s="246">
        <v>210302.994505437</v>
      </c>
      <c r="IM20" s="246">
        <v>177352.00658999998</v>
      </c>
      <c r="IN20" s="243">
        <f t="shared" si="53"/>
        <v>212822.40790799999</v>
      </c>
      <c r="IO20" s="270">
        <v>212822</v>
      </c>
      <c r="IP20" s="246"/>
      <c r="IQ20" s="246"/>
      <c r="IR20" s="246"/>
      <c r="IS20" s="246"/>
      <c r="IT20" s="246"/>
      <c r="IU20" s="246"/>
      <c r="IV20" s="243">
        <f t="shared" si="54"/>
        <v>0</v>
      </c>
      <c r="IW20" s="246">
        <f t="shared" si="55"/>
        <v>0</v>
      </c>
      <c r="IX20" s="246"/>
      <c r="IY20" s="246"/>
      <c r="IZ20" s="246"/>
      <c r="JA20" s="246"/>
      <c r="JB20" s="246"/>
      <c r="JC20" s="246"/>
      <c r="JD20" s="243">
        <f t="shared" si="56"/>
        <v>0</v>
      </c>
      <c r="JE20" s="246">
        <f t="shared" si="57"/>
        <v>0</v>
      </c>
      <c r="JF20" s="246"/>
      <c r="JG20" s="246"/>
      <c r="JH20" s="246"/>
      <c r="JI20" s="246"/>
      <c r="JJ20" s="246"/>
      <c r="JK20" s="246"/>
      <c r="JL20" s="243">
        <f t="shared" si="58"/>
        <v>0</v>
      </c>
      <c r="JM20" s="246">
        <f t="shared" si="59"/>
        <v>0</v>
      </c>
      <c r="JN20" s="246"/>
      <c r="JO20" s="246"/>
      <c r="JP20" s="246"/>
      <c r="JQ20" s="246"/>
      <c r="JR20" s="246"/>
      <c r="JS20" s="246"/>
      <c r="JT20" s="243">
        <f t="shared" si="60"/>
        <v>0</v>
      </c>
      <c r="JU20" s="246">
        <f t="shared" si="61"/>
        <v>0</v>
      </c>
      <c r="JV20" s="246"/>
      <c r="JW20" s="246"/>
      <c r="JX20" s="246"/>
      <c r="JY20" s="246"/>
      <c r="JZ20" s="246"/>
      <c r="KA20" s="246"/>
      <c r="KB20" s="243">
        <f t="shared" si="62"/>
        <v>0</v>
      </c>
      <c r="KC20" s="246">
        <f t="shared" si="63"/>
        <v>0</v>
      </c>
      <c r="KD20" s="246"/>
      <c r="KE20" s="246"/>
      <c r="KF20" s="246"/>
      <c r="KG20" s="246"/>
      <c r="KH20" s="246"/>
      <c r="KI20" s="246"/>
      <c r="KJ20" s="243">
        <f t="shared" si="64"/>
        <v>0</v>
      </c>
      <c r="KK20" s="246">
        <f t="shared" si="65"/>
        <v>0</v>
      </c>
      <c r="KL20" s="246"/>
      <c r="KM20" s="246"/>
      <c r="KN20" s="246"/>
      <c r="KO20" s="246"/>
      <c r="KP20" s="246"/>
      <c r="KQ20" s="246"/>
      <c r="KR20" s="243">
        <f t="shared" si="66"/>
        <v>0</v>
      </c>
      <c r="KS20" s="246">
        <f t="shared" si="67"/>
        <v>0</v>
      </c>
      <c r="KT20" s="246"/>
      <c r="KU20" s="246"/>
      <c r="KV20" s="246"/>
      <c r="KW20" s="246"/>
      <c r="KX20" s="246"/>
      <c r="KY20" s="246"/>
      <c r="KZ20" s="243">
        <f t="shared" si="68"/>
        <v>0</v>
      </c>
      <c r="LA20" s="246">
        <f t="shared" si="69"/>
        <v>0</v>
      </c>
      <c r="LB20" s="246"/>
      <c r="LC20" s="246"/>
      <c r="LD20" s="246"/>
      <c r="LE20" s="246"/>
      <c r="LF20" s="246"/>
      <c r="LG20" s="246"/>
      <c r="LH20" s="243">
        <f t="shared" si="70"/>
        <v>0</v>
      </c>
      <c r="LI20" s="246">
        <f t="shared" si="71"/>
        <v>0</v>
      </c>
      <c r="LJ20" s="246"/>
      <c r="LK20" s="246"/>
      <c r="LL20" s="246"/>
      <c r="LM20" s="246"/>
      <c r="LN20" s="246"/>
      <c r="LO20" s="246"/>
      <c r="LP20" s="243">
        <f t="shared" si="72"/>
        <v>0</v>
      </c>
      <c r="LQ20" s="246">
        <f t="shared" si="73"/>
        <v>0</v>
      </c>
      <c r="LR20" s="246"/>
      <c r="LS20" s="246"/>
      <c r="LT20" s="244">
        <f t="shared" si="74"/>
        <v>0</v>
      </c>
      <c r="LU20" s="246"/>
      <c r="LV20" s="246"/>
      <c r="LW20" s="246"/>
      <c r="LX20" s="246"/>
      <c r="LY20" s="246"/>
      <c r="LZ20" s="246"/>
      <c r="MA20" s="246"/>
      <c r="MB20" s="243">
        <f t="shared" si="75"/>
        <v>0</v>
      </c>
      <c r="MC20" s="246">
        <f t="shared" si="76"/>
        <v>0</v>
      </c>
      <c r="MD20" s="246"/>
      <c r="ME20" s="246"/>
      <c r="MF20" s="246"/>
      <c r="MG20" s="246"/>
      <c r="MH20" s="246"/>
      <c r="MI20" s="246"/>
      <c r="MJ20" s="243">
        <f t="shared" si="77"/>
        <v>0</v>
      </c>
      <c r="MK20" s="246">
        <f t="shared" si="78"/>
        <v>0</v>
      </c>
      <c r="ML20" s="246">
        <v>3.4000000000000002E-4</v>
      </c>
      <c r="MM20" s="246">
        <v>0</v>
      </c>
      <c r="MN20" s="246"/>
      <c r="MO20" s="246"/>
      <c r="MP20" s="246"/>
      <c r="MQ20" s="246"/>
      <c r="MR20" s="243">
        <f t="shared" si="79"/>
        <v>0</v>
      </c>
      <c r="MS20" s="246">
        <f t="shared" si="80"/>
        <v>0</v>
      </c>
      <c r="MT20" s="246"/>
      <c r="MU20" s="246"/>
      <c r="MV20" s="246"/>
      <c r="MW20" s="246"/>
      <c r="MX20" s="246"/>
      <c r="MY20" s="246"/>
      <c r="MZ20" s="243">
        <f t="shared" si="81"/>
        <v>0</v>
      </c>
      <c r="NA20" s="246">
        <f t="shared" si="123"/>
        <v>0</v>
      </c>
      <c r="NB20" s="246"/>
      <c r="NC20" s="246"/>
      <c r="ND20" s="243">
        <f t="shared" si="82"/>
        <v>0</v>
      </c>
      <c r="NE20" s="248"/>
      <c r="NF20" s="246"/>
      <c r="NG20" s="246"/>
      <c r="NH20" s="246"/>
      <c r="NI20" s="246"/>
      <c r="NJ20" s="246"/>
      <c r="NK20" s="246"/>
      <c r="NL20" s="243">
        <f t="shared" si="83"/>
        <v>0</v>
      </c>
      <c r="NM20" s="246">
        <f t="shared" si="84"/>
        <v>0</v>
      </c>
      <c r="NN20" s="246"/>
      <c r="NO20" s="246"/>
      <c r="NP20" s="246"/>
      <c r="NQ20" s="246"/>
      <c r="NR20" s="246"/>
      <c r="NS20" s="246"/>
      <c r="NT20" s="243">
        <f t="shared" si="85"/>
        <v>0</v>
      </c>
      <c r="NU20" s="246">
        <f t="shared" si="86"/>
        <v>0</v>
      </c>
      <c r="NV20" s="246"/>
      <c r="NW20" s="246"/>
      <c r="NX20" s="246"/>
      <c r="NY20" s="246"/>
      <c r="NZ20" s="246"/>
      <c r="OA20" s="246"/>
      <c r="OB20" s="243">
        <f t="shared" si="87"/>
        <v>0</v>
      </c>
      <c r="OC20" s="246">
        <f t="shared" si="88"/>
        <v>0</v>
      </c>
      <c r="OD20" s="246"/>
      <c r="OE20" s="246"/>
      <c r="OF20" s="246"/>
      <c r="OG20" s="246"/>
      <c r="OH20" s="246"/>
      <c r="OI20" s="246"/>
      <c r="OJ20" s="243">
        <f t="shared" si="89"/>
        <v>0</v>
      </c>
      <c r="OK20" s="246">
        <f t="shared" si="124"/>
        <v>0</v>
      </c>
      <c r="OL20" s="246"/>
      <c r="OM20" s="246"/>
      <c r="ON20" s="246"/>
      <c r="OO20" s="246"/>
      <c r="OP20" s="246"/>
      <c r="OQ20" s="246"/>
      <c r="OR20" s="243">
        <f t="shared" si="90"/>
        <v>0</v>
      </c>
      <c r="OS20" s="246">
        <f t="shared" si="91"/>
        <v>0</v>
      </c>
      <c r="OT20" s="246"/>
      <c r="OU20" s="246"/>
      <c r="OV20" s="246"/>
      <c r="OW20" s="246"/>
      <c r="OX20" s="246"/>
      <c r="OY20" s="246"/>
      <c r="OZ20" s="243">
        <f t="shared" si="92"/>
        <v>0</v>
      </c>
      <c r="PA20" s="246">
        <v>0</v>
      </c>
      <c r="PB20" s="246"/>
      <c r="PC20" s="246"/>
      <c r="PD20" s="243">
        <f t="shared" si="93"/>
        <v>0</v>
      </c>
      <c r="PE20" s="246">
        <v>0</v>
      </c>
      <c r="PF20" s="246"/>
      <c r="PG20" s="246"/>
      <c r="PH20" s="246"/>
      <c r="PI20" s="246"/>
      <c r="PJ20" s="246"/>
      <c r="PK20" s="246"/>
      <c r="PL20" s="243">
        <f t="shared" si="94"/>
        <v>0</v>
      </c>
      <c r="PM20" s="276">
        <v>0</v>
      </c>
      <c r="PN20" s="246">
        <v>-18815</v>
      </c>
      <c r="PO20" s="246">
        <v>0</v>
      </c>
      <c r="PP20" s="246">
        <v>-68793.231564438305</v>
      </c>
      <c r="PQ20" s="246">
        <v>0</v>
      </c>
      <c r="PR20" s="246">
        <v>-129194.152683359</v>
      </c>
      <c r="PS20" s="246">
        <v>0</v>
      </c>
      <c r="PT20" s="243">
        <f t="shared" si="95"/>
        <v>0</v>
      </c>
      <c r="PU20" s="246"/>
      <c r="PV20" s="246"/>
      <c r="PW20" s="246"/>
      <c r="PX20" s="246"/>
      <c r="PY20" s="246"/>
      <c r="PZ20" s="246"/>
      <c r="QA20" s="246"/>
      <c r="QB20" s="243">
        <f t="shared" si="96"/>
        <v>0</v>
      </c>
      <c r="QC20" s="246"/>
      <c r="QD20" s="246"/>
      <c r="QE20" s="246"/>
      <c r="QF20" s="246"/>
      <c r="QG20" s="246"/>
      <c r="QH20" s="246"/>
      <c r="QI20" s="246"/>
      <c r="QJ20" s="243">
        <f t="shared" si="97"/>
        <v>0</v>
      </c>
      <c r="QK20" s="246"/>
      <c r="QL20" s="246"/>
      <c r="QM20" s="246"/>
      <c r="QN20" s="246"/>
      <c r="QO20" s="246"/>
      <c r="QP20" s="243">
        <f t="shared" si="98"/>
        <v>0</v>
      </c>
      <c r="QQ20" s="248"/>
      <c r="QR20" s="246"/>
      <c r="QS20" s="246"/>
      <c r="QT20" s="246"/>
      <c r="QU20" s="246"/>
      <c r="QV20" s="243">
        <f t="shared" si="99"/>
        <v>0</v>
      </c>
      <c r="QW20" s="246"/>
      <c r="QX20" s="246"/>
      <c r="QY20" s="246"/>
      <c r="QZ20" s="246"/>
      <c r="RA20" s="246"/>
      <c r="RB20" s="246"/>
      <c r="RC20" s="246"/>
      <c r="RD20" s="243">
        <f t="shared" si="100"/>
        <v>0</v>
      </c>
      <c r="RE20" s="300"/>
      <c r="RF20" s="259">
        <f t="shared" si="101"/>
        <v>693477.99148745567</v>
      </c>
      <c r="RG20" s="259">
        <f t="shared" si="11"/>
        <v>695411.92937000003</v>
      </c>
      <c r="RH20" s="259">
        <f t="shared" si="11"/>
        <v>834494.31524400017</v>
      </c>
      <c r="RI20" s="256">
        <f t="shared" si="12"/>
        <v>836293</v>
      </c>
    </row>
    <row r="21" spans="1:479">
      <c r="A21" s="5" t="s">
        <v>18</v>
      </c>
      <c r="B21" s="263"/>
      <c r="C21" s="246"/>
      <c r="D21" s="246"/>
      <c r="E21" s="246"/>
      <c r="F21" s="246"/>
      <c r="G21" s="246">
        <v>86.253200000000007</v>
      </c>
      <c r="H21" s="254">
        <f t="shared" si="13"/>
        <v>103.50384</v>
      </c>
      <c r="I21" s="246">
        <f t="shared" si="102"/>
        <v>0</v>
      </c>
      <c r="J21" s="263"/>
      <c r="K21" s="246"/>
      <c r="L21" s="246"/>
      <c r="M21" s="246"/>
      <c r="N21" s="246">
        <v>1300</v>
      </c>
      <c r="O21" s="246">
        <v>1600.7644400000001</v>
      </c>
      <c r="P21" s="243">
        <f t="shared" si="14"/>
        <v>1920.917328</v>
      </c>
      <c r="Q21" s="246">
        <v>1920</v>
      </c>
      <c r="R21" s="246"/>
      <c r="S21" s="246"/>
      <c r="T21" s="246">
        <v>0</v>
      </c>
      <c r="U21" s="246">
        <v>513.83006999999998</v>
      </c>
      <c r="V21" s="246">
        <v>3443.1191296453298</v>
      </c>
      <c r="W21" s="246">
        <v>0</v>
      </c>
      <c r="X21" s="243">
        <f t="shared" si="15"/>
        <v>0</v>
      </c>
      <c r="Y21" s="270">
        <v>0</v>
      </c>
      <c r="Z21" s="246"/>
      <c r="AA21" s="246"/>
      <c r="AB21" s="246"/>
      <c r="AC21" s="246"/>
      <c r="AD21" s="246"/>
      <c r="AE21" s="246"/>
      <c r="AF21" s="243">
        <f t="shared" si="16"/>
        <v>0</v>
      </c>
      <c r="AG21" s="246">
        <f t="shared" si="105"/>
        <v>0</v>
      </c>
      <c r="AH21" s="246"/>
      <c r="AI21" s="246"/>
      <c r="AJ21" s="246"/>
      <c r="AK21" s="246"/>
      <c r="AL21" s="246"/>
      <c r="AM21" s="246"/>
      <c r="AN21" s="243">
        <f t="shared" si="17"/>
        <v>0</v>
      </c>
      <c r="AO21" s="246">
        <f t="shared" si="106"/>
        <v>0</v>
      </c>
      <c r="AP21" s="246"/>
      <c r="AQ21" s="246"/>
      <c r="AR21" s="246"/>
      <c r="AS21" s="246"/>
      <c r="AT21" s="246">
        <v>400</v>
      </c>
      <c r="AU21" s="246">
        <v>105.82962000000001</v>
      </c>
      <c r="AV21" s="243">
        <f t="shared" si="18"/>
        <v>126.995544</v>
      </c>
      <c r="AW21" s="246">
        <v>127</v>
      </c>
      <c r="AX21" s="246"/>
      <c r="AY21" s="246"/>
      <c r="AZ21" s="246"/>
      <c r="BA21" s="246"/>
      <c r="BB21" s="246"/>
      <c r="BC21" s="246"/>
      <c r="BD21" s="243">
        <f t="shared" si="19"/>
        <v>0</v>
      </c>
      <c r="BE21" s="246">
        <f t="shared" si="108"/>
        <v>0</v>
      </c>
      <c r="BF21" s="246"/>
      <c r="BG21" s="246"/>
      <c r="BH21" s="246"/>
      <c r="BI21" s="246"/>
      <c r="BJ21" s="246"/>
      <c r="BK21" s="246"/>
      <c r="BL21" s="243">
        <f t="shared" si="20"/>
        <v>0</v>
      </c>
      <c r="BM21" s="246">
        <f t="shared" si="109"/>
        <v>0</v>
      </c>
      <c r="BN21" s="246"/>
      <c r="BO21" s="246"/>
      <c r="BP21" s="246"/>
      <c r="BQ21" s="246"/>
      <c r="BR21" s="246"/>
      <c r="BS21" s="246"/>
      <c r="BT21" s="243">
        <f t="shared" si="21"/>
        <v>0</v>
      </c>
      <c r="BU21" s="246">
        <f t="shared" si="110"/>
        <v>0</v>
      </c>
      <c r="BV21" s="246"/>
      <c r="BW21" s="246"/>
      <c r="BX21" s="246">
        <v>0</v>
      </c>
      <c r="BY21" s="246">
        <v>2903.6028000000001</v>
      </c>
      <c r="BZ21" s="246">
        <v>2041.4</v>
      </c>
      <c r="CA21" s="246">
        <v>5094.6854599999997</v>
      </c>
      <c r="CB21" s="243">
        <f t="shared" si="22"/>
        <v>6113.6225519999989</v>
      </c>
      <c r="CC21" s="246">
        <v>6112</v>
      </c>
      <c r="CD21" s="246"/>
      <c r="CE21" s="246"/>
      <c r="CF21" s="246"/>
      <c r="CG21" s="246"/>
      <c r="CH21" s="246"/>
      <c r="CI21" s="246"/>
      <c r="CJ21" s="243">
        <f t="shared" si="23"/>
        <v>0</v>
      </c>
      <c r="CK21" s="246">
        <f t="shared" si="112"/>
        <v>0</v>
      </c>
      <c r="CL21" s="246"/>
      <c r="CM21" s="246"/>
      <c r="CN21" s="246"/>
      <c r="CO21" s="246"/>
      <c r="CP21" s="246"/>
      <c r="CQ21" s="246"/>
      <c r="CR21" s="243">
        <f t="shared" si="24"/>
        <v>0</v>
      </c>
      <c r="CS21" s="246">
        <f t="shared" si="113"/>
        <v>0</v>
      </c>
      <c r="CT21" s="246"/>
      <c r="CU21" s="246"/>
      <c r="CV21" s="246"/>
      <c r="CW21" s="246"/>
      <c r="CX21" s="246"/>
      <c r="CY21" s="246"/>
      <c r="CZ21" s="243">
        <f t="shared" si="25"/>
        <v>0</v>
      </c>
      <c r="DA21" s="246">
        <f t="shared" si="114"/>
        <v>0</v>
      </c>
      <c r="DB21" s="246"/>
      <c r="DC21" s="246"/>
      <c r="DD21" s="246"/>
      <c r="DE21" s="246"/>
      <c r="DF21" s="246"/>
      <c r="DG21" s="246"/>
      <c r="DH21" s="243">
        <f t="shared" si="26"/>
        <v>0</v>
      </c>
      <c r="DI21" s="246">
        <f t="shared" si="27"/>
        <v>0</v>
      </c>
      <c r="DJ21" s="246"/>
      <c r="DK21" s="246"/>
      <c r="DL21" s="246"/>
      <c r="DM21" s="246"/>
      <c r="DN21" s="246"/>
      <c r="DO21" s="246"/>
      <c r="DP21" s="243">
        <f t="shared" si="28"/>
        <v>0</v>
      </c>
      <c r="DQ21" s="246">
        <f t="shared" si="29"/>
        <v>0</v>
      </c>
      <c r="DR21" s="246"/>
      <c r="DS21" s="246"/>
      <c r="DT21" s="246"/>
      <c r="DU21" s="246"/>
      <c r="DV21" s="246">
        <v>0</v>
      </c>
      <c r="DW21" s="246">
        <v>249.15575999999999</v>
      </c>
      <c r="DX21" s="243">
        <f t="shared" si="30"/>
        <v>298.98691199999996</v>
      </c>
      <c r="DY21" s="246">
        <v>298</v>
      </c>
      <c r="DZ21" s="246"/>
      <c r="EA21" s="246"/>
      <c r="EB21" s="246"/>
      <c r="EC21" s="246"/>
      <c r="ED21" s="246"/>
      <c r="EE21" s="246"/>
      <c r="EF21" s="243">
        <f t="shared" si="31"/>
        <v>0</v>
      </c>
      <c r="EG21" s="246">
        <f t="shared" si="116"/>
        <v>0</v>
      </c>
      <c r="EH21" s="246"/>
      <c r="EI21" s="246"/>
      <c r="EJ21" s="246"/>
      <c r="EK21" s="246"/>
      <c r="EL21" s="246"/>
      <c r="EM21" s="246"/>
      <c r="EN21" s="243">
        <f t="shared" si="32"/>
        <v>0</v>
      </c>
      <c r="EO21" s="246">
        <f t="shared" si="117"/>
        <v>0</v>
      </c>
      <c r="EP21" s="246"/>
      <c r="EQ21" s="246"/>
      <c r="ER21" s="246"/>
      <c r="ES21" s="246"/>
      <c r="ET21" s="246"/>
      <c r="EU21" s="246"/>
      <c r="EV21" s="243">
        <f t="shared" si="33"/>
        <v>0</v>
      </c>
      <c r="EW21" s="246">
        <f t="shared" si="34"/>
        <v>0</v>
      </c>
      <c r="EX21" s="246"/>
      <c r="EY21" s="246"/>
      <c r="EZ21" s="246">
        <v>0</v>
      </c>
      <c r="FA21" s="246">
        <v>57.302819999999997</v>
      </c>
      <c r="FB21" s="246">
        <v>0</v>
      </c>
      <c r="FC21" s="246">
        <v>262.46591999999998</v>
      </c>
      <c r="FD21" s="243">
        <f t="shared" si="35"/>
        <v>314.95910400000002</v>
      </c>
      <c r="FE21" s="246">
        <v>315</v>
      </c>
      <c r="FF21" s="246"/>
      <c r="FG21" s="246"/>
      <c r="FH21" s="246">
        <v>0</v>
      </c>
      <c r="FI21" s="246">
        <v>8384.6052300000028</v>
      </c>
      <c r="FJ21" s="246">
        <v>7087.279835511732</v>
      </c>
      <c r="FK21" s="246">
        <v>3872.8047300000026</v>
      </c>
      <c r="FL21" s="243">
        <f t="shared" si="37"/>
        <v>4647.3656760000031</v>
      </c>
      <c r="FM21" s="246">
        <v>4648</v>
      </c>
      <c r="FN21" s="246"/>
      <c r="FO21" s="246"/>
      <c r="FP21" s="246"/>
      <c r="FQ21" s="246"/>
      <c r="FR21" s="246"/>
      <c r="FS21" s="246"/>
      <c r="FT21" s="243">
        <f t="shared" si="38"/>
        <v>0</v>
      </c>
      <c r="FU21" s="246">
        <f t="shared" si="39"/>
        <v>0</v>
      </c>
      <c r="FV21" s="246"/>
      <c r="FW21" s="246"/>
      <c r="FX21" s="246"/>
      <c r="FY21" s="246"/>
      <c r="FZ21" s="246"/>
      <c r="GA21" s="246"/>
      <c r="GB21" s="243">
        <f t="shared" si="40"/>
        <v>0</v>
      </c>
      <c r="GC21" s="246">
        <f t="shared" si="41"/>
        <v>0</v>
      </c>
      <c r="GD21" s="246"/>
      <c r="GE21" s="246"/>
      <c r="GF21" s="246"/>
      <c r="GG21" s="246"/>
      <c r="GH21" s="246"/>
      <c r="GI21" s="246"/>
      <c r="GJ21" s="243">
        <f t="shared" si="42"/>
        <v>0</v>
      </c>
      <c r="GK21" s="246">
        <f t="shared" si="119"/>
        <v>0</v>
      </c>
      <c r="GL21" s="246"/>
      <c r="GM21" s="246"/>
      <c r="GN21" s="246"/>
      <c r="GO21" s="246"/>
      <c r="GP21" s="246"/>
      <c r="GQ21" s="246"/>
      <c r="GR21" s="243">
        <f t="shared" si="43"/>
        <v>0</v>
      </c>
      <c r="GS21" s="247">
        <f t="shared" si="44"/>
        <v>0</v>
      </c>
      <c r="GT21" s="246"/>
      <c r="GU21" s="246"/>
      <c r="GV21" s="246"/>
      <c r="GW21" s="246"/>
      <c r="GX21" s="246"/>
      <c r="GY21" s="246"/>
      <c r="GZ21" s="243">
        <f t="shared" si="45"/>
        <v>0</v>
      </c>
      <c r="HA21" s="246">
        <f t="shared" si="46"/>
        <v>0</v>
      </c>
      <c r="HB21" s="246"/>
      <c r="HC21" s="246"/>
      <c r="HD21" s="246"/>
      <c r="HE21" s="246"/>
      <c r="HF21" s="246"/>
      <c r="HG21" s="246"/>
      <c r="HH21" s="243">
        <f t="shared" si="47"/>
        <v>0</v>
      </c>
      <c r="HI21" s="246">
        <f t="shared" si="48"/>
        <v>0</v>
      </c>
      <c r="HJ21" s="246"/>
      <c r="HK21" s="246"/>
      <c r="HL21" s="246"/>
      <c r="HM21" s="246"/>
      <c r="HN21" s="246"/>
      <c r="HO21" s="246"/>
      <c r="HP21" s="243">
        <f t="shared" si="49"/>
        <v>0</v>
      </c>
      <c r="HQ21" s="246">
        <f t="shared" si="50"/>
        <v>0</v>
      </c>
      <c r="HR21" s="246"/>
      <c r="HS21" s="246"/>
      <c r="HT21" s="246"/>
      <c r="HU21" s="246"/>
      <c r="HV21" s="246"/>
      <c r="HW21" s="246"/>
      <c r="HX21" s="243">
        <f t="shared" si="51"/>
        <v>0</v>
      </c>
      <c r="HY21" s="246">
        <f t="shared" si="120"/>
        <v>0</v>
      </c>
      <c r="HZ21" s="246"/>
      <c r="IA21" s="246"/>
      <c r="IB21" s="246"/>
      <c r="IC21" s="246"/>
      <c r="ID21" s="246"/>
      <c r="IE21" s="246"/>
      <c r="IF21" s="243">
        <f t="shared" si="52"/>
        <v>0</v>
      </c>
      <c r="IG21" s="246">
        <f t="shared" si="121"/>
        <v>0</v>
      </c>
      <c r="IH21" s="246"/>
      <c r="II21" s="246"/>
      <c r="IJ21" s="246">
        <v>0</v>
      </c>
      <c r="IK21" s="246">
        <v>15377.514769999998</v>
      </c>
      <c r="IL21" s="246">
        <v>18312.529556840029</v>
      </c>
      <c r="IM21" s="246">
        <v>22206.535200000002</v>
      </c>
      <c r="IN21" s="243">
        <f t="shared" si="53"/>
        <v>26647.842240000005</v>
      </c>
      <c r="IO21" s="270">
        <v>26647</v>
      </c>
      <c r="IP21" s="246"/>
      <c r="IQ21" s="246"/>
      <c r="IR21" s="246"/>
      <c r="IS21" s="246"/>
      <c r="IT21" s="246"/>
      <c r="IU21" s="246"/>
      <c r="IV21" s="243">
        <f t="shared" si="54"/>
        <v>0</v>
      </c>
      <c r="IW21" s="246">
        <f t="shared" si="55"/>
        <v>0</v>
      </c>
      <c r="IX21" s="246"/>
      <c r="IY21" s="246"/>
      <c r="IZ21" s="246"/>
      <c r="JA21" s="246"/>
      <c r="JB21" s="246"/>
      <c r="JC21" s="246"/>
      <c r="JD21" s="243">
        <f t="shared" si="56"/>
        <v>0</v>
      </c>
      <c r="JE21" s="246">
        <f t="shared" si="57"/>
        <v>0</v>
      </c>
      <c r="JF21" s="246"/>
      <c r="JG21" s="246"/>
      <c r="JH21" s="246"/>
      <c r="JI21" s="246"/>
      <c r="JJ21" s="246"/>
      <c r="JK21" s="246"/>
      <c r="JL21" s="243">
        <f t="shared" si="58"/>
        <v>0</v>
      </c>
      <c r="JM21" s="246">
        <f t="shared" si="59"/>
        <v>0</v>
      </c>
      <c r="JN21" s="246"/>
      <c r="JO21" s="246"/>
      <c r="JP21" s="246"/>
      <c r="JQ21" s="246"/>
      <c r="JR21" s="246"/>
      <c r="JS21" s="246"/>
      <c r="JT21" s="243">
        <f t="shared" si="60"/>
        <v>0</v>
      </c>
      <c r="JU21" s="246">
        <f t="shared" si="61"/>
        <v>0</v>
      </c>
      <c r="JV21" s="246"/>
      <c r="JW21" s="246"/>
      <c r="JX21" s="246"/>
      <c r="JY21" s="246"/>
      <c r="JZ21" s="246"/>
      <c r="KA21" s="246"/>
      <c r="KB21" s="243">
        <f t="shared" si="62"/>
        <v>0</v>
      </c>
      <c r="KC21" s="246">
        <f t="shared" si="63"/>
        <v>0</v>
      </c>
      <c r="KD21" s="246"/>
      <c r="KE21" s="246"/>
      <c r="KF21" s="246"/>
      <c r="KG21" s="246"/>
      <c r="KH21" s="246"/>
      <c r="KI21" s="246"/>
      <c r="KJ21" s="243">
        <f t="shared" si="64"/>
        <v>0</v>
      </c>
      <c r="KK21" s="246">
        <f t="shared" si="65"/>
        <v>0</v>
      </c>
      <c r="KL21" s="246"/>
      <c r="KM21" s="246"/>
      <c r="KN21" s="246"/>
      <c r="KO21" s="246"/>
      <c r="KP21" s="246"/>
      <c r="KQ21" s="246"/>
      <c r="KR21" s="243">
        <f t="shared" si="66"/>
        <v>0</v>
      </c>
      <c r="KS21" s="246">
        <f t="shared" si="67"/>
        <v>0</v>
      </c>
      <c r="KT21" s="246"/>
      <c r="KU21" s="246"/>
      <c r="KV21" s="246"/>
      <c r="KW21" s="246"/>
      <c r="KX21" s="246"/>
      <c r="KY21" s="246"/>
      <c r="KZ21" s="243">
        <f t="shared" si="68"/>
        <v>0</v>
      </c>
      <c r="LA21" s="246">
        <f t="shared" si="69"/>
        <v>0</v>
      </c>
      <c r="LB21" s="246"/>
      <c r="LC21" s="246"/>
      <c r="LD21" s="246"/>
      <c r="LE21" s="246"/>
      <c r="LF21" s="246"/>
      <c r="LG21" s="246"/>
      <c r="LH21" s="243">
        <f t="shared" si="70"/>
        <v>0</v>
      </c>
      <c r="LI21" s="246">
        <f t="shared" si="71"/>
        <v>0</v>
      </c>
      <c r="LJ21" s="246"/>
      <c r="LK21" s="246"/>
      <c r="LL21" s="246"/>
      <c r="LM21" s="246"/>
      <c r="LN21" s="246"/>
      <c r="LO21" s="246"/>
      <c r="LP21" s="243">
        <f t="shared" si="72"/>
        <v>0</v>
      </c>
      <c r="LQ21" s="246">
        <f t="shared" si="73"/>
        <v>0</v>
      </c>
      <c r="LR21" s="246"/>
      <c r="LS21" s="246"/>
      <c r="LT21" s="244">
        <f t="shared" si="74"/>
        <v>0</v>
      </c>
      <c r="LU21" s="246"/>
      <c r="LV21" s="246"/>
      <c r="LW21" s="246"/>
      <c r="LX21" s="246"/>
      <c r="LY21" s="246"/>
      <c r="LZ21" s="246"/>
      <c r="MA21" s="246"/>
      <c r="MB21" s="243">
        <f t="shared" si="75"/>
        <v>0</v>
      </c>
      <c r="MC21" s="246">
        <f t="shared" si="76"/>
        <v>0</v>
      </c>
      <c r="MD21" s="246"/>
      <c r="ME21" s="246"/>
      <c r="MF21" s="246"/>
      <c r="MG21" s="246"/>
      <c r="MH21" s="246"/>
      <c r="MI21" s="246"/>
      <c r="MJ21" s="243">
        <f t="shared" si="77"/>
        <v>0</v>
      </c>
      <c r="MK21" s="246">
        <f t="shared" si="78"/>
        <v>0</v>
      </c>
      <c r="ML21" s="246"/>
      <c r="MM21" s="246"/>
      <c r="MN21" s="246"/>
      <c r="MO21" s="246"/>
      <c r="MP21" s="246"/>
      <c r="MQ21" s="246"/>
      <c r="MR21" s="243">
        <f t="shared" si="79"/>
        <v>0</v>
      </c>
      <c r="MS21" s="246">
        <f t="shared" si="80"/>
        <v>0</v>
      </c>
      <c r="MT21" s="246"/>
      <c r="MU21" s="246"/>
      <c r="MV21" s="246"/>
      <c r="MW21" s="246"/>
      <c r="MX21" s="246"/>
      <c r="MY21" s="246"/>
      <c r="MZ21" s="243">
        <f t="shared" si="81"/>
        <v>0</v>
      </c>
      <c r="NA21" s="246">
        <f t="shared" si="123"/>
        <v>0</v>
      </c>
      <c r="NB21" s="246"/>
      <c r="NC21" s="246"/>
      <c r="ND21" s="243">
        <f t="shared" si="82"/>
        <v>0</v>
      </c>
      <c r="NE21" s="248"/>
      <c r="NF21" s="246"/>
      <c r="NG21" s="246"/>
      <c r="NH21" s="246"/>
      <c r="NI21" s="246"/>
      <c r="NJ21" s="246"/>
      <c r="NK21" s="246"/>
      <c r="NL21" s="243">
        <f t="shared" si="83"/>
        <v>0</v>
      </c>
      <c r="NM21" s="246">
        <f t="shared" si="84"/>
        <v>0</v>
      </c>
      <c r="NN21" s="246"/>
      <c r="NO21" s="246"/>
      <c r="NP21" s="246"/>
      <c r="NQ21" s="246"/>
      <c r="NR21" s="246"/>
      <c r="NS21" s="246"/>
      <c r="NT21" s="243">
        <f t="shared" si="85"/>
        <v>0</v>
      </c>
      <c r="NU21" s="246">
        <f t="shared" si="86"/>
        <v>0</v>
      </c>
      <c r="NV21" s="246"/>
      <c r="NW21" s="246"/>
      <c r="NX21" s="246"/>
      <c r="NY21" s="246"/>
      <c r="NZ21" s="246"/>
      <c r="OA21" s="246"/>
      <c r="OB21" s="243">
        <f t="shared" si="87"/>
        <v>0</v>
      </c>
      <c r="OC21" s="246">
        <f t="shared" si="88"/>
        <v>0</v>
      </c>
      <c r="OD21" s="246"/>
      <c r="OE21" s="246"/>
      <c r="OF21" s="246"/>
      <c r="OG21" s="246"/>
      <c r="OH21" s="246"/>
      <c r="OI21" s="246"/>
      <c r="OJ21" s="243">
        <f t="shared" si="89"/>
        <v>0</v>
      </c>
      <c r="OK21" s="246">
        <f t="shared" si="124"/>
        <v>0</v>
      </c>
      <c r="OL21" s="246"/>
      <c r="OM21" s="246"/>
      <c r="ON21" s="246"/>
      <c r="OO21" s="246"/>
      <c r="OP21" s="246"/>
      <c r="OQ21" s="246"/>
      <c r="OR21" s="243">
        <f t="shared" si="90"/>
        <v>0</v>
      </c>
      <c r="OS21" s="246">
        <f t="shared" si="91"/>
        <v>0</v>
      </c>
      <c r="OT21" s="246"/>
      <c r="OU21" s="246"/>
      <c r="OV21" s="246"/>
      <c r="OW21" s="246"/>
      <c r="OX21" s="246"/>
      <c r="OY21" s="246"/>
      <c r="OZ21" s="243">
        <f t="shared" si="92"/>
        <v>0</v>
      </c>
      <c r="PA21" s="246">
        <v>0</v>
      </c>
      <c r="PB21" s="246"/>
      <c r="PC21" s="246"/>
      <c r="PD21" s="243">
        <f t="shared" si="93"/>
        <v>0</v>
      </c>
      <c r="PE21" s="246">
        <v>0</v>
      </c>
      <c r="PF21" s="246"/>
      <c r="PG21" s="246"/>
      <c r="PH21" s="246"/>
      <c r="PI21" s="246"/>
      <c r="PJ21" s="246"/>
      <c r="PK21" s="246"/>
      <c r="PL21" s="243">
        <f t="shared" si="94"/>
        <v>0</v>
      </c>
      <c r="PM21" s="276">
        <v>0</v>
      </c>
      <c r="PN21" s="246"/>
      <c r="PO21" s="246"/>
      <c r="PP21" s="246"/>
      <c r="PQ21" s="246"/>
      <c r="PR21" s="246">
        <v>-3708</v>
      </c>
      <c r="PS21" s="246">
        <v>0</v>
      </c>
      <c r="PT21" s="243">
        <f t="shared" si="95"/>
        <v>0</v>
      </c>
      <c r="PU21" s="246"/>
      <c r="PV21" s="246"/>
      <c r="PW21" s="246"/>
      <c r="PX21" s="246"/>
      <c r="PY21" s="246"/>
      <c r="PZ21" s="246"/>
      <c r="QA21" s="246"/>
      <c r="QB21" s="243">
        <f t="shared" si="96"/>
        <v>0</v>
      </c>
      <c r="QC21" s="246"/>
      <c r="QD21" s="246"/>
      <c r="QE21" s="246"/>
      <c r="QF21" s="246"/>
      <c r="QG21" s="246"/>
      <c r="QH21" s="246"/>
      <c r="QI21" s="246"/>
      <c r="QJ21" s="243">
        <f t="shared" si="97"/>
        <v>0</v>
      </c>
      <c r="QK21" s="246"/>
      <c r="QL21" s="246"/>
      <c r="QM21" s="246"/>
      <c r="QN21" s="246"/>
      <c r="QO21" s="246"/>
      <c r="QP21" s="243">
        <f t="shared" si="98"/>
        <v>0</v>
      </c>
      <c r="QQ21" s="248"/>
      <c r="QR21" s="246"/>
      <c r="QS21" s="246"/>
      <c r="QT21" s="246"/>
      <c r="QU21" s="246"/>
      <c r="QV21" s="243">
        <f t="shared" si="99"/>
        <v>0</v>
      </c>
      <c r="QW21" s="246"/>
      <c r="QX21" s="246"/>
      <c r="QY21" s="246"/>
      <c r="QZ21" s="246"/>
      <c r="RA21" s="246"/>
      <c r="RB21" s="246"/>
      <c r="RC21" s="246"/>
      <c r="RD21" s="243">
        <f t="shared" si="100"/>
        <v>0</v>
      </c>
      <c r="RE21" s="300"/>
      <c r="RF21" s="259">
        <f t="shared" si="101"/>
        <v>28876.328521997089</v>
      </c>
      <c r="RG21" s="259">
        <f t="shared" ref="RG21:RG23" si="125">RC21+QU21+QO21+QI21+QA21+PS21+PK21+PC21+OY21+OQ21+OI21+OA21+NS21+NK21+NC21+MY21+MQ21+MI21+MA21+LS21+LO21+LG21+KY21+KQ21+KI21+KA21+JS21+JK21+JC21+IU21+IM21+IE21+HW21+HO21+HG21+GY21+GQ21+GI21+GA21+FS21+FK21+FC21+EU21+EM21+EE21+DW21+DO21+DG21+CY21+CQ21+CI21+CA21+BS21+BK21+BC21+AU21+AM21+AE21+W21+O21+G21</f>
        <v>33478.494330000009</v>
      </c>
      <c r="RH21" s="259">
        <f t="shared" ref="RH21:RH23" si="126">RD21+QV21+QP21+QJ21+QB21+PT21+PL21+PD21+OZ21+OR21+OJ21+OB21+NT21+NL21+ND21+MZ21+MR21+MJ21+MB21+LT21+LP21+LH21+KZ21+KR21+KJ21+KB21+JT21+JL21+JD21+IV21+IN21+IF21+HX21+HP21+HH21+GZ21+GR21+GJ21+GB21+FT21+FL21+FD21+EV21+EN21+EF21+DX21+DP21+DH21+CZ21+CR21+CJ21+CB21+BT21+BL21+BD21+AV21+AN21+AF21+X21+P21+H21</f>
        <v>40174.193196000007</v>
      </c>
      <c r="RI21" s="256">
        <f t="shared" ref="RI21:RI23" si="127">RE21+QW21+QQ21+QK21+QC21+PU21+PM21+PE21+PA21+OS21+OK21+OC21+NU21+NM21+NE21+NA21+MS21+MK21+MC21+LU21+LQ21+LI21+LA21+KS21+KK21+KC21+JU21+JM21+JE21+IW21+IO21+IG21+HY21+HQ21+HI21+HA21+GS21+GK21+GC21+FU21+FM21+FE21+EW21+EO21+EG21+DY21+DQ21+DI21+DA21+CS21+CK21+CC21+BU21+BM21+BE21+AW21+AO21+AG21+Y21+Q21+I21</f>
        <v>40067</v>
      </c>
    </row>
    <row r="22" spans="1:479">
      <c r="A22" s="5" t="s">
        <v>16</v>
      </c>
      <c r="B22" s="263">
        <v>141.61874765479999</v>
      </c>
      <c r="C22" s="246">
        <v>139.001419999999</v>
      </c>
      <c r="D22" s="246">
        <v>132.985603299464</v>
      </c>
      <c r="E22" s="246">
        <v>147.27146999999999</v>
      </c>
      <c r="F22" s="246">
        <v>148.459208608675</v>
      </c>
      <c r="G22" s="246">
        <v>126.40076999999999</v>
      </c>
      <c r="H22" s="254">
        <f t="shared" si="13"/>
        <v>151.680924</v>
      </c>
      <c r="I22" s="246">
        <f>E22/115*110+14</f>
        <v>154.86836260869566</v>
      </c>
      <c r="J22" s="263">
        <v>147.584020930039</v>
      </c>
      <c r="K22" s="246">
        <v>145.58625999999902</v>
      </c>
      <c r="L22" s="246">
        <v>139.28545922921199</v>
      </c>
      <c r="M22" s="246">
        <v>160.56819000000002</v>
      </c>
      <c r="N22" s="246">
        <v>162.05054460805999</v>
      </c>
      <c r="O22" s="246">
        <v>138.74016</v>
      </c>
      <c r="P22" s="243">
        <f t="shared" si="14"/>
        <v>166.48819200000003</v>
      </c>
      <c r="Q22" s="246">
        <f>M22/115*110+16</f>
        <v>169.5869643478261</v>
      </c>
      <c r="R22" s="246">
        <v>161.26016369494701</v>
      </c>
      <c r="S22" s="246">
        <v>159.124979999998</v>
      </c>
      <c r="T22" s="246">
        <v>152.238239474929</v>
      </c>
      <c r="U22" s="246">
        <v>156.36211999999998</v>
      </c>
      <c r="V22" s="246">
        <v>158.91408245435599</v>
      </c>
      <c r="W22" s="246">
        <v>134.71337</v>
      </c>
      <c r="X22" s="243">
        <f t="shared" si="15"/>
        <v>161.65604400000001</v>
      </c>
      <c r="Y22" s="246">
        <f>U22/115*110+15</f>
        <v>164.56376695652173</v>
      </c>
      <c r="Z22" s="246">
        <v>338.15319078963103</v>
      </c>
      <c r="AA22" s="246">
        <v>307.03353999999797</v>
      </c>
      <c r="AB22" s="246">
        <v>293.74549231274102</v>
      </c>
      <c r="AC22" s="246">
        <v>314.97825</v>
      </c>
      <c r="AD22" s="246">
        <v>322.31910851762302</v>
      </c>
      <c r="AE22" s="246">
        <v>254.04341999999997</v>
      </c>
      <c r="AF22" s="243">
        <f t="shared" si="16"/>
        <v>304.85210399999994</v>
      </c>
      <c r="AG22" s="246">
        <v>290</v>
      </c>
      <c r="AH22" s="246">
        <v>285.67019092571297</v>
      </c>
      <c r="AI22" s="246">
        <v>279.61144999999902</v>
      </c>
      <c r="AJ22" s="246">
        <v>267.51019786479998</v>
      </c>
      <c r="AK22" s="246">
        <v>283.73850999999996</v>
      </c>
      <c r="AL22" s="246">
        <v>289.60000552537304</v>
      </c>
      <c r="AM22" s="246">
        <v>238.34408999999999</v>
      </c>
      <c r="AN22" s="243">
        <f t="shared" si="17"/>
        <v>286.01290800000004</v>
      </c>
      <c r="AO22" s="246">
        <f>AK22/115*110+15+4</f>
        <v>290.40205304347825</v>
      </c>
      <c r="AP22" s="246">
        <v>323.44416157539297</v>
      </c>
      <c r="AQ22" s="246">
        <v>279.82059999999899</v>
      </c>
      <c r="AR22" s="246">
        <v>267.71029610070201</v>
      </c>
      <c r="AS22" s="246">
        <v>283.10723000000002</v>
      </c>
      <c r="AT22" s="246">
        <v>286.46354337166997</v>
      </c>
      <c r="AU22" s="246">
        <v>231.81754000000001</v>
      </c>
      <c r="AV22" s="243">
        <f t="shared" si="18"/>
        <v>278.18104800000003</v>
      </c>
      <c r="AW22" s="246">
        <f>AS22/115*110+9</f>
        <v>279.79822000000001</v>
      </c>
      <c r="AX22" s="246">
        <v>783.37599152075393</v>
      </c>
      <c r="AY22" s="246">
        <v>662.60240999999894</v>
      </c>
      <c r="AZ22" s="246">
        <v>633.92576307155196</v>
      </c>
      <c r="BA22" s="246">
        <v>726.72677999999996</v>
      </c>
      <c r="BB22" s="246">
        <v>722.431782736581</v>
      </c>
      <c r="BC22" s="246">
        <v>607.56477000000007</v>
      </c>
      <c r="BD22" s="243">
        <f t="shared" si="19"/>
        <v>729.07772399999999</v>
      </c>
      <c r="BE22" s="246">
        <f>738-10</f>
        <v>728</v>
      </c>
      <c r="BF22" s="246">
        <v>366.43357545566602</v>
      </c>
      <c r="BG22" s="246">
        <v>466.09693999999894</v>
      </c>
      <c r="BH22" s="246">
        <v>759.99999999998397</v>
      </c>
      <c r="BI22" s="246">
        <v>798.93216999999993</v>
      </c>
      <c r="BJ22" s="246">
        <v>799.79784919462304</v>
      </c>
      <c r="BK22" s="246">
        <v>559.03509999999994</v>
      </c>
      <c r="BL22" s="243">
        <f t="shared" si="20"/>
        <v>670.84212000000002</v>
      </c>
      <c r="BM22" s="246">
        <f>BI22/115*110-94</f>
        <v>670.19598869565209</v>
      </c>
      <c r="BN22" s="246">
        <v>567.05084023028098</v>
      </c>
      <c r="BO22" s="246">
        <v>293.360039999999</v>
      </c>
      <c r="BP22" s="246">
        <v>280.66376518567301</v>
      </c>
      <c r="BQ22" s="246">
        <v>434.43230999999992</v>
      </c>
      <c r="BR22" s="246">
        <v>455.83249967170798</v>
      </c>
      <c r="BS22" s="246">
        <v>260.15567000000004</v>
      </c>
      <c r="BT22" s="243">
        <f t="shared" si="21"/>
        <v>312.18680400000005</v>
      </c>
      <c r="BU22" s="246">
        <f>BQ22/115*110-101</f>
        <v>314.54394869565209</v>
      </c>
      <c r="BV22" s="246">
        <v>408.04091383464896</v>
      </c>
      <c r="BW22" s="246">
        <v>397.29569999999802</v>
      </c>
      <c r="BX22" s="246">
        <v>380.101213014824</v>
      </c>
      <c r="BY22" s="246">
        <v>383.29291999999998</v>
      </c>
      <c r="BZ22" s="246">
        <v>397.285206135892</v>
      </c>
      <c r="CA22" s="246">
        <v>327.02084000000002</v>
      </c>
      <c r="CB22" s="243">
        <f t="shared" si="22"/>
        <v>392.42500799999999</v>
      </c>
      <c r="CC22" s="246">
        <f t="shared" si="111"/>
        <v>366.6280104347826</v>
      </c>
      <c r="CD22" s="246">
        <v>258.18543857716196</v>
      </c>
      <c r="CE22" s="246">
        <v>242.95456999999902</v>
      </c>
      <c r="CF22" s="246">
        <v>232.43978418214499</v>
      </c>
      <c r="CG22" s="246">
        <v>240.57325000000003</v>
      </c>
      <c r="CH22" s="246">
        <v>242.55307321980598</v>
      </c>
      <c r="CI22" s="246">
        <v>219.01021</v>
      </c>
      <c r="CJ22" s="243">
        <f t="shared" si="23"/>
        <v>262.812252</v>
      </c>
      <c r="CK22" s="246">
        <f>CG22/115*110+11</f>
        <v>241.11354347826091</v>
      </c>
      <c r="CL22" s="246">
        <v>102.35574733398501</v>
      </c>
      <c r="CM22" s="246">
        <v>102.27654999999901</v>
      </c>
      <c r="CN22" s="246">
        <v>97.850142143423</v>
      </c>
      <c r="CO22" s="246">
        <v>94.993499999999997</v>
      </c>
      <c r="CP22" s="246">
        <v>97.230326764835993</v>
      </c>
      <c r="CQ22" s="246">
        <v>80.828040000000001</v>
      </c>
      <c r="CR22" s="243">
        <f t="shared" si="24"/>
        <v>96.993647999999993</v>
      </c>
      <c r="CS22" s="246">
        <f t="shared" si="113"/>
        <v>90.863347826086951</v>
      </c>
      <c r="CT22" s="246">
        <v>149.515707689967</v>
      </c>
      <c r="CU22" s="246">
        <v>140.60604999999802</v>
      </c>
      <c r="CV22" s="246">
        <v>134.52078681501601</v>
      </c>
      <c r="CW22" s="246">
        <v>139.87569999999999</v>
      </c>
      <c r="CX22" s="246">
        <v>149.504695993242</v>
      </c>
      <c r="CY22" s="246">
        <v>110.73924000000002</v>
      </c>
      <c r="CZ22" s="243">
        <f t="shared" si="25"/>
        <v>132.88708800000001</v>
      </c>
      <c r="DA22" s="246">
        <f t="shared" si="114"/>
        <v>133.79414782608694</v>
      </c>
      <c r="DB22" s="246">
        <v>56.396107639848999</v>
      </c>
      <c r="DC22" s="246">
        <v>51.260659999999007</v>
      </c>
      <c r="DD22" s="246">
        <v>49.042159393974003</v>
      </c>
      <c r="DE22" s="246">
        <v>44.618859999999998</v>
      </c>
      <c r="DF22" s="246">
        <v>46.001444920997997</v>
      </c>
      <c r="DG22" s="246">
        <v>64.807169999999999</v>
      </c>
      <c r="DH22" s="243">
        <f t="shared" si="26"/>
        <v>77.768604000000011</v>
      </c>
      <c r="DI22" s="246">
        <f>DE22/115*110+35+3</f>
        <v>80.678909565217396</v>
      </c>
      <c r="DJ22" s="246"/>
      <c r="DK22" s="246"/>
      <c r="DL22" s="246"/>
      <c r="DM22" s="246"/>
      <c r="DN22" s="246"/>
      <c r="DO22" s="246"/>
      <c r="DP22" s="243">
        <f t="shared" si="28"/>
        <v>0</v>
      </c>
      <c r="DQ22" s="246">
        <f t="shared" si="29"/>
        <v>0</v>
      </c>
      <c r="DR22" s="246">
        <v>153.53362100097598</v>
      </c>
      <c r="DS22" s="246">
        <v>172.88974999999704</v>
      </c>
      <c r="DT22" s="246">
        <v>165.40728654457899</v>
      </c>
      <c r="DU22" s="246">
        <v>167.73877999999999</v>
      </c>
      <c r="DV22" s="246">
        <v>172.50541845374102</v>
      </c>
      <c r="DW22" s="246">
        <v>148.19110000000001</v>
      </c>
      <c r="DX22" s="243">
        <f t="shared" si="30"/>
        <v>177.82932</v>
      </c>
      <c r="DY22" s="246">
        <f>DU22/115*110+20</f>
        <v>180.44578956521738</v>
      </c>
      <c r="DZ22" s="246">
        <v>13.922779073685998</v>
      </c>
      <c r="EA22" s="246">
        <v>3.3948</v>
      </c>
      <c r="EB22" s="246">
        <v>3.2478770798240002</v>
      </c>
      <c r="EC22" s="246">
        <v>3.1785999999999999</v>
      </c>
      <c r="ED22" s="246">
        <v>2.6591935786120002</v>
      </c>
      <c r="EE22" s="246">
        <v>2.6852500000000004</v>
      </c>
      <c r="EF22" s="243">
        <f t="shared" si="31"/>
        <v>3.2223000000000002</v>
      </c>
      <c r="EG22" s="246">
        <f t="shared" si="116"/>
        <v>3.0404</v>
      </c>
      <c r="EH22" s="246">
        <v>1.370033470629</v>
      </c>
      <c r="EI22" s="246">
        <v>3.2406999999999999</v>
      </c>
      <c r="EJ22" s="246">
        <v>3.1004463451689999</v>
      </c>
      <c r="EK22" s="246">
        <v>1.6974</v>
      </c>
      <c r="EL22" s="246">
        <v>3.1364621537020003</v>
      </c>
      <c r="EM22" s="246">
        <v>4.3297500000000007</v>
      </c>
      <c r="EN22" s="243">
        <f t="shared" si="32"/>
        <v>5.1957000000000004</v>
      </c>
      <c r="EO22" s="246">
        <f>EK22/115*110+3</f>
        <v>4.6235999999999997</v>
      </c>
      <c r="EP22" s="246">
        <v>0.98775375318799996</v>
      </c>
      <c r="EQ22" s="246">
        <v>0</v>
      </c>
      <c r="ER22" s="246"/>
      <c r="ES22" s="246"/>
      <c r="ET22" s="246"/>
      <c r="EU22" s="246"/>
      <c r="EV22" s="243">
        <f t="shared" si="33"/>
        <v>0</v>
      </c>
      <c r="EW22" s="246">
        <f t="shared" si="34"/>
        <v>0</v>
      </c>
      <c r="EX22" s="246">
        <v>16.786690278470999</v>
      </c>
      <c r="EY22" s="246">
        <v>29.401559999999996</v>
      </c>
      <c r="EZ22" s="246">
        <v>28.129095332588999</v>
      </c>
      <c r="FA22" s="246">
        <v>35.787669999999999</v>
      </c>
      <c r="FB22" s="246">
        <v>39.728520613588998</v>
      </c>
      <c r="FC22" s="246">
        <v>12.475850000000001</v>
      </c>
      <c r="FD22" s="243">
        <f t="shared" si="35"/>
        <v>14.971020000000003</v>
      </c>
      <c r="FE22" s="246">
        <f>FA22/115*110-15</f>
        <v>19.231684347826082</v>
      </c>
      <c r="FF22" s="246">
        <v>81.216263717605003</v>
      </c>
      <c r="FG22" s="246">
        <v>61.724429999998996</v>
      </c>
      <c r="FH22" s="246">
        <v>59.053069830981002</v>
      </c>
      <c r="FI22" s="246">
        <v>81.910930000000008</v>
      </c>
      <c r="FJ22" s="246">
        <v>81.548015996312984</v>
      </c>
      <c r="FK22" s="246">
        <v>54.299330000000005</v>
      </c>
      <c r="FL22" s="243">
        <f t="shared" si="37"/>
        <v>65.159196000000009</v>
      </c>
      <c r="FM22" s="246">
        <f>FI22/115*110-8</f>
        <v>70.349585217391308</v>
      </c>
      <c r="FN22" s="246"/>
      <c r="FO22" s="246"/>
      <c r="FP22" s="246"/>
      <c r="FQ22" s="246"/>
      <c r="FR22" s="246">
        <v>0</v>
      </c>
      <c r="FS22" s="246">
        <v>0.41399999999999998</v>
      </c>
      <c r="FT22" s="243">
        <f t="shared" si="38"/>
        <v>0.49680000000000002</v>
      </c>
      <c r="FU22" s="246">
        <v>1</v>
      </c>
      <c r="FV22" s="246">
        <v>0</v>
      </c>
      <c r="FW22" s="246">
        <v>18.432200000000002</v>
      </c>
      <c r="FX22" s="246">
        <v>17.634476231511002</v>
      </c>
      <c r="FY22" s="246">
        <v>43.815000000000005</v>
      </c>
      <c r="FZ22" s="246">
        <v>48.092419690134001</v>
      </c>
      <c r="GA22" s="246">
        <v>46.1571</v>
      </c>
      <c r="GB22" s="243">
        <f t="shared" si="40"/>
        <v>55.38852</v>
      </c>
      <c r="GC22" s="246">
        <f>FY22/115*110+13</f>
        <v>54.910000000000004</v>
      </c>
      <c r="GD22" s="246">
        <v>97.237959967284993</v>
      </c>
      <c r="GE22" s="246">
        <v>94.801549999998997</v>
      </c>
      <c r="GF22" s="246">
        <v>90.698651283377998</v>
      </c>
      <c r="GG22" s="246">
        <v>93.900999999999996</v>
      </c>
      <c r="GH22" s="246">
        <v>96.184839380266993</v>
      </c>
      <c r="GI22" s="246">
        <v>86.836790000000008</v>
      </c>
      <c r="GJ22" s="243">
        <f t="shared" si="42"/>
        <v>104.20414800000002</v>
      </c>
      <c r="GK22" s="246">
        <f t="shared" si="119"/>
        <v>89.818347826086949</v>
      </c>
      <c r="GL22" s="246"/>
      <c r="GM22" s="246"/>
      <c r="GN22" s="246"/>
      <c r="GO22" s="246"/>
      <c r="GP22" s="246">
        <v>0</v>
      </c>
      <c r="GQ22" s="246">
        <v>0.41399999999999998</v>
      </c>
      <c r="GR22" s="243">
        <f t="shared" si="43"/>
        <v>0.49680000000000002</v>
      </c>
      <c r="GS22" s="247">
        <f t="shared" si="44"/>
        <v>0</v>
      </c>
      <c r="GT22" s="246">
        <v>13.349172054103001</v>
      </c>
      <c r="GU22" s="246">
        <v>1.9136</v>
      </c>
      <c r="GV22" s="246">
        <v>1.8307816601710001</v>
      </c>
      <c r="GW22" s="246">
        <v>0</v>
      </c>
      <c r="GX22" s="246">
        <v>0</v>
      </c>
      <c r="GY22" s="246">
        <v>4.9610000000000003</v>
      </c>
      <c r="GZ22" s="243">
        <f t="shared" si="45"/>
        <v>5.9532000000000007</v>
      </c>
      <c r="HA22" s="246">
        <f>GW22/115*110+7</f>
        <v>7</v>
      </c>
      <c r="HB22" s="246">
        <v>2.0471149466790002</v>
      </c>
      <c r="HC22" s="246">
        <v>6.0179</v>
      </c>
      <c r="HD22" s="246">
        <v>5.7574524209589999</v>
      </c>
      <c r="HE22" s="246">
        <v>2.7152399999999997</v>
      </c>
      <c r="HF22" s="246">
        <v>1.6773855616910001</v>
      </c>
      <c r="HG22" s="246">
        <v>0</v>
      </c>
      <c r="HH22" s="243">
        <f t="shared" si="47"/>
        <v>0</v>
      </c>
      <c r="HI22" s="246">
        <f>HE22/115*110-1</f>
        <v>1.5971860869565213</v>
      </c>
      <c r="HJ22" s="246">
        <v>4.5640913396169998</v>
      </c>
      <c r="HK22" s="246">
        <v>0</v>
      </c>
      <c r="HL22" s="246"/>
      <c r="HM22" s="246"/>
      <c r="HN22" s="246"/>
      <c r="HO22" s="246"/>
      <c r="HP22" s="243">
        <f t="shared" si="49"/>
        <v>0</v>
      </c>
      <c r="HQ22" s="246">
        <f t="shared" si="50"/>
        <v>0</v>
      </c>
      <c r="HR22" s="246">
        <v>38.895183986913999</v>
      </c>
      <c r="HS22" s="246">
        <v>34.194920000000003</v>
      </c>
      <c r="HT22" s="246">
        <v>32.715004393313997</v>
      </c>
      <c r="HU22" s="246">
        <v>35.520060000000001</v>
      </c>
      <c r="HV22" s="246">
        <v>35.994551875814999</v>
      </c>
      <c r="HW22" s="246">
        <v>28.598669999999998</v>
      </c>
      <c r="HX22" s="243">
        <f t="shared" si="51"/>
        <v>34.318404000000001</v>
      </c>
      <c r="HY22" s="246">
        <f t="shared" si="120"/>
        <v>33.975709565217393</v>
      </c>
      <c r="HZ22" s="246">
        <v>21.025383651873998</v>
      </c>
      <c r="IA22" s="246">
        <v>14.071399999998999</v>
      </c>
      <c r="IB22" s="246">
        <v>13.462406486696</v>
      </c>
      <c r="IC22" s="246">
        <v>17.077500000000001</v>
      </c>
      <c r="ID22" s="246">
        <v>19.285142619672001</v>
      </c>
      <c r="IE22" s="246">
        <v>15.318</v>
      </c>
      <c r="IF22" s="243">
        <f t="shared" si="52"/>
        <v>18.381599999999999</v>
      </c>
      <c r="IG22" s="246">
        <f>IC22/115*110+2</f>
        <v>18.335000000000001</v>
      </c>
      <c r="IH22" s="246">
        <v>71.256153001496997</v>
      </c>
      <c r="II22" s="246">
        <v>61.354140000000001</v>
      </c>
      <c r="IJ22" s="246">
        <v>58.698805543278993</v>
      </c>
      <c r="IK22" s="246">
        <v>62.43582</v>
      </c>
      <c r="IL22" s="246">
        <v>64.820217843224</v>
      </c>
      <c r="IM22" s="246">
        <v>60.273589999999992</v>
      </c>
      <c r="IN22" s="243">
        <f t="shared" si="53"/>
        <v>72.328307999999993</v>
      </c>
      <c r="IO22" s="270">
        <f>IK22/115*110+12</f>
        <v>71.721219130434775</v>
      </c>
      <c r="IP22" s="246"/>
      <c r="IQ22" s="246"/>
      <c r="IR22" s="246"/>
      <c r="IS22" s="246"/>
      <c r="IT22" s="246"/>
      <c r="IU22" s="246"/>
      <c r="IV22" s="243">
        <f t="shared" si="54"/>
        <v>0</v>
      </c>
      <c r="IW22" s="246">
        <f t="shared" si="55"/>
        <v>0</v>
      </c>
      <c r="IX22" s="246">
        <v>31.104016847905999</v>
      </c>
      <c r="IY22" s="246">
        <v>488.40674000000007</v>
      </c>
      <c r="IZ22" s="246">
        <v>467.269075196676</v>
      </c>
      <c r="JA22" s="246">
        <v>31.197279999999999</v>
      </c>
      <c r="JB22" s="246">
        <v>32.488162308602</v>
      </c>
      <c r="JC22" s="246">
        <v>26.114669999999997</v>
      </c>
      <c r="JD22" s="243">
        <f t="shared" si="56"/>
        <v>31.337603999999999</v>
      </c>
      <c r="JE22" s="246">
        <f t="shared" si="57"/>
        <v>29.840876521739126</v>
      </c>
      <c r="JF22" s="246"/>
      <c r="JG22" s="246"/>
      <c r="JH22" s="246"/>
      <c r="JI22" s="246"/>
      <c r="JJ22" s="246"/>
      <c r="JK22" s="246"/>
      <c r="JL22" s="243">
        <f t="shared" si="58"/>
        <v>0</v>
      </c>
      <c r="JM22" s="246">
        <f t="shared" si="59"/>
        <v>0</v>
      </c>
      <c r="JN22" s="246"/>
      <c r="JO22" s="246"/>
      <c r="JP22" s="246"/>
      <c r="JQ22" s="246"/>
      <c r="JR22" s="246"/>
      <c r="JS22" s="246"/>
      <c r="JT22" s="243">
        <f t="shared" si="60"/>
        <v>0</v>
      </c>
      <c r="JU22" s="246">
        <f t="shared" si="61"/>
        <v>0</v>
      </c>
      <c r="JV22" s="246"/>
      <c r="JW22" s="246"/>
      <c r="JX22" s="246">
        <v>0</v>
      </c>
      <c r="JY22" s="246">
        <v>-1.7181999999999999</v>
      </c>
      <c r="JZ22" s="246"/>
      <c r="KA22" s="246"/>
      <c r="KB22" s="243">
        <f t="shared" si="62"/>
        <v>0</v>
      </c>
      <c r="KC22" s="246">
        <f>JY22/115*110+2</f>
        <v>0.35650434782608698</v>
      </c>
      <c r="KD22" s="246">
        <v>0.90477446321900001</v>
      </c>
      <c r="KE22" s="246">
        <v>0.43802000000000002</v>
      </c>
      <c r="KF22" s="246">
        <v>0.41906301357999998</v>
      </c>
      <c r="KG22" s="246">
        <v>0</v>
      </c>
      <c r="KH22" s="246">
        <v>0</v>
      </c>
      <c r="KI22" s="246">
        <v>1.3552</v>
      </c>
      <c r="KJ22" s="243">
        <f t="shared" si="64"/>
        <v>1.6262400000000001</v>
      </c>
      <c r="KK22" s="246">
        <f t="shared" si="65"/>
        <v>0</v>
      </c>
      <c r="KL22" s="246"/>
      <c r="KM22" s="246"/>
      <c r="KN22" s="246"/>
      <c r="KO22" s="246"/>
      <c r="KP22" s="246"/>
      <c r="KQ22" s="246"/>
      <c r="KR22" s="243">
        <f t="shared" si="66"/>
        <v>0</v>
      </c>
      <c r="KS22" s="246">
        <f t="shared" si="67"/>
        <v>0</v>
      </c>
      <c r="KT22" s="246">
        <v>0</v>
      </c>
      <c r="KU22" s="246">
        <v>2.6571599999999997</v>
      </c>
      <c r="KV22" s="246">
        <v>2.5421612647059999</v>
      </c>
      <c r="KW22" s="246">
        <v>0.88571999999999995</v>
      </c>
      <c r="KX22" s="246">
        <v>1.0454873845679999</v>
      </c>
      <c r="KY22" s="246">
        <v>0.94379999999999997</v>
      </c>
      <c r="KZ22" s="243">
        <f t="shared" si="68"/>
        <v>1.1325599999999998</v>
      </c>
      <c r="LA22" s="246">
        <f t="shared" si="69"/>
        <v>0.8472104347826086</v>
      </c>
      <c r="LB22" s="246">
        <v>0</v>
      </c>
      <c r="LC22" s="246">
        <v>0.78602000000000005</v>
      </c>
      <c r="LD22" s="246">
        <v>0.75200198606199997</v>
      </c>
      <c r="LE22" s="246">
        <v>0</v>
      </c>
      <c r="LF22" s="246">
        <v>0</v>
      </c>
      <c r="LG22" s="246">
        <v>0.41399999999999998</v>
      </c>
      <c r="LH22" s="243">
        <f t="shared" si="70"/>
        <v>0.49680000000000002</v>
      </c>
      <c r="LI22" s="246">
        <v>1</v>
      </c>
      <c r="LJ22" s="246">
        <v>3.7925545678089998</v>
      </c>
      <c r="LK22" s="246">
        <v>0</v>
      </c>
      <c r="LL22" s="246"/>
      <c r="LM22" s="246"/>
      <c r="LN22" s="246"/>
      <c r="LO22" s="246"/>
      <c r="LP22" s="243">
        <f t="shared" si="72"/>
        <v>0</v>
      </c>
      <c r="LQ22" s="246">
        <f t="shared" si="73"/>
        <v>0</v>
      </c>
      <c r="LR22" s="246"/>
      <c r="LS22" s="246"/>
      <c r="LT22" s="244">
        <f t="shared" si="74"/>
        <v>0</v>
      </c>
      <c r="LU22" s="246"/>
      <c r="LV22" s="246"/>
      <c r="LW22" s="246"/>
      <c r="LX22" s="246"/>
      <c r="LY22" s="246"/>
      <c r="LZ22" s="246"/>
      <c r="MA22" s="246"/>
      <c r="MB22" s="243">
        <f t="shared" si="75"/>
        <v>0</v>
      </c>
      <c r="MC22" s="246">
        <f t="shared" si="76"/>
        <v>0</v>
      </c>
      <c r="MD22" s="246">
        <v>158.51181756768599</v>
      </c>
      <c r="ME22" s="246">
        <v>184.83789000000002</v>
      </c>
      <c r="MF22" s="246">
        <v>176.83832520739799</v>
      </c>
      <c r="MG22" s="246">
        <v>186.40815999999998</v>
      </c>
      <c r="MH22" s="246">
        <v>193.41516614510499</v>
      </c>
      <c r="MI22" s="246">
        <v>157.24465000000001</v>
      </c>
      <c r="MJ22" s="243">
        <f t="shared" si="77"/>
        <v>188.69358</v>
      </c>
      <c r="MK22" s="246">
        <f>MG22/115*110+12</f>
        <v>190.30345739130431</v>
      </c>
      <c r="ML22" s="246"/>
      <c r="MM22" s="246"/>
      <c r="MN22" s="246"/>
      <c r="MO22" s="246"/>
      <c r="MP22" s="246"/>
      <c r="MQ22" s="246"/>
      <c r="MR22" s="243">
        <f t="shared" si="79"/>
        <v>0</v>
      </c>
      <c r="MS22" s="246">
        <f t="shared" si="80"/>
        <v>0</v>
      </c>
      <c r="MT22" s="246">
        <v>276.638952824</v>
      </c>
      <c r="MU22" s="246">
        <v>291.62633</v>
      </c>
      <c r="MV22" s="246">
        <v>279.00508809952203</v>
      </c>
      <c r="MW22" s="246">
        <v>271.53216000000003</v>
      </c>
      <c r="MX22" s="246">
        <v>277.054156910556</v>
      </c>
      <c r="MY22" s="246">
        <v>249.21202</v>
      </c>
      <c r="MZ22" s="243">
        <f t="shared" si="81"/>
        <v>299.05442400000004</v>
      </c>
      <c r="NA22" s="246">
        <f t="shared" si="123"/>
        <v>259.72641391304353</v>
      </c>
      <c r="NB22" s="246"/>
      <c r="NC22" s="246"/>
      <c r="ND22" s="243">
        <f t="shared" si="82"/>
        <v>0</v>
      </c>
      <c r="NE22" s="248"/>
      <c r="NF22" s="246"/>
      <c r="NG22" s="246"/>
      <c r="NH22" s="246"/>
      <c r="NI22" s="246"/>
      <c r="NJ22" s="246"/>
      <c r="NK22" s="246"/>
      <c r="NL22" s="243">
        <f t="shared" si="83"/>
        <v>0</v>
      </c>
      <c r="NM22" s="246">
        <f t="shared" si="84"/>
        <v>0</v>
      </c>
      <c r="NN22" s="246"/>
      <c r="NO22" s="246"/>
      <c r="NP22" s="246"/>
      <c r="NQ22" s="246"/>
      <c r="NR22" s="246"/>
      <c r="NS22" s="246"/>
      <c r="NT22" s="243">
        <f t="shared" si="85"/>
        <v>0</v>
      </c>
      <c r="NU22" s="246">
        <f t="shared" si="86"/>
        <v>0</v>
      </c>
      <c r="NV22" s="246"/>
      <c r="NW22" s="246"/>
      <c r="NX22" s="246"/>
      <c r="NY22" s="246"/>
      <c r="NZ22" s="246"/>
      <c r="OA22" s="246"/>
      <c r="OB22" s="243">
        <f t="shared" si="87"/>
        <v>0</v>
      </c>
      <c r="OC22" s="246">
        <f t="shared" si="88"/>
        <v>0</v>
      </c>
      <c r="OD22" s="246">
        <v>127.667600840219</v>
      </c>
      <c r="OE22" s="246">
        <v>143.34154999999899</v>
      </c>
      <c r="OF22" s="246">
        <v>137.13789761737999</v>
      </c>
      <c r="OG22" s="246">
        <v>147.95768000000001</v>
      </c>
      <c r="OH22" s="246">
        <v>150.550183377812</v>
      </c>
      <c r="OI22" s="246">
        <v>122.36387000000001</v>
      </c>
      <c r="OJ22" s="243">
        <f t="shared" si="89"/>
        <v>146.83664400000001</v>
      </c>
      <c r="OK22" s="246">
        <f>OG22/115*110+5</f>
        <v>146.52473739130437</v>
      </c>
      <c r="OL22" s="246">
        <v>294.784552321879</v>
      </c>
      <c r="OM22" s="246">
        <v>268.58911999999998</v>
      </c>
      <c r="ON22" s="246">
        <v>256.96490124253597</v>
      </c>
      <c r="OO22" s="246">
        <v>238.57898000000003</v>
      </c>
      <c r="OP22" s="246">
        <v>238.37112368153501</v>
      </c>
      <c r="OQ22" s="246">
        <v>245.6523</v>
      </c>
      <c r="OR22" s="243">
        <f t="shared" si="90"/>
        <v>294.78276</v>
      </c>
      <c r="OS22" s="246">
        <f>238+2</f>
        <v>240</v>
      </c>
      <c r="OT22" s="246"/>
      <c r="OU22" s="246"/>
      <c r="OV22" s="246"/>
      <c r="OW22" s="246"/>
      <c r="OX22" s="246"/>
      <c r="OY22" s="246"/>
      <c r="OZ22" s="243">
        <f t="shared" si="92"/>
        <v>0</v>
      </c>
      <c r="PA22" s="246">
        <v>0</v>
      </c>
      <c r="PB22" s="246"/>
      <c r="PC22" s="246"/>
      <c r="PD22" s="243">
        <f t="shared" si="93"/>
        <v>0</v>
      </c>
      <c r="PE22" s="246">
        <v>0</v>
      </c>
      <c r="PF22" s="246"/>
      <c r="PG22" s="246"/>
      <c r="PH22" s="246"/>
      <c r="PI22" s="246"/>
      <c r="PJ22" s="246"/>
      <c r="PK22" s="246"/>
      <c r="PL22" s="243">
        <f t="shared" si="94"/>
        <v>0</v>
      </c>
      <c r="PM22" s="276">
        <v>0</v>
      </c>
      <c r="PN22" s="246"/>
      <c r="PO22" s="246"/>
      <c r="PP22" s="246"/>
      <c r="PQ22" s="246"/>
      <c r="PR22" s="246"/>
      <c r="PS22" s="246"/>
      <c r="PT22" s="243">
        <f t="shared" si="95"/>
        <v>0</v>
      </c>
      <c r="PU22" s="246"/>
      <c r="PV22" s="246"/>
      <c r="PW22" s="246"/>
      <c r="PX22" s="246">
        <v>177.317231131119</v>
      </c>
      <c r="PY22" s="246">
        <v>0</v>
      </c>
      <c r="PZ22" s="246"/>
      <c r="QA22" s="246"/>
      <c r="QB22" s="243">
        <f t="shared" si="96"/>
        <v>0</v>
      </c>
      <c r="QC22" s="246"/>
      <c r="QD22" s="246"/>
      <c r="QE22" s="246"/>
      <c r="QF22" s="246"/>
      <c r="QG22" s="246"/>
      <c r="QH22" s="246"/>
      <c r="QI22" s="246"/>
      <c r="QJ22" s="243">
        <f t="shared" si="97"/>
        <v>0</v>
      </c>
      <c r="QK22" s="246"/>
      <c r="QL22" s="246">
        <v>1.6</v>
      </c>
      <c r="QM22" s="246">
        <v>9.999778782798785E-13</v>
      </c>
      <c r="QN22" s="246"/>
      <c r="QO22" s="246"/>
      <c r="QP22" s="243">
        <f t="shared" si="98"/>
        <v>0</v>
      </c>
      <c r="QQ22" s="248"/>
      <c r="QR22" s="246"/>
      <c r="QS22" s="246"/>
      <c r="QT22" s="246"/>
      <c r="QU22" s="246"/>
      <c r="QV22" s="243">
        <f t="shared" si="99"/>
        <v>0</v>
      </c>
      <c r="QW22" s="246"/>
      <c r="QX22" s="246"/>
      <c r="QY22" s="246"/>
      <c r="QZ22" s="246"/>
      <c r="RA22" s="246"/>
      <c r="RB22" s="246"/>
      <c r="RC22" s="246"/>
      <c r="RD22" s="243">
        <f t="shared" si="100"/>
        <v>0</v>
      </c>
      <c r="RE22" s="300"/>
      <c r="RF22" s="259">
        <f t="shared" si="101"/>
        <v>5736.9998192983812</v>
      </c>
      <c r="RG22" s="259">
        <f t="shared" si="125"/>
        <v>4621.4753300000011</v>
      </c>
      <c r="RH22" s="259">
        <f t="shared" si="126"/>
        <v>5545.7703959999999</v>
      </c>
      <c r="RI22" s="256">
        <f t="shared" si="127"/>
        <v>5399.6849852173918</v>
      </c>
    </row>
    <row r="23" spans="1:479" ht="15.75" thickBot="1">
      <c r="A23" s="8" t="s">
        <v>115</v>
      </c>
      <c r="B23" s="264"/>
      <c r="C23" s="249"/>
      <c r="D23" s="249"/>
      <c r="E23" s="249"/>
      <c r="F23" s="249"/>
      <c r="G23" s="249"/>
      <c r="H23" s="254">
        <f t="shared" si="13"/>
        <v>0</v>
      </c>
      <c r="I23" s="249">
        <f t="shared" si="102"/>
        <v>0</v>
      </c>
      <c r="J23" s="264"/>
      <c r="K23" s="249"/>
      <c r="L23" s="249"/>
      <c r="M23" s="249"/>
      <c r="N23" s="249"/>
      <c r="O23" s="249"/>
      <c r="P23" s="243">
        <f t="shared" si="14"/>
        <v>0</v>
      </c>
      <c r="Q23" s="249"/>
      <c r="R23" s="249"/>
      <c r="S23" s="249"/>
      <c r="T23" s="249"/>
      <c r="U23" s="249"/>
      <c r="V23" s="249"/>
      <c r="W23" s="249"/>
      <c r="X23" s="243">
        <f t="shared" si="15"/>
        <v>0</v>
      </c>
      <c r="Y23" s="249"/>
      <c r="Z23" s="249"/>
      <c r="AA23" s="249"/>
      <c r="AB23" s="249"/>
      <c r="AC23" s="249"/>
      <c r="AD23" s="249"/>
      <c r="AE23" s="249"/>
      <c r="AF23" s="243">
        <f t="shared" si="16"/>
        <v>0</v>
      </c>
      <c r="AG23" s="249"/>
      <c r="AH23" s="249"/>
      <c r="AI23" s="249"/>
      <c r="AJ23" s="249"/>
      <c r="AK23" s="249"/>
      <c r="AL23" s="249"/>
      <c r="AM23" s="249"/>
      <c r="AN23" s="243">
        <f t="shared" si="17"/>
        <v>0</v>
      </c>
      <c r="AO23" s="249"/>
      <c r="AP23" s="249"/>
      <c r="AQ23" s="249"/>
      <c r="AR23" s="249"/>
      <c r="AS23" s="249"/>
      <c r="AT23" s="249"/>
      <c r="AU23" s="249"/>
      <c r="AV23" s="243">
        <f t="shared" si="18"/>
        <v>0</v>
      </c>
      <c r="AW23" s="249"/>
      <c r="AX23" s="249"/>
      <c r="AY23" s="249"/>
      <c r="AZ23" s="249"/>
      <c r="BA23" s="249"/>
      <c r="BB23" s="249"/>
      <c r="BC23" s="249"/>
      <c r="BD23" s="243">
        <f t="shared" si="19"/>
        <v>0</v>
      </c>
      <c r="BE23" s="249"/>
      <c r="BF23" s="249"/>
      <c r="BG23" s="249"/>
      <c r="BH23" s="249"/>
      <c r="BI23" s="249"/>
      <c r="BJ23" s="249"/>
      <c r="BK23" s="249"/>
      <c r="BL23" s="243">
        <f t="shared" si="20"/>
        <v>0</v>
      </c>
      <c r="BM23" s="249"/>
      <c r="BN23" s="249"/>
      <c r="BO23" s="249"/>
      <c r="BP23" s="249"/>
      <c r="BQ23" s="249"/>
      <c r="BR23" s="249"/>
      <c r="BS23" s="249"/>
      <c r="BT23" s="243">
        <f t="shared" si="21"/>
        <v>0</v>
      </c>
      <c r="BU23" s="249"/>
      <c r="BV23" s="249"/>
      <c r="BW23" s="249"/>
      <c r="BX23" s="249"/>
      <c r="BY23" s="249"/>
      <c r="BZ23" s="249"/>
      <c r="CA23" s="249"/>
      <c r="CB23" s="243">
        <f t="shared" si="22"/>
        <v>0</v>
      </c>
      <c r="CC23" s="249">
        <f t="shared" si="111"/>
        <v>0</v>
      </c>
      <c r="CD23" s="249"/>
      <c r="CE23" s="249"/>
      <c r="CF23" s="249"/>
      <c r="CG23" s="249"/>
      <c r="CH23" s="249"/>
      <c r="CI23" s="249"/>
      <c r="CJ23" s="243">
        <f t="shared" si="23"/>
        <v>0</v>
      </c>
      <c r="CK23" s="249">
        <f t="shared" si="112"/>
        <v>0</v>
      </c>
      <c r="CL23" s="249"/>
      <c r="CM23" s="249"/>
      <c r="CN23" s="249"/>
      <c r="CO23" s="249"/>
      <c r="CP23" s="249"/>
      <c r="CQ23" s="249"/>
      <c r="CR23" s="243">
        <f t="shared" si="24"/>
        <v>0</v>
      </c>
      <c r="CS23" s="249">
        <f t="shared" si="113"/>
        <v>0</v>
      </c>
      <c r="CT23" s="249"/>
      <c r="CU23" s="249"/>
      <c r="CV23" s="249"/>
      <c r="CW23" s="249"/>
      <c r="CX23" s="249"/>
      <c r="CY23" s="249"/>
      <c r="CZ23" s="243">
        <f t="shared" si="25"/>
        <v>0</v>
      </c>
      <c r="DA23" s="249">
        <f t="shared" si="114"/>
        <v>0</v>
      </c>
      <c r="DB23" s="249"/>
      <c r="DC23" s="249"/>
      <c r="DD23" s="249"/>
      <c r="DE23" s="249"/>
      <c r="DF23" s="249"/>
      <c r="DG23" s="249"/>
      <c r="DH23" s="243">
        <f t="shared" si="26"/>
        <v>0</v>
      </c>
      <c r="DI23" s="249">
        <f t="shared" si="27"/>
        <v>0</v>
      </c>
      <c r="DJ23" s="249"/>
      <c r="DK23" s="249"/>
      <c r="DL23" s="249"/>
      <c r="DM23" s="249"/>
      <c r="DN23" s="249"/>
      <c r="DO23" s="249"/>
      <c r="DP23" s="243">
        <f t="shared" si="28"/>
        <v>0</v>
      </c>
      <c r="DQ23" s="249">
        <f t="shared" si="29"/>
        <v>0</v>
      </c>
      <c r="DR23" s="249"/>
      <c r="DS23" s="249"/>
      <c r="DT23" s="249"/>
      <c r="DU23" s="249"/>
      <c r="DV23" s="249"/>
      <c r="DW23" s="249"/>
      <c r="DX23" s="243">
        <f t="shared" si="30"/>
        <v>0</v>
      </c>
      <c r="DY23" s="249">
        <f t="shared" si="115"/>
        <v>0</v>
      </c>
      <c r="DZ23" s="249"/>
      <c r="EA23" s="249"/>
      <c r="EB23" s="249"/>
      <c r="EC23" s="249"/>
      <c r="ED23" s="249"/>
      <c r="EE23" s="249"/>
      <c r="EF23" s="243">
        <f t="shared" si="31"/>
        <v>0</v>
      </c>
      <c r="EG23" s="249">
        <f t="shared" si="116"/>
        <v>0</v>
      </c>
      <c r="EH23" s="249"/>
      <c r="EI23" s="249"/>
      <c r="EJ23" s="249"/>
      <c r="EK23" s="249"/>
      <c r="EL23" s="249"/>
      <c r="EM23" s="249"/>
      <c r="EN23" s="243">
        <f t="shared" si="32"/>
        <v>0</v>
      </c>
      <c r="EO23" s="249">
        <f t="shared" si="117"/>
        <v>0</v>
      </c>
      <c r="EP23" s="249"/>
      <c r="EQ23" s="249"/>
      <c r="ER23" s="249"/>
      <c r="ES23" s="249"/>
      <c r="ET23" s="249"/>
      <c r="EU23" s="249"/>
      <c r="EV23" s="243">
        <f t="shared" si="33"/>
        <v>0</v>
      </c>
      <c r="EW23" s="249">
        <f t="shared" si="34"/>
        <v>0</v>
      </c>
      <c r="EX23" s="249"/>
      <c r="EY23" s="249"/>
      <c r="EZ23" s="249"/>
      <c r="FA23" s="249"/>
      <c r="FB23" s="249"/>
      <c r="FC23" s="249"/>
      <c r="FD23" s="243">
        <f t="shared" si="35"/>
        <v>0</v>
      </c>
      <c r="FE23" s="249">
        <f t="shared" si="36"/>
        <v>0</v>
      </c>
      <c r="FF23" s="249"/>
      <c r="FG23" s="249"/>
      <c r="FH23" s="249"/>
      <c r="FI23" s="249"/>
      <c r="FJ23" s="249"/>
      <c r="FK23" s="249"/>
      <c r="FL23" s="243">
        <f t="shared" si="37"/>
        <v>0</v>
      </c>
      <c r="FM23" s="249">
        <f t="shared" si="118"/>
        <v>0</v>
      </c>
      <c r="FN23" s="249"/>
      <c r="FO23" s="249"/>
      <c r="FP23" s="249"/>
      <c r="FQ23" s="249"/>
      <c r="FR23" s="249"/>
      <c r="FS23" s="249"/>
      <c r="FT23" s="243">
        <f t="shared" si="38"/>
        <v>0</v>
      </c>
      <c r="FU23" s="249">
        <f t="shared" si="39"/>
        <v>0</v>
      </c>
      <c r="FV23" s="249"/>
      <c r="FW23" s="249"/>
      <c r="FX23" s="249"/>
      <c r="FY23" s="249"/>
      <c r="FZ23" s="249"/>
      <c r="GA23" s="249"/>
      <c r="GB23" s="243">
        <f t="shared" si="40"/>
        <v>0</v>
      </c>
      <c r="GC23" s="249">
        <f t="shared" si="41"/>
        <v>0</v>
      </c>
      <c r="GD23" s="249"/>
      <c r="GE23" s="249"/>
      <c r="GF23" s="249"/>
      <c r="GG23" s="249"/>
      <c r="GH23" s="249"/>
      <c r="GI23" s="249"/>
      <c r="GJ23" s="243">
        <f t="shared" si="42"/>
        <v>0</v>
      </c>
      <c r="GK23" s="249">
        <f t="shared" si="119"/>
        <v>0</v>
      </c>
      <c r="GL23" s="249"/>
      <c r="GM23" s="249"/>
      <c r="GN23" s="249"/>
      <c r="GO23" s="249"/>
      <c r="GP23" s="249"/>
      <c r="GQ23" s="249"/>
      <c r="GR23" s="243">
        <f t="shared" si="43"/>
        <v>0</v>
      </c>
      <c r="GS23" s="250">
        <f t="shared" si="44"/>
        <v>0</v>
      </c>
      <c r="GT23" s="249"/>
      <c r="GU23" s="249"/>
      <c r="GV23" s="249"/>
      <c r="GW23" s="249"/>
      <c r="GX23" s="249"/>
      <c r="GY23" s="249"/>
      <c r="GZ23" s="243">
        <f t="shared" si="45"/>
        <v>0</v>
      </c>
      <c r="HA23" s="249">
        <f t="shared" si="46"/>
        <v>0</v>
      </c>
      <c r="HB23" s="249"/>
      <c r="HC23" s="249"/>
      <c r="HD23" s="249"/>
      <c r="HE23" s="249"/>
      <c r="HF23" s="249"/>
      <c r="HG23" s="249"/>
      <c r="HH23" s="243">
        <f t="shared" si="47"/>
        <v>0</v>
      </c>
      <c r="HI23" s="249">
        <f t="shared" si="48"/>
        <v>0</v>
      </c>
      <c r="HJ23" s="249"/>
      <c r="HK23" s="249"/>
      <c r="HL23" s="249"/>
      <c r="HM23" s="249"/>
      <c r="HN23" s="249"/>
      <c r="HO23" s="249"/>
      <c r="HP23" s="243">
        <f t="shared" si="49"/>
        <v>0</v>
      </c>
      <c r="HQ23" s="249">
        <f t="shared" si="50"/>
        <v>0</v>
      </c>
      <c r="HR23" s="249"/>
      <c r="HS23" s="249"/>
      <c r="HT23" s="249"/>
      <c r="HU23" s="249"/>
      <c r="HV23" s="249"/>
      <c r="HW23" s="249"/>
      <c r="HX23" s="243">
        <f t="shared" si="51"/>
        <v>0</v>
      </c>
      <c r="HY23" s="249">
        <f t="shared" si="120"/>
        <v>0</v>
      </c>
      <c r="HZ23" s="249"/>
      <c r="IA23" s="249"/>
      <c r="IB23" s="249"/>
      <c r="IC23" s="249"/>
      <c r="ID23" s="249"/>
      <c r="IE23" s="249"/>
      <c r="IF23" s="243">
        <f t="shared" si="52"/>
        <v>0</v>
      </c>
      <c r="IG23" s="249">
        <f t="shared" si="121"/>
        <v>0</v>
      </c>
      <c r="IH23" s="249"/>
      <c r="II23" s="249"/>
      <c r="IJ23" s="249"/>
      <c r="IK23" s="249"/>
      <c r="IL23" s="249"/>
      <c r="IM23" s="249"/>
      <c r="IN23" s="243">
        <f t="shared" si="53"/>
        <v>0</v>
      </c>
      <c r="IO23" s="312">
        <f t="shared" si="122"/>
        <v>0</v>
      </c>
      <c r="IP23" s="249"/>
      <c r="IQ23" s="249"/>
      <c r="IR23" s="249"/>
      <c r="IS23" s="249"/>
      <c r="IT23" s="249"/>
      <c r="IU23" s="249"/>
      <c r="IV23" s="243">
        <f t="shared" si="54"/>
        <v>0</v>
      </c>
      <c r="IW23" s="249">
        <f t="shared" si="55"/>
        <v>0</v>
      </c>
      <c r="IX23" s="249"/>
      <c r="IY23" s="249"/>
      <c r="IZ23" s="249"/>
      <c r="JA23" s="249"/>
      <c r="JB23" s="249"/>
      <c r="JC23" s="249"/>
      <c r="JD23" s="243">
        <f t="shared" si="56"/>
        <v>0</v>
      </c>
      <c r="JE23" s="249">
        <f t="shared" si="57"/>
        <v>0</v>
      </c>
      <c r="JF23" s="249"/>
      <c r="JG23" s="249"/>
      <c r="JH23" s="249"/>
      <c r="JI23" s="249"/>
      <c r="JJ23" s="249"/>
      <c r="JK23" s="249"/>
      <c r="JL23" s="243">
        <f t="shared" si="58"/>
        <v>0</v>
      </c>
      <c r="JM23" s="249">
        <f t="shared" si="59"/>
        <v>0</v>
      </c>
      <c r="JN23" s="249"/>
      <c r="JO23" s="249"/>
      <c r="JP23" s="249"/>
      <c r="JQ23" s="249"/>
      <c r="JR23" s="249"/>
      <c r="JS23" s="249"/>
      <c r="JT23" s="243">
        <f t="shared" si="60"/>
        <v>0</v>
      </c>
      <c r="JU23" s="249">
        <f t="shared" si="61"/>
        <v>0</v>
      </c>
      <c r="JV23" s="249"/>
      <c r="JW23" s="249"/>
      <c r="JX23" s="249"/>
      <c r="JY23" s="249"/>
      <c r="JZ23" s="249"/>
      <c r="KA23" s="249"/>
      <c r="KB23" s="243">
        <f t="shared" si="62"/>
        <v>0</v>
      </c>
      <c r="KC23" s="249">
        <f t="shared" si="63"/>
        <v>0</v>
      </c>
      <c r="KD23" s="249"/>
      <c r="KE23" s="249"/>
      <c r="KF23" s="249"/>
      <c r="KG23" s="249"/>
      <c r="KH23" s="249"/>
      <c r="KI23" s="249"/>
      <c r="KJ23" s="243">
        <f t="shared" si="64"/>
        <v>0</v>
      </c>
      <c r="KK23" s="249">
        <f t="shared" si="65"/>
        <v>0</v>
      </c>
      <c r="KL23" s="249"/>
      <c r="KM23" s="249"/>
      <c r="KN23" s="249"/>
      <c r="KO23" s="249"/>
      <c r="KP23" s="249"/>
      <c r="KQ23" s="249"/>
      <c r="KR23" s="243">
        <f t="shared" si="66"/>
        <v>0</v>
      </c>
      <c r="KS23" s="249">
        <f t="shared" si="67"/>
        <v>0</v>
      </c>
      <c r="KT23" s="249"/>
      <c r="KU23" s="249"/>
      <c r="KV23" s="249"/>
      <c r="KW23" s="249"/>
      <c r="KX23" s="249"/>
      <c r="KY23" s="249"/>
      <c r="KZ23" s="243">
        <f t="shared" si="68"/>
        <v>0</v>
      </c>
      <c r="LA23" s="249">
        <f t="shared" si="69"/>
        <v>0</v>
      </c>
      <c r="LB23" s="249"/>
      <c r="LC23" s="249"/>
      <c r="LD23" s="249"/>
      <c r="LE23" s="249"/>
      <c r="LF23" s="249"/>
      <c r="LG23" s="249"/>
      <c r="LH23" s="243">
        <f t="shared" si="70"/>
        <v>0</v>
      </c>
      <c r="LI23" s="249">
        <f t="shared" si="71"/>
        <v>0</v>
      </c>
      <c r="LJ23" s="249"/>
      <c r="LK23" s="249"/>
      <c r="LL23" s="249"/>
      <c r="LM23" s="249"/>
      <c r="LN23" s="249"/>
      <c r="LO23" s="249"/>
      <c r="LP23" s="243">
        <f t="shared" si="72"/>
        <v>0</v>
      </c>
      <c r="LQ23" s="249">
        <f t="shared" si="73"/>
        <v>0</v>
      </c>
      <c r="LR23" s="249"/>
      <c r="LS23" s="249"/>
      <c r="LT23" s="244">
        <f t="shared" si="74"/>
        <v>0</v>
      </c>
      <c r="LU23" s="249"/>
      <c r="LV23" s="249"/>
      <c r="LW23" s="249"/>
      <c r="LX23" s="249"/>
      <c r="LY23" s="249"/>
      <c r="LZ23" s="249"/>
      <c r="MA23" s="249"/>
      <c r="MB23" s="243">
        <f t="shared" si="75"/>
        <v>0</v>
      </c>
      <c r="MC23" s="249">
        <f t="shared" si="76"/>
        <v>0</v>
      </c>
      <c r="MD23" s="249"/>
      <c r="ME23" s="249"/>
      <c r="MF23" s="249"/>
      <c r="MG23" s="249"/>
      <c r="MH23" s="249"/>
      <c r="MI23" s="249"/>
      <c r="MJ23" s="243">
        <f t="shared" si="77"/>
        <v>0</v>
      </c>
      <c r="MK23" s="249">
        <f t="shared" si="78"/>
        <v>0</v>
      </c>
      <c r="ML23" s="249">
        <v>0</v>
      </c>
      <c r="MM23" s="249">
        <v>-817.99518999999884</v>
      </c>
      <c r="MN23" s="249">
        <v>0</v>
      </c>
      <c r="MO23" s="249">
        <v>-636.66300000000297</v>
      </c>
      <c r="MP23" s="249"/>
      <c r="MQ23" s="249">
        <v>-79.461470000000006</v>
      </c>
      <c r="MR23" s="243">
        <f t="shared" si="79"/>
        <v>-95.353764000000012</v>
      </c>
      <c r="MS23" s="249">
        <v>0</v>
      </c>
      <c r="MT23" s="249"/>
      <c r="MU23" s="249"/>
      <c r="MV23" s="249"/>
      <c r="MW23" s="249"/>
      <c r="MX23" s="249"/>
      <c r="MY23" s="249"/>
      <c r="MZ23" s="243">
        <f t="shared" si="81"/>
        <v>0</v>
      </c>
      <c r="NA23" s="249">
        <f t="shared" si="123"/>
        <v>0</v>
      </c>
      <c r="NB23" s="249"/>
      <c r="NC23" s="249"/>
      <c r="ND23" s="243">
        <f t="shared" si="82"/>
        <v>0</v>
      </c>
      <c r="NE23" s="251"/>
      <c r="NF23" s="249"/>
      <c r="NG23" s="249"/>
      <c r="NH23" s="249"/>
      <c r="NI23" s="249"/>
      <c r="NJ23" s="249"/>
      <c r="NK23" s="249"/>
      <c r="NL23" s="243">
        <f t="shared" si="83"/>
        <v>0</v>
      </c>
      <c r="NM23" s="249">
        <f t="shared" si="84"/>
        <v>0</v>
      </c>
      <c r="NN23" s="249"/>
      <c r="NO23" s="249"/>
      <c r="NP23" s="249"/>
      <c r="NQ23" s="249"/>
      <c r="NR23" s="249"/>
      <c r="NS23" s="249"/>
      <c r="NT23" s="243">
        <f t="shared" si="85"/>
        <v>0</v>
      </c>
      <c r="NU23" s="249">
        <f t="shared" si="86"/>
        <v>0</v>
      </c>
      <c r="NV23" s="249"/>
      <c r="NW23" s="249"/>
      <c r="NX23" s="249"/>
      <c r="NY23" s="249"/>
      <c r="NZ23" s="249"/>
      <c r="OA23" s="249"/>
      <c r="OB23" s="243">
        <f t="shared" si="87"/>
        <v>0</v>
      </c>
      <c r="OC23" s="249">
        <f t="shared" si="88"/>
        <v>0</v>
      </c>
      <c r="OD23" s="249"/>
      <c r="OE23" s="249"/>
      <c r="OF23" s="249"/>
      <c r="OG23" s="249"/>
      <c r="OH23" s="249"/>
      <c r="OI23" s="249"/>
      <c r="OJ23" s="243">
        <f t="shared" si="89"/>
        <v>0</v>
      </c>
      <c r="OK23" s="249">
        <f t="shared" si="124"/>
        <v>0</v>
      </c>
      <c r="OL23" s="249"/>
      <c r="OM23" s="249"/>
      <c r="ON23" s="249"/>
      <c r="OO23" s="249"/>
      <c r="OP23" s="249"/>
      <c r="OQ23" s="249"/>
      <c r="OR23" s="243">
        <f>OQ23/10*12</f>
        <v>0</v>
      </c>
      <c r="OS23" s="249">
        <f t="shared" si="91"/>
        <v>0</v>
      </c>
      <c r="OT23" s="249"/>
      <c r="OU23" s="249"/>
      <c r="OV23" s="249"/>
      <c r="OW23" s="249"/>
      <c r="OX23" s="249"/>
      <c r="OY23" s="249"/>
      <c r="OZ23" s="243">
        <f t="shared" si="92"/>
        <v>0</v>
      </c>
      <c r="PA23" s="249">
        <v>0</v>
      </c>
      <c r="PB23" s="249"/>
      <c r="PC23" s="249"/>
      <c r="PD23" s="243">
        <f t="shared" si="93"/>
        <v>0</v>
      </c>
      <c r="PE23" s="249">
        <v>0</v>
      </c>
      <c r="PF23" s="249"/>
      <c r="PG23" s="249"/>
      <c r="PH23" s="249"/>
      <c r="PI23" s="249"/>
      <c r="PJ23" s="249"/>
      <c r="PK23" s="249"/>
      <c r="PL23" s="243">
        <f t="shared" si="94"/>
        <v>0</v>
      </c>
      <c r="PM23" s="277">
        <v>0</v>
      </c>
      <c r="PN23" s="249">
        <v>-110000.08825248</v>
      </c>
      <c r="PO23" s="249">
        <v>-86532.716160000098</v>
      </c>
      <c r="PP23" s="249">
        <v>-19999.9999999996</v>
      </c>
      <c r="PQ23" s="249">
        <v>-63626.533319999995</v>
      </c>
      <c r="PR23" s="249">
        <v>-57391</v>
      </c>
      <c r="PS23" s="249">
        <v>-59069.310660000097</v>
      </c>
      <c r="PT23" s="243">
        <f t="shared" si="95"/>
        <v>-70883.172792000114</v>
      </c>
      <c r="PU23" s="249">
        <v>-80000</v>
      </c>
      <c r="PV23" s="249"/>
      <c r="PW23" s="249"/>
      <c r="PX23" s="249"/>
      <c r="PY23" s="249"/>
      <c r="PZ23" s="249"/>
      <c r="QA23" s="249"/>
      <c r="QB23" s="243">
        <f t="shared" si="96"/>
        <v>0</v>
      </c>
      <c r="QC23" s="249"/>
      <c r="QD23" s="249"/>
      <c r="QE23" s="249"/>
      <c r="QF23" s="249"/>
      <c r="QG23" s="249"/>
      <c r="QH23" s="249"/>
      <c r="QI23" s="249"/>
      <c r="QJ23" s="243">
        <f t="shared" si="97"/>
        <v>0</v>
      </c>
      <c r="QK23" s="249"/>
      <c r="QL23" s="249"/>
      <c r="QM23" s="249"/>
      <c r="QN23" s="249"/>
      <c r="QO23" s="249"/>
      <c r="QP23" s="243">
        <f t="shared" si="98"/>
        <v>0</v>
      </c>
      <c r="QQ23" s="251"/>
      <c r="QR23" s="249"/>
      <c r="QS23" s="249"/>
      <c r="QT23" s="249"/>
      <c r="QU23" s="249"/>
      <c r="QV23" s="243">
        <f t="shared" si="99"/>
        <v>0</v>
      </c>
      <c r="QW23" s="249"/>
      <c r="QX23" s="249"/>
      <c r="QY23" s="249"/>
      <c r="QZ23" s="249"/>
      <c r="RA23" s="249"/>
      <c r="RB23" s="249"/>
      <c r="RC23" s="249"/>
      <c r="RD23" s="243">
        <f t="shared" si="100"/>
        <v>0</v>
      </c>
      <c r="RE23" s="301"/>
      <c r="RF23" s="259">
        <f t="shared" si="101"/>
        <v>-57391</v>
      </c>
      <c r="RG23" s="259">
        <f t="shared" si="125"/>
        <v>-59148.772130000099</v>
      </c>
      <c r="RH23" s="259">
        <f t="shared" si="126"/>
        <v>-70978.526556000113</v>
      </c>
      <c r="RI23" s="256">
        <f t="shared" si="127"/>
        <v>-80000</v>
      </c>
    </row>
    <row r="24" spans="1:479" s="9" customFormat="1" ht="15.75" thickBot="1">
      <c r="A24" s="242" t="s">
        <v>72</v>
      </c>
      <c r="B24" s="261">
        <f>SUM(B25:B75)</f>
        <v>288096.13520087593</v>
      </c>
      <c r="C24" s="261">
        <f t="shared" ref="C24:BN24" si="128">SUM(C25:C75)</f>
        <v>291968.42575000011</v>
      </c>
      <c r="D24" s="261">
        <f t="shared" si="128"/>
        <v>273956.72768897034</v>
      </c>
      <c r="E24" s="261">
        <f t="shared" si="128"/>
        <v>275857.88060000009</v>
      </c>
      <c r="F24" s="261">
        <f t="shared" si="128"/>
        <v>259550.15401140417</v>
      </c>
      <c r="G24" s="261">
        <f t="shared" si="128"/>
        <v>214387.18041999999</v>
      </c>
      <c r="H24" s="261">
        <f t="shared" si="128"/>
        <v>257264.61650400001</v>
      </c>
      <c r="I24" s="261">
        <f t="shared" si="128"/>
        <v>307359.42019000003</v>
      </c>
      <c r="J24" s="261">
        <f t="shared" si="128"/>
        <v>4800.0165098212656</v>
      </c>
      <c r="K24" s="261">
        <f t="shared" si="128"/>
        <v>4782.7967099999887</v>
      </c>
      <c r="L24" s="261">
        <f t="shared" si="128"/>
        <v>5810.9682996453221</v>
      </c>
      <c r="M24" s="261">
        <f t="shared" si="128"/>
        <v>5572.478680000002</v>
      </c>
      <c r="N24" s="261">
        <f t="shared" si="128"/>
        <v>5766.6206074949814</v>
      </c>
      <c r="O24" s="261">
        <f t="shared" si="128"/>
        <v>5246.9660999999996</v>
      </c>
      <c r="P24" s="261">
        <f t="shared" si="128"/>
        <v>6296.3593199999996</v>
      </c>
      <c r="Q24" s="261">
        <f t="shared" si="128"/>
        <v>6216.7021700000005</v>
      </c>
      <c r="R24" s="261">
        <f t="shared" si="128"/>
        <v>15551.156689632358</v>
      </c>
      <c r="S24" s="261">
        <f t="shared" si="128"/>
        <v>14393.480109999999</v>
      </c>
      <c r="T24" s="261">
        <f t="shared" si="128"/>
        <v>14199.203434842346</v>
      </c>
      <c r="U24" s="261">
        <f t="shared" si="128"/>
        <v>13185.888120000003</v>
      </c>
      <c r="V24" s="261">
        <f t="shared" si="128"/>
        <v>15594.791859268147</v>
      </c>
      <c r="W24" s="261">
        <f t="shared" si="128"/>
        <v>12106.999550000002</v>
      </c>
      <c r="X24" s="261">
        <f t="shared" si="128"/>
        <v>14528.399460000002</v>
      </c>
      <c r="Y24" s="261">
        <f t="shared" si="128"/>
        <v>15594.784901405859</v>
      </c>
      <c r="Z24" s="261">
        <f t="shared" si="128"/>
        <v>15803.430459410891</v>
      </c>
      <c r="AA24" s="261">
        <f t="shared" si="128"/>
        <v>17544.505929999999</v>
      </c>
      <c r="AB24" s="261">
        <f t="shared" si="128"/>
        <v>17366.454672131193</v>
      </c>
      <c r="AC24" s="261">
        <f t="shared" si="128"/>
        <v>17335.757940000003</v>
      </c>
      <c r="AD24" s="261">
        <f t="shared" si="128"/>
        <v>17917.508500694279</v>
      </c>
      <c r="AE24" s="261">
        <f t="shared" si="128"/>
        <v>14683.958199999999</v>
      </c>
      <c r="AF24" s="261">
        <f t="shared" si="128"/>
        <v>17620.74984</v>
      </c>
      <c r="AG24" s="261">
        <f t="shared" si="128"/>
        <v>17918</v>
      </c>
      <c r="AH24" s="261">
        <f t="shared" si="128"/>
        <v>7163.1437505939775</v>
      </c>
      <c r="AI24" s="261">
        <f t="shared" si="128"/>
        <v>7167.4557699999859</v>
      </c>
      <c r="AJ24" s="261">
        <f t="shared" si="128"/>
        <v>7242.1964515896871</v>
      </c>
      <c r="AK24" s="261">
        <f t="shared" si="128"/>
        <v>7155.627040000003</v>
      </c>
      <c r="AL24" s="261">
        <f t="shared" si="128"/>
        <v>7669.2483465655232</v>
      </c>
      <c r="AM24" s="261">
        <f t="shared" si="128"/>
        <v>5741.8197499999997</v>
      </c>
      <c r="AN24" s="261">
        <f t="shared" si="128"/>
        <v>6890.1836999999996</v>
      </c>
      <c r="AO24" s="261">
        <f t="shared" si="128"/>
        <v>7668.7799599999998</v>
      </c>
      <c r="AP24" s="261">
        <f t="shared" si="128"/>
        <v>56142.627052156669</v>
      </c>
      <c r="AQ24" s="261">
        <f t="shared" si="128"/>
        <v>55740.11556000002</v>
      </c>
      <c r="AR24" s="261">
        <f t="shared" si="128"/>
        <v>60575.325480957967</v>
      </c>
      <c r="AS24" s="261">
        <f t="shared" si="128"/>
        <v>62066.974590000027</v>
      </c>
      <c r="AT24" s="261">
        <f t="shared" si="128"/>
        <v>62963.188025067335</v>
      </c>
      <c r="AU24" s="261">
        <f t="shared" si="128"/>
        <v>49727.970239999995</v>
      </c>
      <c r="AV24" s="261">
        <f t="shared" si="128"/>
        <v>59673.564288000009</v>
      </c>
      <c r="AW24" s="261">
        <f t="shared" si="128"/>
        <v>62963.457110000003</v>
      </c>
      <c r="AX24" s="261">
        <f t="shared" si="128"/>
        <v>11902.513414863502</v>
      </c>
      <c r="AY24" s="261">
        <f t="shared" si="128"/>
        <v>10654.341939999991</v>
      </c>
      <c r="AZ24" s="261">
        <f t="shared" si="128"/>
        <v>11146.764867498554</v>
      </c>
      <c r="BA24" s="261">
        <f t="shared" si="128"/>
        <v>11066.559320000006</v>
      </c>
      <c r="BB24" s="261">
        <f t="shared" si="128"/>
        <v>11149.40736967343</v>
      </c>
      <c r="BC24" s="261">
        <f t="shared" si="128"/>
        <v>10028.94162</v>
      </c>
      <c r="BD24" s="261">
        <f t="shared" si="128"/>
        <v>12034.729944000002</v>
      </c>
      <c r="BE24" s="261">
        <f t="shared" si="128"/>
        <v>11149.014180000002</v>
      </c>
      <c r="BF24" s="261">
        <f t="shared" si="128"/>
        <v>8890.5723659432588</v>
      </c>
      <c r="BG24" s="261">
        <f t="shared" si="128"/>
        <v>6727.7226899999805</v>
      </c>
      <c r="BH24" s="261">
        <f t="shared" si="128"/>
        <v>8677.1503760299693</v>
      </c>
      <c r="BI24" s="261">
        <f t="shared" si="128"/>
        <v>7863.3832500000008</v>
      </c>
      <c r="BJ24" s="261">
        <f t="shared" si="128"/>
        <v>9348.2145053465538</v>
      </c>
      <c r="BK24" s="261">
        <f t="shared" si="128"/>
        <v>8324.9536900000003</v>
      </c>
      <c r="BL24" s="261">
        <f t="shared" si="128"/>
        <v>9989.9444280000025</v>
      </c>
      <c r="BM24" s="261">
        <f t="shared" si="128"/>
        <v>9348.4572000000007</v>
      </c>
      <c r="BN24" s="261">
        <f t="shared" si="128"/>
        <v>3691.134397962524</v>
      </c>
      <c r="BO24" s="261">
        <f t="shared" ref="BO24:DZ24" si="129">SUM(BO25:BO75)</f>
        <v>3346.5255199999915</v>
      </c>
      <c r="BP24" s="261">
        <f t="shared" si="129"/>
        <v>4293.9194465689807</v>
      </c>
      <c r="BQ24" s="261">
        <f t="shared" si="129"/>
        <v>3809.4697400000014</v>
      </c>
      <c r="BR24" s="261">
        <f t="shared" si="129"/>
        <v>4357.4948819944793</v>
      </c>
      <c r="BS24" s="261">
        <f t="shared" si="129"/>
        <v>3896.3605900000002</v>
      </c>
      <c r="BT24" s="261">
        <f t="shared" si="129"/>
        <v>4675.632708000001</v>
      </c>
      <c r="BU24" s="261">
        <f t="shared" si="129"/>
        <v>4357.0016184365395</v>
      </c>
      <c r="BV24" s="261">
        <f t="shared" si="129"/>
        <v>5355.8152812963071</v>
      </c>
      <c r="BW24" s="261">
        <f t="shared" si="129"/>
        <v>5217.8941899999836</v>
      </c>
      <c r="BX24" s="261">
        <f t="shared" si="129"/>
        <v>6044.103200333142</v>
      </c>
      <c r="BY24" s="261">
        <f t="shared" si="129"/>
        <v>5463.969399999999</v>
      </c>
      <c r="BZ24" s="261">
        <f t="shared" si="129"/>
        <v>6600.7558511693205</v>
      </c>
      <c r="CA24" s="261">
        <f t="shared" si="129"/>
        <v>4990.0384999999997</v>
      </c>
      <c r="CB24" s="261">
        <f t="shared" si="129"/>
        <v>5988.046199999997</v>
      </c>
      <c r="CC24" s="261">
        <f t="shared" si="129"/>
        <v>6601</v>
      </c>
      <c r="CD24" s="261">
        <f t="shared" si="129"/>
        <v>47222.192997265018</v>
      </c>
      <c r="CE24" s="261">
        <f t="shared" si="129"/>
        <v>45282.95145</v>
      </c>
      <c r="CF24" s="261">
        <f t="shared" si="129"/>
        <v>51431.553088075954</v>
      </c>
      <c r="CG24" s="261">
        <f t="shared" si="129"/>
        <v>51906.604630000002</v>
      </c>
      <c r="CH24" s="261">
        <f t="shared" si="129"/>
        <v>50540.131827005272</v>
      </c>
      <c r="CI24" s="261">
        <f t="shared" si="129"/>
        <v>38395.805490000006</v>
      </c>
      <c r="CJ24" s="261">
        <f t="shared" si="129"/>
        <v>46074.966588000003</v>
      </c>
      <c r="CK24" s="261">
        <f t="shared" si="129"/>
        <v>50541.430810000005</v>
      </c>
      <c r="CL24" s="261">
        <f t="shared" si="129"/>
        <v>12093.618968883546</v>
      </c>
      <c r="CM24" s="261">
        <f t="shared" si="129"/>
        <v>11060.983679999998</v>
      </c>
      <c r="CN24" s="261">
        <f t="shared" si="129"/>
        <v>13181.914324381882</v>
      </c>
      <c r="CO24" s="261">
        <f t="shared" si="129"/>
        <v>11027.394390000003</v>
      </c>
      <c r="CP24" s="261">
        <f t="shared" si="129"/>
        <v>13179.811662156382</v>
      </c>
      <c r="CQ24" s="261">
        <f t="shared" si="129"/>
        <v>13138.666640000003</v>
      </c>
      <c r="CR24" s="261">
        <f t="shared" si="129"/>
        <v>15766.399968</v>
      </c>
      <c r="CS24" s="261">
        <f t="shared" si="129"/>
        <v>13899.711726439811</v>
      </c>
      <c r="CT24" s="261">
        <f t="shared" si="129"/>
        <v>1867.1121975060601</v>
      </c>
      <c r="CU24" s="261">
        <f t="shared" si="129"/>
        <v>1878.1205199999947</v>
      </c>
      <c r="CV24" s="261">
        <f t="shared" si="129"/>
        <v>1877.1689030603688</v>
      </c>
      <c r="CW24" s="261">
        <f t="shared" si="129"/>
        <v>2260.5688500000006</v>
      </c>
      <c r="CX24" s="261">
        <f t="shared" si="129"/>
        <v>2381.35377002614</v>
      </c>
      <c r="CY24" s="261">
        <f t="shared" si="129"/>
        <v>2072.4307099999996</v>
      </c>
      <c r="CZ24" s="261">
        <f t="shared" si="129"/>
        <v>2486.9168519999998</v>
      </c>
      <c r="DA24" s="261">
        <f t="shared" si="129"/>
        <v>2381.8246799999997</v>
      </c>
      <c r="DB24" s="261">
        <f t="shared" si="129"/>
        <v>9707.6912544582738</v>
      </c>
      <c r="DC24" s="261">
        <f t="shared" si="129"/>
        <v>8567.0508699999918</v>
      </c>
      <c r="DD24" s="261">
        <f t="shared" si="129"/>
        <v>8965.4188179052253</v>
      </c>
      <c r="DE24" s="261">
        <f t="shared" si="129"/>
        <v>8923.8999600000061</v>
      </c>
      <c r="DF24" s="261">
        <f t="shared" si="129"/>
        <v>8938.9738409527781</v>
      </c>
      <c r="DG24" s="261">
        <f t="shared" si="129"/>
        <v>7181.8168000000014</v>
      </c>
      <c r="DH24" s="261">
        <f t="shared" si="129"/>
        <v>8618.1801600000035</v>
      </c>
      <c r="DI24" s="261">
        <f t="shared" si="129"/>
        <v>8939.3584699999992</v>
      </c>
      <c r="DJ24" s="261">
        <f t="shared" si="129"/>
        <v>228.30428485553097</v>
      </c>
      <c r="DK24" s="261">
        <f t="shared" si="129"/>
        <v>226.89151999999802</v>
      </c>
      <c r="DL24" s="261">
        <f t="shared" si="129"/>
        <v>441.125429463508</v>
      </c>
      <c r="DM24" s="261">
        <f t="shared" si="129"/>
        <v>438.50781999999998</v>
      </c>
      <c r="DN24" s="261">
        <f t="shared" si="129"/>
        <v>440.99998610956703</v>
      </c>
      <c r="DO24" s="261">
        <f t="shared" si="129"/>
        <v>343.66334000000001</v>
      </c>
      <c r="DP24" s="261">
        <f t="shared" si="129"/>
        <v>412.39600800000005</v>
      </c>
      <c r="DQ24" s="261">
        <f t="shared" si="129"/>
        <v>440.77620000000002</v>
      </c>
      <c r="DR24" s="261">
        <f t="shared" si="129"/>
        <v>2394.9039615043721</v>
      </c>
      <c r="DS24" s="261">
        <f t="shared" si="129"/>
        <v>2421.836059999986</v>
      </c>
      <c r="DT24" s="261">
        <f t="shared" si="129"/>
        <v>2726.5166356203949</v>
      </c>
      <c r="DU24" s="261">
        <f t="shared" si="129"/>
        <v>2702.7122400000007</v>
      </c>
      <c r="DV24" s="261">
        <f t="shared" si="129"/>
        <v>3463.238660187988</v>
      </c>
      <c r="DW24" s="261">
        <f t="shared" si="129"/>
        <v>2712.364509999999</v>
      </c>
      <c r="DX24" s="261">
        <f t="shared" si="129"/>
        <v>3254.8374119999989</v>
      </c>
      <c r="DY24" s="261">
        <f t="shared" si="129"/>
        <v>3463.1567799999998</v>
      </c>
      <c r="DZ24" s="261">
        <f t="shared" si="129"/>
        <v>1027.506763113993</v>
      </c>
      <c r="EA24" s="261">
        <f t="shared" ref="EA24:GL24" si="130">SUM(EA25:EA75)</f>
        <v>1979.2443599999895</v>
      </c>
      <c r="EB24" s="261">
        <f t="shared" si="130"/>
        <v>1979.4586255053011</v>
      </c>
      <c r="EC24" s="261">
        <f t="shared" si="130"/>
        <v>1914.8213699999999</v>
      </c>
      <c r="ED24" s="261">
        <f t="shared" si="130"/>
        <v>1981.9999375717882</v>
      </c>
      <c r="EE24" s="261">
        <f t="shared" si="130"/>
        <v>1717.5754300000001</v>
      </c>
      <c r="EF24" s="261">
        <f t="shared" si="130"/>
        <v>2061.0905159999998</v>
      </c>
      <c r="EG24" s="261">
        <f t="shared" si="130"/>
        <v>1982</v>
      </c>
      <c r="EH24" s="261">
        <f t="shared" si="130"/>
        <v>104.32072677245598</v>
      </c>
      <c r="EI24" s="261">
        <f t="shared" si="130"/>
        <v>74.063929999997001</v>
      </c>
      <c r="EJ24" s="261">
        <f t="shared" si="130"/>
        <v>74.250026050586996</v>
      </c>
      <c r="EK24" s="261">
        <f t="shared" si="130"/>
        <v>63.93647</v>
      </c>
      <c r="EL24" s="261">
        <f t="shared" si="130"/>
        <v>74.703677647006003</v>
      </c>
      <c r="EM24" s="261">
        <f t="shared" si="130"/>
        <v>49.122449999999994</v>
      </c>
      <c r="EN24" s="261">
        <f t="shared" si="130"/>
        <v>58.946939999999998</v>
      </c>
      <c r="EO24" s="261">
        <f t="shared" si="130"/>
        <v>74.523099999999999</v>
      </c>
      <c r="EP24" s="261">
        <f t="shared" si="130"/>
        <v>86.581388003870003</v>
      </c>
      <c r="EQ24" s="261">
        <f t="shared" si="130"/>
        <v>81.502389999995998</v>
      </c>
      <c r="ER24" s="261">
        <f t="shared" si="130"/>
        <v>81.939126417826998</v>
      </c>
      <c r="ES24" s="261">
        <f t="shared" si="130"/>
        <v>77.436540000000008</v>
      </c>
      <c r="ET24" s="261">
        <f t="shared" si="130"/>
        <v>83.347137374761999</v>
      </c>
      <c r="EU24" s="261">
        <f t="shared" si="130"/>
        <v>57.616949999999989</v>
      </c>
      <c r="EV24" s="261">
        <f t="shared" si="130"/>
        <v>69.140339999999995</v>
      </c>
      <c r="EW24" s="261">
        <f t="shared" si="130"/>
        <v>83.243300000000005</v>
      </c>
      <c r="EX24" s="261">
        <f t="shared" si="130"/>
        <v>363.36357045118496</v>
      </c>
      <c r="EY24" s="261">
        <f t="shared" si="130"/>
        <v>363.15094999999394</v>
      </c>
      <c r="EZ24" s="261">
        <f t="shared" si="130"/>
        <v>392.98921411763098</v>
      </c>
      <c r="FA24" s="261">
        <f t="shared" si="130"/>
        <v>385.35227999999995</v>
      </c>
      <c r="FB24" s="261">
        <f t="shared" si="130"/>
        <v>491.30759783224096</v>
      </c>
      <c r="FC24" s="261">
        <f t="shared" si="130"/>
        <v>370.30515999999994</v>
      </c>
      <c r="FD24" s="261">
        <f t="shared" si="130"/>
        <v>444.36619199999996</v>
      </c>
      <c r="FE24" s="261">
        <f t="shared" si="130"/>
        <v>491.47924999999998</v>
      </c>
      <c r="FF24" s="261">
        <f t="shared" si="130"/>
        <v>1971.1515422070338</v>
      </c>
      <c r="FG24" s="261">
        <f t="shared" si="130"/>
        <v>1801.510589999994</v>
      </c>
      <c r="FH24" s="261">
        <f t="shared" si="130"/>
        <v>1803.9318051505768</v>
      </c>
      <c r="FI24" s="261">
        <f t="shared" si="130"/>
        <v>1822.8087800000003</v>
      </c>
      <c r="FJ24" s="261">
        <f t="shared" si="130"/>
        <v>2037.733344199906</v>
      </c>
      <c r="FK24" s="261">
        <f t="shared" si="130"/>
        <v>1623.0407300000002</v>
      </c>
      <c r="FL24" s="261">
        <f t="shared" si="130"/>
        <v>1947.6488759999997</v>
      </c>
      <c r="FM24" s="261">
        <f t="shared" si="130"/>
        <v>2038</v>
      </c>
      <c r="FN24" s="261">
        <f t="shared" si="130"/>
        <v>1537.0832769734138</v>
      </c>
      <c r="FO24" s="261">
        <f t="shared" si="130"/>
        <v>1513.9893799999966</v>
      </c>
      <c r="FP24" s="261">
        <f t="shared" si="130"/>
        <v>1514.465216096118</v>
      </c>
      <c r="FQ24" s="261">
        <f t="shared" si="130"/>
        <v>1490.0433500000001</v>
      </c>
      <c r="FR24" s="261">
        <f t="shared" si="130"/>
        <v>1511.761182383184</v>
      </c>
      <c r="FS24" s="261">
        <f t="shared" si="130"/>
        <v>1298.04097</v>
      </c>
      <c r="FT24" s="261">
        <f t="shared" si="130"/>
        <v>1557.6491640000002</v>
      </c>
      <c r="FU24" s="261">
        <f t="shared" si="130"/>
        <v>2994.4868799999999</v>
      </c>
      <c r="FV24" s="261">
        <f t="shared" si="130"/>
        <v>4074.9768432628407</v>
      </c>
      <c r="FW24" s="261">
        <f t="shared" si="130"/>
        <v>3834.3476900000001</v>
      </c>
      <c r="FX24" s="261">
        <f t="shared" si="130"/>
        <v>3908.186042718416</v>
      </c>
      <c r="FY24" s="261">
        <f t="shared" si="130"/>
        <v>3858.9077300000004</v>
      </c>
      <c r="FZ24" s="261">
        <f t="shared" si="130"/>
        <v>3887.7751075445012</v>
      </c>
      <c r="GA24" s="261">
        <f t="shared" si="130"/>
        <v>3038.1919399999992</v>
      </c>
      <c r="GB24" s="261">
        <f t="shared" si="130"/>
        <v>3645.8303279999986</v>
      </c>
      <c r="GC24" s="261">
        <f t="shared" si="130"/>
        <v>3865.3777900000005</v>
      </c>
      <c r="GD24" s="261">
        <f t="shared" si="130"/>
        <v>3388.6714830194414</v>
      </c>
      <c r="GE24" s="261">
        <f t="shared" si="130"/>
        <v>3870.1579699999907</v>
      </c>
      <c r="GF24" s="261">
        <f t="shared" si="130"/>
        <v>2298.3497079655881</v>
      </c>
      <c r="GG24" s="261">
        <f t="shared" si="130"/>
        <v>2334.6649899999989</v>
      </c>
      <c r="GH24" s="261">
        <f t="shared" si="130"/>
        <v>2442.6657611317482</v>
      </c>
      <c r="GI24" s="261">
        <f t="shared" si="130"/>
        <v>1596.9274799999998</v>
      </c>
      <c r="GJ24" s="261">
        <f t="shared" si="130"/>
        <v>1916.3129759999999</v>
      </c>
      <c r="GK24" s="261">
        <f t="shared" si="130"/>
        <v>2442.1886300000001</v>
      </c>
      <c r="GL24" s="261">
        <f t="shared" si="130"/>
        <v>152.68703128174604</v>
      </c>
      <c r="GM24" s="261">
        <f t="shared" ref="GM24:IX24" si="131">SUM(GM25:GM75)</f>
        <v>147.02505999999397</v>
      </c>
      <c r="GN24" s="261">
        <f t="shared" si="131"/>
        <v>147.32206055210398</v>
      </c>
      <c r="GO24" s="261">
        <f t="shared" si="131"/>
        <v>142.05048000000002</v>
      </c>
      <c r="GP24" s="261">
        <f t="shared" si="131"/>
        <v>159.55399060528899</v>
      </c>
      <c r="GQ24" s="261">
        <f t="shared" si="131"/>
        <v>122.60469999999999</v>
      </c>
      <c r="GR24" s="261">
        <f t="shared" si="131"/>
        <v>147.12563999999998</v>
      </c>
      <c r="GS24" s="261">
        <f t="shared" si="131"/>
        <v>259.37796000000003</v>
      </c>
      <c r="GT24" s="261">
        <f t="shared" si="131"/>
        <v>12.25569086812</v>
      </c>
      <c r="GU24" s="261">
        <f t="shared" si="131"/>
        <v>26.964089999997995</v>
      </c>
      <c r="GV24" s="261">
        <f t="shared" si="131"/>
        <v>26.975640841492996</v>
      </c>
      <c r="GW24" s="261">
        <f t="shared" si="131"/>
        <v>23.15354</v>
      </c>
      <c r="GX24" s="261">
        <f t="shared" si="131"/>
        <v>35.592359193901004</v>
      </c>
      <c r="GY24" s="261">
        <f t="shared" si="131"/>
        <v>20.884910000000001</v>
      </c>
      <c r="GZ24" s="261">
        <f t="shared" si="131"/>
        <v>25.061892</v>
      </c>
      <c r="HA24" s="261">
        <f t="shared" si="131"/>
        <v>35.357279999999996</v>
      </c>
      <c r="HB24" s="261">
        <f t="shared" si="131"/>
        <v>2223.0781433394086</v>
      </c>
      <c r="HC24" s="261">
        <f t="shared" si="131"/>
        <v>2401.4325799999974</v>
      </c>
      <c r="HD24" s="261">
        <f t="shared" si="131"/>
        <v>4403.4489457165728</v>
      </c>
      <c r="HE24" s="261">
        <f t="shared" si="131"/>
        <v>4456.4060900000004</v>
      </c>
      <c r="HF24" s="261">
        <f t="shared" si="131"/>
        <v>4781.0815516123375</v>
      </c>
      <c r="HG24" s="261">
        <f t="shared" si="131"/>
        <v>2830.161329999999</v>
      </c>
      <c r="HH24" s="261">
        <f t="shared" si="131"/>
        <v>3396.1935959999992</v>
      </c>
      <c r="HI24" s="261">
        <f t="shared" si="131"/>
        <v>4781.4020199999995</v>
      </c>
      <c r="HJ24" s="261">
        <f t="shared" si="131"/>
        <v>1643.3416407373231</v>
      </c>
      <c r="HK24" s="261">
        <f t="shared" si="131"/>
        <v>1632.6005299999961</v>
      </c>
      <c r="HL24" s="261">
        <f t="shared" si="131"/>
        <v>2118.2931662243072</v>
      </c>
      <c r="HM24" s="261">
        <f t="shared" si="131"/>
        <v>1905.7286099999999</v>
      </c>
      <c r="HN24" s="261">
        <f t="shared" si="131"/>
        <v>2126.6041698401882</v>
      </c>
      <c r="HO24" s="261">
        <f t="shared" si="131"/>
        <v>1331.1798399999998</v>
      </c>
      <c r="HP24" s="261">
        <f t="shared" si="131"/>
        <v>1597.4158079999997</v>
      </c>
      <c r="HQ24" s="261">
        <f t="shared" si="131"/>
        <v>2127</v>
      </c>
      <c r="HR24" s="261">
        <f t="shared" si="131"/>
        <v>698.6740528356579</v>
      </c>
      <c r="HS24" s="261">
        <f t="shared" si="131"/>
        <v>695.68504999999504</v>
      </c>
      <c r="HT24" s="261">
        <f t="shared" si="131"/>
        <v>696.65389259397898</v>
      </c>
      <c r="HU24" s="261">
        <f t="shared" si="131"/>
        <v>693.6169900000001</v>
      </c>
      <c r="HV24" s="261">
        <f t="shared" si="131"/>
        <v>697.12203804233911</v>
      </c>
      <c r="HW24" s="261">
        <f t="shared" si="131"/>
        <v>572.23869999999999</v>
      </c>
      <c r="HX24" s="261">
        <f t="shared" si="131"/>
        <v>686.68644000000006</v>
      </c>
      <c r="HY24" s="261">
        <f t="shared" si="131"/>
        <v>697</v>
      </c>
      <c r="HZ24" s="261">
        <f t="shared" si="131"/>
        <v>14496.151165338462</v>
      </c>
      <c r="IA24" s="261">
        <f t="shared" si="131"/>
        <v>12732.173079999997</v>
      </c>
      <c r="IB24" s="261">
        <f t="shared" si="131"/>
        <v>14032.269612957462</v>
      </c>
      <c r="IC24" s="261">
        <f t="shared" si="131"/>
        <v>13691.356880000003</v>
      </c>
      <c r="ID24" s="261">
        <f t="shared" si="131"/>
        <v>14135.74412383349</v>
      </c>
      <c r="IE24" s="261">
        <f t="shared" si="131"/>
        <v>11992.703360000001</v>
      </c>
      <c r="IF24" s="261">
        <f t="shared" si="131"/>
        <v>14391.244032000002</v>
      </c>
      <c r="IG24" s="261">
        <f t="shared" si="131"/>
        <v>14135.73875</v>
      </c>
      <c r="IH24" s="261">
        <f t="shared" si="131"/>
        <v>23426.703313676306</v>
      </c>
      <c r="II24" s="261">
        <f t="shared" si="131"/>
        <v>26300.311779999993</v>
      </c>
      <c r="IJ24" s="261">
        <f t="shared" si="131"/>
        <v>29649.083411445801</v>
      </c>
      <c r="IK24" s="261">
        <f t="shared" si="131"/>
        <v>28381.208220000008</v>
      </c>
      <c r="IL24" s="261">
        <f t="shared" si="131"/>
        <v>30242.263314651078</v>
      </c>
      <c r="IM24" s="261">
        <f t="shared" si="131"/>
        <v>23409.884800000007</v>
      </c>
      <c r="IN24" s="261">
        <f t="shared" si="131"/>
        <v>28091.861760000007</v>
      </c>
      <c r="IO24" s="261">
        <f t="shared" si="131"/>
        <v>30242.101139999999</v>
      </c>
      <c r="IP24" s="261">
        <f t="shared" si="131"/>
        <v>55689.65373922138</v>
      </c>
      <c r="IQ24" s="261">
        <f t="shared" si="131"/>
        <v>54212.468570000026</v>
      </c>
      <c r="IR24" s="261">
        <f t="shared" si="131"/>
        <v>58958.21251142156</v>
      </c>
      <c r="IS24" s="261">
        <f t="shared" si="131"/>
        <v>60812.661500000017</v>
      </c>
      <c r="IT24" s="261">
        <f t="shared" si="131"/>
        <v>59999.663166516766</v>
      </c>
      <c r="IU24" s="261">
        <f t="shared" si="131"/>
        <v>53669.804790000017</v>
      </c>
      <c r="IV24" s="261">
        <f t="shared" si="131"/>
        <v>64403.765748000027</v>
      </c>
      <c r="IW24" s="261">
        <f t="shared" si="131"/>
        <v>59999.964840000001</v>
      </c>
      <c r="IX24" s="261">
        <f t="shared" si="131"/>
        <v>31936.728723487562</v>
      </c>
      <c r="IY24" s="261">
        <f t="shared" ref="IY24:LJ24" si="132">SUM(IY25:IY75)</f>
        <v>31741.956970000014</v>
      </c>
      <c r="IZ24" s="261">
        <f t="shared" si="132"/>
        <v>37196.149409114754</v>
      </c>
      <c r="JA24" s="261">
        <f t="shared" si="132"/>
        <v>38631.359930000021</v>
      </c>
      <c r="JB24" s="261">
        <f t="shared" si="132"/>
        <v>38631.389766165754</v>
      </c>
      <c r="JC24" s="261">
        <f t="shared" si="132"/>
        <v>33748.81854</v>
      </c>
      <c r="JD24" s="261">
        <f t="shared" si="132"/>
        <v>40498.582247999999</v>
      </c>
      <c r="JE24" s="261">
        <f t="shared" si="132"/>
        <v>38631.353940000001</v>
      </c>
      <c r="JF24" s="261">
        <f t="shared" si="132"/>
        <v>40999.10714603516</v>
      </c>
      <c r="JG24" s="261">
        <f t="shared" si="132"/>
        <v>41169.032580000014</v>
      </c>
      <c r="JH24" s="261">
        <f t="shared" si="132"/>
        <v>41554.018888839797</v>
      </c>
      <c r="JI24" s="261">
        <f t="shared" si="132"/>
        <v>41753.430330000025</v>
      </c>
      <c r="JJ24" s="261">
        <f t="shared" si="132"/>
        <v>40736.998716883136</v>
      </c>
      <c r="JK24" s="261">
        <f t="shared" si="132"/>
        <v>33410.459030000005</v>
      </c>
      <c r="JL24" s="261">
        <f t="shared" si="132"/>
        <v>40092.550836000009</v>
      </c>
      <c r="JM24" s="261">
        <f t="shared" si="132"/>
        <v>40736.999299021401</v>
      </c>
      <c r="JN24" s="261">
        <f t="shared" si="132"/>
        <v>1.466704282642</v>
      </c>
      <c r="JO24" s="261">
        <f t="shared" si="132"/>
        <v>0.04</v>
      </c>
      <c r="JP24" s="261">
        <f t="shared" si="132"/>
        <v>3.9999698665999998E-2</v>
      </c>
      <c r="JQ24" s="261">
        <f t="shared" si="132"/>
        <v>0</v>
      </c>
      <c r="JR24" s="261">
        <f t="shared" si="132"/>
        <v>0</v>
      </c>
      <c r="JS24" s="261">
        <f t="shared" si="132"/>
        <v>1.01122</v>
      </c>
      <c r="JT24" s="261">
        <f t="shared" si="132"/>
        <v>1.2134640000000001</v>
      </c>
      <c r="JU24" s="261">
        <f t="shared" si="132"/>
        <v>0</v>
      </c>
      <c r="JV24" s="261">
        <f t="shared" si="132"/>
        <v>4518.6969642346039</v>
      </c>
      <c r="JW24" s="261">
        <f t="shared" si="132"/>
        <v>4578.7997099999993</v>
      </c>
      <c r="JX24" s="261">
        <f t="shared" si="132"/>
        <v>4642.4730856097522</v>
      </c>
      <c r="JY24" s="261">
        <f t="shared" si="132"/>
        <v>4683.29529</v>
      </c>
      <c r="JZ24" s="261">
        <f t="shared" si="132"/>
        <v>3957.7293415857307</v>
      </c>
      <c r="KA24" s="261">
        <f t="shared" si="132"/>
        <v>3354.6177100000004</v>
      </c>
      <c r="KB24" s="261">
        <f t="shared" si="132"/>
        <v>4025.541252</v>
      </c>
      <c r="KC24" s="261">
        <f t="shared" si="132"/>
        <v>3958.0775199999998</v>
      </c>
      <c r="KD24" s="261">
        <f t="shared" si="132"/>
        <v>1198.1272008686549</v>
      </c>
      <c r="KE24" s="261">
        <f t="shared" si="132"/>
        <v>1189.1130299999991</v>
      </c>
      <c r="KF24" s="261">
        <f t="shared" si="132"/>
        <v>1190.4647263627762</v>
      </c>
      <c r="KG24" s="261">
        <f t="shared" si="132"/>
        <v>1157.5146499999998</v>
      </c>
      <c r="KH24" s="261">
        <f t="shared" si="132"/>
        <v>1361.9999571002961</v>
      </c>
      <c r="KI24" s="261">
        <f t="shared" si="132"/>
        <v>820.02327000000002</v>
      </c>
      <c r="KJ24" s="261">
        <f t="shared" si="132"/>
        <v>984.0279240000001</v>
      </c>
      <c r="KK24" s="261">
        <f t="shared" si="132"/>
        <v>1361.8230800000001</v>
      </c>
      <c r="KL24" s="261">
        <f t="shared" si="132"/>
        <v>0</v>
      </c>
      <c r="KM24" s="261">
        <f t="shared" si="132"/>
        <v>0.23154</v>
      </c>
      <c r="KN24" s="261">
        <f t="shared" si="132"/>
        <v>0.23196071397100002</v>
      </c>
      <c r="KO24" s="261">
        <f t="shared" si="132"/>
        <v>0</v>
      </c>
      <c r="KP24" s="261">
        <f t="shared" si="132"/>
        <v>0</v>
      </c>
      <c r="KQ24" s="261">
        <f t="shared" si="132"/>
        <v>0</v>
      </c>
      <c r="KR24" s="261">
        <f t="shared" si="132"/>
        <v>0</v>
      </c>
      <c r="KS24" s="261">
        <f t="shared" si="132"/>
        <v>0</v>
      </c>
      <c r="KT24" s="261">
        <f t="shared" si="132"/>
        <v>14265.231415888135</v>
      </c>
      <c r="KU24" s="261">
        <f t="shared" si="132"/>
        <v>16727.44906000001</v>
      </c>
      <c r="KV24" s="261">
        <f t="shared" si="132"/>
        <v>17325.295485825198</v>
      </c>
      <c r="KW24" s="261">
        <f t="shared" si="132"/>
        <v>17398.21231000001</v>
      </c>
      <c r="KX24" s="261">
        <f t="shared" si="132"/>
        <v>18953.177543185004</v>
      </c>
      <c r="KY24" s="261">
        <f t="shared" si="132"/>
        <v>15121.243579999998</v>
      </c>
      <c r="KZ24" s="261">
        <f t="shared" si="132"/>
        <v>18145.492296</v>
      </c>
      <c r="LA24" s="261">
        <f t="shared" si="132"/>
        <v>18953.09</v>
      </c>
      <c r="LB24" s="261">
        <f t="shared" si="132"/>
        <v>20243.500778194102</v>
      </c>
      <c r="LC24" s="261">
        <f t="shared" si="132"/>
        <v>20986.84884000001</v>
      </c>
      <c r="LD24" s="261">
        <f t="shared" si="132"/>
        <v>24488.070993027966</v>
      </c>
      <c r="LE24" s="261">
        <f t="shared" si="132"/>
        <v>24550.311800000007</v>
      </c>
      <c r="LF24" s="261">
        <f t="shared" si="132"/>
        <v>24487.011228718435</v>
      </c>
      <c r="LG24" s="261">
        <f t="shared" si="132"/>
        <v>19940.173220000008</v>
      </c>
      <c r="LH24" s="261">
        <f t="shared" si="132"/>
        <v>23928.207864000011</v>
      </c>
      <c r="LI24" s="261">
        <f t="shared" si="132"/>
        <v>24486.849389999999</v>
      </c>
      <c r="LJ24" s="261">
        <f t="shared" si="132"/>
        <v>4265.4918855611868</v>
      </c>
      <c r="LK24" s="261">
        <f t="shared" ref="LK24:NV24" si="133">SUM(LK25:LK75)</f>
        <v>4341.4840100000029</v>
      </c>
      <c r="LL24" s="261">
        <f t="shared" si="133"/>
        <v>7126.7162258066273</v>
      </c>
      <c r="LM24" s="261">
        <f t="shared" si="133"/>
        <v>6872.1275800000003</v>
      </c>
      <c r="LN24" s="261">
        <f t="shared" si="133"/>
        <v>7880.3221502035713</v>
      </c>
      <c r="LO24" s="261">
        <f t="shared" si="133"/>
        <v>6451.1938800000016</v>
      </c>
      <c r="LP24" s="261">
        <f t="shared" si="133"/>
        <v>7741.4326560000009</v>
      </c>
      <c r="LQ24" s="261">
        <f t="shared" si="133"/>
        <v>7880.0969800000003</v>
      </c>
      <c r="LR24" s="261">
        <f t="shared" si="133"/>
        <v>0</v>
      </c>
      <c r="LS24" s="261">
        <f t="shared" si="133"/>
        <v>0.18976999999999999</v>
      </c>
      <c r="LT24" s="261">
        <f t="shared" si="133"/>
        <v>0.22772400000000001</v>
      </c>
      <c r="LU24" s="261">
        <f t="shared" si="133"/>
        <v>0.24173333333333333</v>
      </c>
      <c r="LV24" s="261">
        <f t="shared" si="133"/>
        <v>105.223655403853</v>
      </c>
      <c r="LW24" s="261">
        <f t="shared" si="133"/>
        <v>103.776</v>
      </c>
      <c r="LX24" s="261">
        <f t="shared" si="133"/>
        <v>104.99994346383301</v>
      </c>
      <c r="LY24" s="261">
        <f t="shared" si="133"/>
        <v>103.58110000000001</v>
      </c>
      <c r="LZ24" s="261">
        <f t="shared" si="133"/>
        <v>104.999996692754</v>
      </c>
      <c r="MA24" s="261">
        <f t="shared" si="133"/>
        <v>0</v>
      </c>
      <c r="MB24" s="261">
        <f t="shared" si="133"/>
        <v>0</v>
      </c>
      <c r="MC24" s="261">
        <f t="shared" si="133"/>
        <v>105</v>
      </c>
      <c r="MD24" s="261">
        <f t="shared" si="133"/>
        <v>9178.0777077049697</v>
      </c>
      <c r="ME24" s="261">
        <f t="shared" si="133"/>
        <v>10449.246350000001</v>
      </c>
      <c r="MF24" s="261">
        <f t="shared" si="133"/>
        <v>9007.6525947934715</v>
      </c>
      <c r="MG24" s="261">
        <f t="shared" si="133"/>
        <v>16381.450120000012</v>
      </c>
      <c r="MH24" s="261">
        <f t="shared" si="133"/>
        <v>13217.947086504442</v>
      </c>
      <c r="MI24" s="261">
        <f t="shared" si="133"/>
        <v>11967.013990000001</v>
      </c>
      <c r="MJ24" s="261">
        <f t="shared" si="133"/>
        <v>14360.416788</v>
      </c>
      <c r="MK24" s="261">
        <f t="shared" si="133"/>
        <v>13218.17906</v>
      </c>
      <c r="ML24" s="261">
        <f t="shared" si="133"/>
        <v>360.52512986875399</v>
      </c>
      <c r="MM24" s="261">
        <f t="shared" si="133"/>
        <v>2558.4294199999963</v>
      </c>
      <c r="MN24" s="261">
        <f t="shared" si="133"/>
        <v>2849.0050187408119</v>
      </c>
      <c r="MO24" s="261">
        <f t="shared" si="133"/>
        <v>2854.7779100000012</v>
      </c>
      <c r="MP24" s="261">
        <f t="shared" si="133"/>
        <v>3760.9772306514192</v>
      </c>
      <c r="MQ24" s="261">
        <f t="shared" si="133"/>
        <v>2422.4212299999995</v>
      </c>
      <c r="MR24" s="261">
        <f t="shared" si="133"/>
        <v>2906.9054759999995</v>
      </c>
      <c r="MS24" s="261">
        <f t="shared" si="133"/>
        <v>2854.7779100000012</v>
      </c>
      <c r="MT24" s="261">
        <f t="shared" si="133"/>
        <v>35072.065565590186</v>
      </c>
      <c r="MU24" s="261">
        <f t="shared" si="133"/>
        <v>32866.464150000007</v>
      </c>
      <c r="MV24" s="261">
        <f t="shared" si="133"/>
        <v>35999.866001777438</v>
      </c>
      <c r="MW24" s="261">
        <f t="shared" si="133"/>
        <v>35986.293730000019</v>
      </c>
      <c r="MX24" s="261">
        <f t="shared" si="133"/>
        <v>36045.997328102378</v>
      </c>
      <c r="MY24" s="261">
        <f t="shared" si="133"/>
        <v>32089.685310000001</v>
      </c>
      <c r="MZ24" s="261">
        <f t="shared" si="133"/>
        <v>38507.622371999998</v>
      </c>
      <c r="NA24" s="261">
        <f t="shared" si="133"/>
        <v>36546.025590000005</v>
      </c>
      <c r="NB24" s="261">
        <f t="shared" si="133"/>
        <v>0</v>
      </c>
      <c r="NC24" s="261">
        <f t="shared" si="133"/>
        <v>0.18976999999999999</v>
      </c>
      <c r="ND24" s="261">
        <f t="shared" si="133"/>
        <v>0.22772400000000001</v>
      </c>
      <c r="NE24" s="261">
        <f t="shared" si="133"/>
        <v>0.25302666666666668</v>
      </c>
      <c r="NF24" s="261">
        <f t="shared" si="133"/>
        <v>0</v>
      </c>
      <c r="NG24" s="261">
        <f t="shared" si="133"/>
        <v>43.093330000000009</v>
      </c>
      <c r="NH24" s="261">
        <f t="shared" si="133"/>
        <v>65.733283269281998</v>
      </c>
      <c r="NI24" s="261">
        <f t="shared" si="133"/>
        <v>65.088280000000012</v>
      </c>
      <c r="NJ24" s="261">
        <f t="shared" si="133"/>
        <v>66.807997927205989</v>
      </c>
      <c r="NK24" s="261">
        <f t="shared" si="133"/>
        <v>45.462820000000001</v>
      </c>
      <c r="NL24" s="261">
        <f t="shared" si="133"/>
        <v>54.555384000000004</v>
      </c>
      <c r="NM24" s="261">
        <f t="shared" si="133"/>
        <v>67.146000000000001</v>
      </c>
      <c r="NN24" s="261">
        <f t="shared" si="133"/>
        <v>10.451205002132999</v>
      </c>
      <c r="NO24" s="261">
        <f t="shared" si="133"/>
        <v>10.939999999998999</v>
      </c>
      <c r="NP24" s="261">
        <f t="shared" si="133"/>
        <v>11.094806266407</v>
      </c>
      <c r="NQ24" s="261">
        <f t="shared" si="133"/>
        <v>10.222</v>
      </c>
      <c r="NR24" s="261">
        <f t="shared" si="133"/>
        <v>10.999999653526</v>
      </c>
      <c r="NS24" s="261">
        <f t="shared" si="133"/>
        <v>8.52</v>
      </c>
      <c r="NT24" s="261">
        <f t="shared" si="133"/>
        <v>10.224</v>
      </c>
      <c r="NU24" s="261">
        <f t="shared" si="133"/>
        <v>11</v>
      </c>
      <c r="NV24" s="261">
        <f t="shared" si="133"/>
        <v>455.31920318361102</v>
      </c>
      <c r="NW24" s="261">
        <f t="shared" ref="NW24:QH24" si="134">SUM(NW25:NW75)</f>
        <v>295.09155000000004</v>
      </c>
      <c r="NX24" s="261">
        <f t="shared" si="134"/>
        <v>444.81310161143097</v>
      </c>
      <c r="NY24" s="261">
        <f t="shared" si="134"/>
        <v>451.73371000000009</v>
      </c>
      <c r="NZ24" s="261">
        <f t="shared" si="134"/>
        <v>520.99998708599003</v>
      </c>
      <c r="OA24" s="261">
        <f t="shared" si="134"/>
        <v>439.41411999999906</v>
      </c>
      <c r="OB24" s="261">
        <f t="shared" si="134"/>
        <v>527.29694399999892</v>
      </c>
      <c r="OC24" s="261">
        <f t="shared" si="134"/>
        <v>520.99356672542399</v>
      </c>
      <c r="OD24" s="261">
        <f t="shared" si="134"/>
        <v>3359.6997193913598</v>
      </c>
      <c r="OE24" s="261">
        <f t="shared" si="134"/>
        <v>3318.5625299999979</v>
      </c>
      <c r="OF24" s="261">
        <f t="shared" si="134"/>
        <v>3543.270115004872</v>
      </c>
      <c r="OG24" s="261">
        <f t="shared" si="134"/>
        <v>3164.5926400000008</v>
      </c>
      <c r="OH24" s="261">
        <f t="shared" si="134"/>
        <v>3909.3694227553424</v>
      </c>
      <c r="OI24" s="261">
        <f t="shared" si="134"/>
        <v>3135.4446500000013</v>
      </c>
      <c r="OJ24" s="261">
        <f t="shared" si="134"/>
        <v>3762.5335800000012</v>
      </c>
      <c r="OK24" s="261">
        <f t="shared" si="134"/>
        <v>3909.5675900000001</v>
      </c>
      <c r="OL24" s="261">
        <f t="shared" si="134"/>
        <v>2449.5848714848953</v>
      </c>
      <c r="OM24" s="261">
        <f t="shared" si="134"/>
        <v>2507.4761399999948</v>
      </c>
      <c r="ON24" s="261">
        <f t="shared" si="134"/>
        <v>2687.8612672445433</v>
      </c>
      <c r="OO24" s="261">
        <f t="shared" si="134"/>
        <v>2766.9383000000003</v>
      </c>
      <c r="OP24" s="261">
        <f t="shared" si="134"/>
        <v>2963.9999172873527</v>
      </c>
      <c r="OQ24" s="261">
        <f t="shared" si="134"/>
        <v>2422.6204599999996</v>
      </c>
      <c r="OR24" s="261">
        <f t="shared" si="134"/>
        <v>2907.1445519999997</v>
      </c>
      <c r="OS24" s="261">
        <f t="shared" si="134"/>
        <v>2964.1194300000002</v>
      </c>
      <c r="OT24" s="261">
        <f t="shared" si="134"/>
        <v>0</v>
      </c>
      <c r="OU24" s="261">
        <f t="shared" si="134"/>
        <v>515.98512000000005</v>
      </c>
      <c r="OV24" s="261">
        <f t="shared" si="134"/>
        <v>0</v>
      </c>
      <c r="OW24" s="261">
        <f t="shared" si="134"/>
        <v>408.72780999999998</v>
      </c>
      <c r="OX24" s="261">
        <f t="shared" si="134"/>
        <v>0</v>
      </c>
      <c r="OY24" s="261">
        <f t="shared" si="134"/>
        <v>526.31411000000003</v>
      </c>
      <c r="OZ24" s="261">
        <f t="shared" si="134"/>
        <v>631.57693200000006</v>
      </c>
      <c r="PA24" s="261">
        <f t="shared" si="134"/>
        <v>0</v>
      </c>
      <c r="PB24" s="261">
        <f t="shared" si="134"/>
        <v>0</v>
      </c>
      <c r="PC24" s="261">
        <f t="shared" si="134"/>
        <v>501.16288000000003</v>
      </c>
      <c r="PD24" s="261">
        <f t="shared" si="134"/>
        <v>601.39545600000008</v>
      </c>
      <c r="PE24" s="261">
        <f t="shared" si="134"/>
        <v>780</v>
      </c>
      <c r="PF24" s="261">
        <f t="shared" si="134"/>
        <v>0</v>
      </c>
      <c r="PG24" s="261">
        <f t="shared" si="134"/>
        <v>8508.0273599999891</v>
      </c>
      <c r="PH24" s="261">
        <f t="shared" si="134"/>
        <v>0</v>
      </c>
      <c r="PI24" s="261">
        <f t="shared" si="134"/>
        <v>8868.0997899999984</v>
      </c>
      <c r="PJ24" s="261">
        <f t="shared" si="134"/>
        <v>9499.9997007730126</v>
      </c>
      <c r="PK24" s="261">
        <f t="shared" si="134"/>
        <v>5032.3651100000006</v>
      </c>
      <c r="PL24" s="261">
        <f t="shared" si="134"/>
        <v>6038.8381319999999</v>
      </c>
      <c r="PM24" s="261">
        <f t="shared" si="134"/>
        <v>990</v>
      </c>
      <c r="PN24" s="261">
        <f t="shared" si="134"/>
        <v>-132186.64385663182</v>
      </c>
      <c r="PO24" s="261">
        <f t="shared" si="134"/>
        <v>-195508.42221000011</v>
      </c>
      <c r="PP24" s="261">
        <f t="shared" si="134"/>
        <v>-99098.985631948162</v>
      </c>
      <c r="PQ24" s="261">
        <f t="shared" si="134"/>
        <v>-143178.08201000001</v>
      </c>
      <c r="PR24" s="261">
        <f t="shared" si="134"/>
        <v>-106276.58802354487</v>
      </c>
      <c r="PS24" s="261">
        <f>SUM(PS25:PS75)</f>
        <v>-87751.886540000007</v>
      </c>
      <c r="PT24" s="261">
        <f t="shared" si="134"/>
        <v>-105302.26384800002</v>
      </c>
      <c r="PU24" s="261">
        <f t="shared" si="134"/>
        <v>-69094</v>
      </c>
      <c r="PV24" s="261">
        <f t="shared" si="134"/>
        <v>0</v>
      </c>
      <c r="PW24" s="261">
        <f t="shared" si="134"/>
        <v>23.286449999999999</v>
      </c>
      <c r="PX24" s="261">
        <f t="shared" si="134"/>
        <v>0</v>
      </c>
      <c r="PY24" s="261">
        <f t="shared" si="134"/>
        <v>0.56281000000000003</v>
      </c>
      <c r="PZ24" s="261">
        <f t="shared" si="134"/>
        <v>0.53558998312700001</v>
      </c>
      <c r="QA24" s="261">
        <f t="shared" si="134"/>
        <v>0</v>
      </c>
      <c r="QB24" s="261">
        <f t="shared" si="134"/>
        <v>0</v>
      </c>
      <c r="QC24" s="261">
        <f t="shared" si="134"/>
        <v>0.56281000000000003</v>
      </c>
      <c r="QD24" s="261">
        <f t="shared" si="134"/>
        <v>0</v>
      </c>
      <c r="QE24" s="261">
        <f t="shared" si="134"/>
        <v>99.519350000000998</v>
      </c>
      <c r="QF24" s="261">
        <f t="shared" si="134"/>
        <v>0</v>
      </c>
      <c r="QG24" s="261">
        <f t="shared" si="134"/>
        <v>-184.60693000000001</v>
      </c>
      <c r="QH24" s="261">
        <f t="shared" si="134"/>
        <v>6.9999997795169695E-5</v>
      </c>
      <c r="QI24" s="261">
        <f t="shared" ref="QI24:RE24" si="135">SUM(QI25:QI75)</f>
        <v>0</v>
      </c>
      <c r="QJ24" s="261">
        <f t="shared" si="135"/>
        <v>0</v>
      </c>
      <c r="QK24" s="261">
        <f t="shared" si="135"/>
        <v>0</v>
      </c>
      <c r="QL24" s="261">
        <f t="shared" si="135"/>
        <v>0</v>
      </c>
      <c r="QM24" s="261">
        <f t="shared" si="135"/>
        <v>2.0000607073300536E-12</v>
      </c>
      <c r="QN24" s="261">
        <f t="shared" si="135"/>
        <v>0.71</v>
      </c>
      <c r="QO24" s="261">
        <f t="shared" si="135"/>
        <v>0</v>
      </c>
      <c r="QP24" s="261">
        <f t="shared" si="135"/>
        <v>0</v>
      </c>
      <c r="QQ24" s="261">
        <f t="shared" si="135"/>
        <v>0</v>
      </c>
      <c r="QR24" s="261">
        <f t="shared" si="135"/>
        <v>0</v>
      </c>
      <c r="QS24" s="261">
        <f t="shared" si="135"/>
        <v>14.56</v>
      </c>
      <c r="QT24" s="261">
        <f t="shared" si="135"/>
        <v>19.999999370047998</v>
      </c>
      <c r="QU24" s="261">
        <f t="shared" si="135"/>
        <v>0</v>
      </c>
      <c r="QV24" s="261">
        <f t="shared" si="135"/>
        <v>0</v>
      </c>
      <c r="QW24" s="261">
        <f t="shared" si="135"/>
        <v>20</v>
      </c>
      <c r="QX24" s="261">
        <f t="shared" si="135"/>
        <v>0</v>
      </c>
      <c r="QY24" s="261">
        <f t="shared" si="135"/>
        <v>31.642100000000003</v>
      </c>
      <c r="QZ24" s="261">
        <f t="shared" si="135"/>
        <v>0</v>
      </c>
      <c r="RA24" s="261">
        <f t="shared" si="135"/>
        <v>37.19905</v>
      </c>
      <c r="RB24" s="261">
        <f t="shared" si="135"/>
        <v>125</v>
      </c>
      <c r="RC24" s="261">
        <f t="shared" si="135"/>
        <v>122.29547000000001</v>
      </c>
      <c r="RD24" s="261">
        <f t="shared" si="135"/>
        <v>146.75456400000002</v>
      </c>
      <c r="RE24" s="302">
        <f t="shared" si="135"/>
        <v>82</v>
      </c>
      <c r="RF24" s="258">
        <f t="shared" ref="RF24" si="136">SUM(RF25:RF75)</f>
        <v>704531.19717218063</v>
      </c>
      <c r="RG24" s="258">
        <f>SUM(RG25:RG75)</f>
        <v>580488.97328999965</v>
      </c>
      <c r="RH24" s="258">
        <f t="shared" ref="RH24" si="137">SUM(RH25:RH75)</f>
        <v>696586.76794800011</v>
      </c>
      <c r="RI24" s="255">
        <f t="shared" ref="RI24" si="138">SUM(RI25:RI75)</f>
        <v>784076.27386202908</v>
      </c>
      <c r="RK24" s="293"/>
    </row>
    <row r="25" spans="1:479">
      <c r="A25" s="7" t="s">
        <v>73</v>
      </c>
      <c r="B25" s="262">
        <v>33499.999999998698</v>
      </c>
      <c r="C25" s="243">
        <v>33482.32432</v>
      </c>
      <c r="D25" s="243">
        <v>30029.931643671502</v>
      </c>
      <c r="E25" s="243">
        <v>33311.645710000026</v>
      </c>
      <c r="F25" s="269">
        <v>30029.599999999999</v>
      </c>
      <c r="G25" s="243">
        <v>21949.424330000002</v>
      </c>
      <c r="H25" s="243">
        <f>G25/10*12</f>
        <v>26339.309196000002</v>
      </c>
      <c r="I25" s="269">
        <v>33311.645710000026</v>
      </c>
      <c r="J25" s="243"/>
      <c r="K25" s="243"/>
      <c r="L25" s="243"/>
      <c r="M25" s="243"/>
      <c r="N25" s="243"/>
      <c r="O25" s="243"/>
      <c r="P25" s="243">
        <f>O25/10*12</f>
        <v>0</v>
      </c>
      <c r="Q25" s="243"/>
      <c r="R25" s="243"/>
      <c r="S25" s="243"/>
      <c r="T25" s="243"/>
      <c r="U25" s="243"/>
      <c r="V25" s="243"/>
      <c r="W25" s="243"/>
      <c r="X25" s="243">
        <f>W25/10*12</f>
        <v>0</v>
      </c>
      <c r="Y25" s="243"/>
      <c r="Z25" s="243"/>
      <c r="AA25" s="243"/>
      <c r="AB25" s="243"/>
      <c r="AC25" s="243"/>
      <c r="AD25" s="243"/>
      <c r="AE25" s="243"/>
      <c r="AF25" s="243">
        <f>AE25/10*12</f>
        <v>0</v>
      </c>
      <c r="AG25" s="243"/>
      <c r="AH25" s="243"/>
      <c r="AI25" s="243"/>
      <c r="AJ25" s="243"/>
      <c r="AK25" s="243"/>
      <c r="AL25" s="243"/>
      <c r="AM25" s="243"/>
      <c r="AN25" s="243">
        <f>AM25/10*12</f>
        <v>0</v>
      </c>
      <c r="AO25" s="243"/>
      <c r="AP25" s="243"/>
      <c r="AQ25" s="243"/>
      <c r="AR25" s="243"/>
      <c r="AS25" s="243"/>
      <c r="AT25" s="243"/>
      <c r="AU25" s="243"/>
      <c r="AV25" s="243">
        <f>AU25/10*12</f>
        <v>0</v>
      </c>
      <c r="AW25" s="243"/>
      <c r="AX25" s="243"/>
      <c r="AY25" s="243"/>
      <c r="AZ25" s="243"/>
      <c r="BA25" s="243"/>
      <c r="BB25" s="243"/>
      <c r="BC25" s="243"/>
      <c r="BD25" s="243">
        <f>BC25/10*12</f>
        <v>0</v>
      </c>
      <c r="BE25" s="243"/>
      <c r="BF25" s="243"/>
      <c r="BG25" s="243"/>
      <c r="BH25" s="243"/>
      <c r="BI25" s="243"/>
      <c r="BJ25" s="243"/>
      <c r="BK25" s="243"/>
      <c r="BL25" s="243">
        <f>BK25/10*12</f>
        <v>0</v>
      </c>
      <c r="BM25" s="243"/>
      <c r="BN25" s="243"/>
      <c r="BO25" s="243"/>
      <c r="BP25" s="243"/>
      <c r="BQ25" s="243"/>
      <c r="BR25" s="243"/>
      <c r="BS25" s="243"/>
      <c r="BT25" s="243">
        <f>BS25/10*12</f>
        <v>0</v>
      </c>
      <c r="BU25" s="243"/>
      <c r="BV25" s="243"/>
      <c r="BW25" s="243"/>
      <c r="BX25" s="243"/>
      <c r="BY25" s="243"/>
      <c r="BZ25" s="243"/>
      <c r="CA25" s="243"/>
      <c r="CB25" s="243">
        <f>CA25/10*12</f>
        <v>0</v>
      </c>
      <c r="CC25" s="243"/>
      <c r="CD25" s="243"/>
      <c r="CE25" s="243"/>
      <c r="CF25" s="243"/>
      <c r="CG25" s="243"/>
      <c r="CH25" s="243"/>
      <c r="CI25" s="243"/>
      <c r="CJ25" s="243">
        <f>CI25/10*12</f>
        <v>0</v>
      </c>
      <c r="CK25" s="243"/>
      <c r="CL25" s="243"/>
      <c r="CM25" s="243"/>
      <c r="CN25" s="243"/>
      <c r="CO25" s="243"/>
      <c r="CP25" s="243"/>
      <c r="CQ25" s="243"/>
      <c r="CR25" s="243">
        <f>CQ25/10*12</f>
        <v>0</v>
      </c>
      <c r="CS25" s="243"/>
      <c r="CT25" s="243"/>
      <c r="CU25" s="243"/>
      <c r="CV25" s="243"/>
      <c r="CW25" s="243"/>
      <c r="CX25" s="243"/>
      <c r="CY25" s="243"/>
      <c r="CZ25" s="243">
        <f>CY25/10*12</f>
        <v>0</v>
      </c>
      <c r="DA25" s="243"/>
      <c r="DB25" s="243"/>
      <c r="DC25" s="243"/>
      <c r="DD25" s="243"/>
      <c r="DE25" s="243"/>
      <c r="DF25" s="243"/>
      <c r="DG25" s="243"/>
      <c r="DH25" s="243">
        <f>DG25/10*12</f>
        <v>0</v>
      </c>
      <c r="DI25" s="243"/>
      <c r="DJ25" s="243"/>
      <c r="DK25" s="243"/>
      <c r="DL25" s="243"/>
      <c r="DM25" s="243"/>
      <c r="DN25" s="243"/>
      <c r="DO25" s="243"/>
      <c r="DP25" s="243">
        <f>DO25/10*12</f>
        <v>0</v>
      </c>
      <c r="DQ25" s="243"/>
      <c r="DR25" s="243"/>
      <c r="DS25" s="243"/>
      <c r="DT25" s="243"/>
      <c r="DU25" s="243"/>
      <c r="DV25" s="243"/>
      <c r="DW25" s="243"/>
      <c r="DX25" s="243">
        <f>DW25/10*12</f>
        <v>0</v>
      </c>
      <c r="DY25" s="243"/>
      <c r="DZ25" s="243"/>
      <c r="EA25" s="243"/>
      <c r="EB25" s="243"/>
      <c r="EC25" s="243"/>
      <c r="ED25" s="243"/>
      <c r="EE25" s="243"/>
      <c r="EF25" s="243">
        <f>EE25/10*12</f>
        <v>0</v>
      </c>
      <c r="EG25" s="243"/>
      <c r="EH25" s="243"/>
      <c r="EI25" s="243"/>
      <c r="EJ25" s="243"/>
      <c r="EK25" s="243"/>
      <c r="EL25" s="243"/>
      <c r="EM25" s="243"/>
      <c r="EN25" s="243">
        <f>EM25/10*12</f>
        <v>0</v>
      </c>
      <c r="EO25" s="243"/>
      <c r="EP25" s="243"/>
      <c r="EQ25" s="243"/>
      <c r="ER25" s="243"/>
      <c r="ES25" s="243"/>
      <c r="ET25" s="243"/>
      <c r="EU25" s="243"/>
      <c r="EV25" s="243">
        <f>EU25/10*12</f>
        <v>0</v>
      </c>
      <c r="EW25" s="243"/>
      <c r="EX25" s="243"/>
      <c r="EY25" s="243"/>
      <c r="EZ25" s="243"/>
      <c r="FA25" s="243"/>
      <c r="FB25" s="243"/>
      <c r="FC25" s="243"/>
      <c r="FD25" s="243">
        <f>FC25/10*12</f>
        <v>0</v>
      </c>
      <c r="FE25" s="243"/>
      <c r="FF25" s="243"/>
      <c r="FG25" s="243"/>
      <c r="FH25" s="243"/>
      <c r="FI25" s="243"/>
      <c r="FJ25" s="243"/>
      <c r="FK25" s="243"/>
      <c r="FL25" s="243">
        <f>FK25/10*12</f>
        <v>0</v>
      </c>
      <c r="FM25" s="243"/>
      <c r="FN25" s="243"/>
      <c r="FO25" s="243"/>
      <c r="FP25" s="243"/>
      <c r="FQ25" s="243"/>
      <c r="FR25" s="243"/>
      <c r="FS25" s="243"/>
      <c r="FT25" s="243">
        <f>FS25/10*12</f>
        <v>0</v>
      </c>
      <c r="FU25" s="243"/>
      <c r="FV25" s="243"/>
      <c r="FW25" s="243"/>
      <c r="FX25" s="243"/>
      <c r="FY25" s="243"/>
      <c r="FZ25" s="243"/>
      <c r="GA25" s="243"/>
      <c r="GB25" s="243">
        <f>GA25/10*12</f>
        <v>0</v>
      </c>
      <c r="GC25" s="243"/>
      <c r="GD25" s="243"/>
      <c r="GE25" s="243"/>
      <c r="GF25" s="243"/>
      <c r="GG25" s="243"/>
      <c r="GH25" s="243"/>
      <c r="GI25" s="243"/>
      <c r="GJ25" s="243">
        <f>GI25/10*12</f>
        <v>0</v>
      </c>
      <c r="GK25" s="243"/>
      <c r="GL25" s="243"/>
      <c r="GM25" s="243"/>
      <c r="GN25" s="243"/>
      <c r="GO25" s="243"/>
      <c r="GP25" s="243"/>
      <c r="GQ25" s="243"/>
      <c r="GR25" s="243">
        <f>GQ25/10*12</f>
        <v>0</v>
      </c>
      <c r="GS25" s="243"/>
      <c r="GT25" s="243"/>
      <c r="GU25" s="243"/>
      <c r="GV25" s="243"/>
      <c r="GW25" s="243"/>
      <c r="GX25" s="243"/>
      <c r="GY25" s="243"/>
      <c r="GZ25" s="243">
        <f>GY25/10*12</f>
        <v>0</v>
      </c>
      <c r="HA25" s="243"/>
      <c r="HB25" s="243"/>
      <c r="HC25" s="243"/>
      <c r="HD25" s="243"/>
      <c r="HE25" s="243"/>
      <c r="HF25" s="243"/>
      <c r="HG25" s="243"/>
      <c r="HH25" s="243">
        <f>HG25/10*12</f>
        <v>0</v>
      </c>
      <c r="HI25" s="243"/>
      <c r="HJ25" s="243"/>
      <c r="HK25" s="243"/>
      <c r="HL25" s="243"/>
      <c r="HM25" s="243"/>
      <c r="HN25" s="243"/>
      <c r="HO25" s="243"/>
      <c r="HP25" s="243">
        <f>HO25/10*12</f>
        <v>0</v>
      </c>
      <c r="HQ25" s="243"/>
      <c r="HR25" s="243"/>
      <c r="HS25" s="243"/>
      <c r="HT25" s="243"/>
      <c r="HU25" s="243"/>
      <c r="HV25" s="243"/>
      <c r="HW25" s="243"/>
      <c r="HX25" s="243">
        <f>HW25/10*12</f>
        <v>0</v>
      </c>
      <c r="HY25" s="243"/>
      <c r="HZ25" s="243"/>
      <c r="IA25" s="243"/>
      <c r="IB25" s="243"/>
      <c r="IC25" s="243"/>
      <c r="ID25" s="243"/>
      <c r="IE25" s="243"/>
      <c r="IF25" s="243">
        <f>IE25/10*12</f>
        <v>0</v>
      </c>
      <c r="IG25" s="243"/>
      <c r="IH25" s="243"/>
      <c r="II25" s="243"/>
      <c r="IJ25" s="243"/>
      <c r="IK25" s="243"/>
      <c r="IL25" s="243"/>
      <c r="IM25" s="243"/>
      <c r="IN25" s="243">
        <f>IM25/10*12</f>
        <v>0</v>
      </c>
      <c r="IO25" s="243"/>
      <c r="IP25" s="243"/>
      <c r="IQ25" s="243"/>
      <c r="IR25" s="243"/>
      <c r="IS25" s="243"/>
      <c r="IT25" s="243"/>
      <c r="IU25" s="243"/>
      <c r="IV25" s="243">
        <f>IU25/10*12</f>
        <v>0</v>
      </c>
      <c r="IW25" s="243"/>
      <c r="IX25" s="243"/>
      <c r="IY25" s="243"/>
      <c r="IZ25" s="243"/>
      <c r="JA25" s="243"/>
      <c r="JB25" s="243"/>
      <c r="JC25" s="243"/>
      <c r="JD25" s="243">
        <f>JC25/10*12</f>
        <v>0</v>
      </c>
      <c r="JE25" s="243"/>
      <c r="JF25" s="243"/>
      <c r="JG25" s="243"/>
      <c r="JH25" s="243"/>
      <c r="JI25" s="243"/>
      <c r="JJ25" s="243"/>
      <c r="JK25" s="243"/>
      <c r="JL25" s="243">
        <f>JK25/10*12</f>
        <v>0</v>
      </c>
      <c r="JM25" s="243"/>
      <c r="JN25" s="243"/>
      <c r="JO25" s="243"/>
      <c r="JP25" s="243"/>
      <c r="JQ25" s="243"/>
      <c r="JR25" s="243"/>
      <c r="JS25" s="243"/>
      <c r="JT25" s="243">
        <f>JS25/10*12</f>
        <v>0</v>
      </c>
      <c r="JU25" s="243"/>
      <c r="JV25" s="243"/>
      <c r="JW25" s="243"/>
      <c r="JX25" s="243"/>
      <c r="JY25" s="243"/>
      <c r="JZ25" s="243"/>
      <c r="KA25" s="243"/>
      <c r="KB25" s="243">
        <f>KA25/10*12</f>
        <v>0</v>
      </c>
      <c r="KC25" s="243"/>
      <c r="KD25" s="243"/>
      <c r="KE25" s="243"/>
      <c r="KF25" s="243"/>
      <c r="KG25" s="243"/>
      <c r="KH25" s="243"/>
      <c r="KI25" s="243"/>
      <c r="KJ25" s="243">
        <f>KI25/10*12</f>
        <v>0</v>
      </c>
      <c r="KK25" s="243"/>
      <c r="KL25" s="243"/>
      <c r="KM25" s="243"/>
      <c r="KN25" s="243"/>
      <c r="KO25" s="243"/>
      <c r="KP25" s="243"/>
      <c r="KQ25" s="243"/>
      <c r="KR25" s="243">
        <f>KQ25/10*12</f>
        <v>0</v>
      </c>
      <c r="KS25" s="243"/>
      <c r="KT25" s="243"/>
      <c r="KU25" s="243"/>
      <c r="KV25" s="243"/>
      <c r="KW25" s="243"/>
      <c r="KX25" s="243"/>
      <c r="KY25" s="243"/>
      <c r="KZ25" s="243">
        <f>KY25/10*12</f>
        <v>0</v>
      </c>
      <c r="LA25" s="243"/>
      <c r="LB25" s="243"/>
      <c r="LC25" s="243"/>
      <c r="LD25" s="243"/>
      <c r="LE25" s="243"/>
      <c r="LF25" s="243"/>
      <c r="LG25" s="243"/>
      <c r="LH25" s="243">
        <f>LG25/10*12</f>
        <v>0</v>
      </c>
      <c r="LI25" s="243"/>
      <c r="LJ25" s="243"/>
      <c r="LK25" s="243"/>
      <c r="LL25" s="243"/>
      <c r="LM25" s="243"/>
      <c r="LN25" s="243"/>
      <c r="LO25" s="243"/>
      <c r="LP25" s="243">
        <f>LO25/10*12</f>
        <v>0</v>
      </c>
      <c r="LQ25" s="243"/>
      <c r="LR25" s="243"/>
      <c r="LS25" s="243"/>
      <c r="LT25" s="244">
        <f>LS25/10*12</f>
        <v>0</v>
      </c>
      <c r="LU25" s="243">
        <v>0</v>
      </c>
      <c r="LV25" s="243"/>
      <c r="LW25" s="243"/>
      <c r="LX25" s="243"/>
      <c r="LY25" s="243"/>
      <c r="LZ25" s="243"/>
      <c r="MA25" s="243"/>
      <c r="MB25" s="243">
        <f>MA25/10*12</f>
        <v>0</v>
      </c>
      <c r="MC25" s="243"/>
      <c r="MD25" s="243"/>
      <c r="ME25" s="243"/>
      <c r="MF25" s="243"/>
      <c r="MG25" s="243"/>
      <c r="MH25" s="243"/>
      <c r="MI25" s="243"/>
      <c r="MJ25" s="243">
        <f>MI25/10*12</f>
        <v>0</v>
      </c>
      <c r="MK25" s="243"/>
      <c r="ML25" s="243"/>
      <c r="MM25" s="243"/>
      <c r="MN25" s="243">
        <v>0</v>
      </c>
      <c r="MO25" s="243">
        <v>0</v>
      </c>
      <c r="MP25" s="243"/>
      <c r="MQ25" s="243"/>
      <c r="MR25" s="243">
        <f>MQ25/10*12</f>
        <v>0</v>
      </c>
      <c r="MS25" s="273">
        <v>0</v>
      </c>
      <c r="MT25" s="243"/>
      <c r="MU25" s="243"/>
      <c r="MV25" s="243">
        <v>0</v>
      </c>
      <c r="MW25" s="243">
        <v>0</v>
      </c>
      <c r="MX25" s="243"/>
      <c r="MY25" s="243"/>
      <c r="MZ25" s="243">
        <f>MY25/10*12</f>
        <v>0</v>
      </c>
      <c r="NA25" s="243">
        <v>0</v>
      </c>
      <c r="NB25" s="243"/>
      <c r="NC25" s="243"/>
      <c r="ND25" s="243">
        <f>NC25/10*12</f>
        <v>0</v>
      </c>
      <c r="NE25" s="243">
        <v>0</v>
      </c>
      <c r="NF25" s="243"/>
      <c r="NG25" s="243"/>
      <c r="NH25" s="243"/>
      <c r="NI25" s="243"/>
      <c r="NJ25" s="243"/>
      <c r="NK25" s="243"/>
      <c r="NL25" s="243">
        <f>NK25/10*12</f>
        <v>0</v>
      </c>
      <c r="NM25" s="243"/>
      <c r="NN25" s="243"/>
      <c r="NO25" s="243"/>
      <c r="NP25" s="243"/>
      <c r="NQ25" s="243"/>
      <c r="NR25" s="243"/>
      <c r="NS25" s="243"/>
      <c r="NT25" s="243">
        <f>NS25/10*12</f>
        <v>0</v>
      </c>
      <c r="NU25" s="243"/>
      <c r="NV25" s="243"/>
      <c r="NW25" s="243"/>
      <c r="NX25" s="243"/>
      <c r="NY25" s="243"/>
      <c r="NZ25" s="243"/>
      <c r="OA25" s="243"/>
      <c r="OB25" s="243">
        <f>OA25/10*12</f>
        <v>0</v>
      </c>
      <c r="OC25" s="243"/>
      <c r="OD25" s="243"/>
      <c r="OE25" s="243"/>
      <c r="OF25" s="243"/>
      <c r="OG25" s="243"/>
      <c r="OH25" s="243"/>
      <c r="OI25" s="243"/>
      <c r="OJ25" s="243">
        <f>OI25/10*12</f>
        <v>0</v>
      </c>
      <c r="OK25" s="243"/>
      <c r="OL25" s="243"/>
      <c r="OM25" s="243"/>
      <c r="ON25" s="243"/>
      <c r="OO25" s="243"/>
      <c r="OP25" s="243"/>
      <c r="OQ25" s="243"/>
      <c r="OR25" s="243">
        <f>OQ25/10*12</f>
        <v>0</v>
      </c>
      <c r="OS25" s="243"/>
      <c r="OT25" s="243"/>
      <c r="OU25" s="243"/>
      <c r="OV25" s="243"/>
      <c r="OW25" s="243"/>
      <c r="OX25" s="243"/>
      <c r="OY25" s="243"/>
      <c r="OZ25" s="243">
        <f>OY25/10*12</f>
        <v>0</v>
      </c>
      <c r="PA25" s="244"/>
      <c r="PB25" s="243"/>
      <c r="PC25" s="243"/>
      <c r="PD25" s="243">
        <f>PC25/10*12</f>
        <v>0</v>
      </c>
      <c r="PE25" s="244"/>
      <c r="PF25" s="243"/>
      <c r="PG25" s="243"/>
      <c r="PH25" s="243"/>
      <c r="PI25" s="243"/>
      <c r="PJ25" s="243"/>
      <c r="PK25" s="243"/>
      <c r="PL25" s="243">
        <f t="shared" ref="PL25:PL69" si="139">PK25/10*12</f>
        <v>0</v>
      </c>
      <c r="PM25" s="244"/>
      <c r="PN25" s="243">
        <v>-1000</v>
      </c>
      <c r="PO25" s="243">
        <v>0</v>
      </c>
      <c r="PP25" s="243">
        <v>2970.3275002369501</v>
      </c>
      <c r="PQ25" s="243">
        <v>0</v>
      </c>
      <c r="PR25" s="243"/>
      <c r="PS25" s="243"/>
      <c r="PT25" s="243">
        <f>PS25/10*12</f>
        <v>0</v>
      </c>
      <c r="PU25" s="243"/>
      <c r="PV25" s="243"/>
      <c r="PW25" s="243"/>
      <c r="PX25" s="243"/>
      <c r="PY25" s="243"/>
      <c r="PZ25" s="243"/>
      <c r="QA25" s="243"/>
      <c r="QB25" s="243">
        <f>QA25/10*12</f>
        <v>0</v>
      </c>
      <c r="QC25" s="243"/>
      <c r="QD25" s="243"/>
      <c r="QE25" s="243"/>
      <c r="QF25" s="243"/>
      <c r="QG25" s="243"/>
      <c r="QH25" s="243"/>
      <c r="QI25" s="243"/>
      <c r="QJ25" s="243">
        <f>QI25/10*12</f>
        <v>0</v>
      </c>
      <c r="QK25" s="243">
        <v>0</v>
      </c>
      <c r="QL25" s="243"/>
      <c r="QM25" s="243"/>
      <c r="QN25" s="243"/>
      <c r="QO25" s="243"/>
      <c r="QP25" s="243">
        <f>QO25/10*12</f>
        <v>0</v>
      </c>
      <c r="QQ25" s="243">
        <f t="shared" ref="QQ25:QQ75" si="140">QP25/9*12</f>
        <v>0</v>
      </c>
      <c r="QR25" s="243"/>
      <c r="QS25" s="243"/>
      <c r="QT25" s="243"/>
      <c r="QU25" s="243"/>
      <c r="QV25" s="243">
        <f>QU25/10*12</f>
        <v>0</v>
      </c>
      <c r="QW25" s="243"/>
      <c r="QX25" s="243"/>
      <c r="QY25" s="243"/>
      <c r="QZ25" s="243"/>
      <c r="RA25" s="243"/>
      <c r="RB25" s="243"/>
      <c r="RC25" s="243"/>
      <c r="RD25" s="243">
        <f>RC25/10*12</f>
        <v>0</v>
      </c>
      <c r="RE25" s="299"/>
      <c r="RF25" s="259">
        <f t="shared" si="101"/>
        <v>30029.599999999999</v>
      </c>
      <c r="RG25" s="259">
        <f t="shared" ref="RG25:RG74" si="141">RC25+QU25+QO25+QI25+QA25+PS25+PK25+PC25+OY25+OQ25+OI25+OA25+NS25+NK25+NC25+MY25+MQ25+MI25+MA25+LS25+LO25+LG25+KY25+KQ25+KI25+KA25+JS25+JK25+JC25+IU25+IM25+IE25+HW25+HO25+HG25+GY25+GQ25+GI25+GA25+FS25+FK25+FC25+EU25+EM25+EE25+DW25+DO25+DG25+CY25+CQ25+CI25+CA25+BS25+BK25+BC25+AU25+AM25+AE25+W25+O25+G25</f>
        <v>21949.424330000002</v>
      </c>
      <c r="RH25" s="259">
        <f t="shared" ref="RH25:RH75" si="142">RD25+QV25+QP25+QJ25+QB25+PT25+PL25+PD25+OZ25+OR25+OJ25+OB25+NT25+NL25+ND25+MZ25+MR25+MJ25+MB25+LT25+LP25+LH25+KZ25+KR25+KJ25+KB25+JT25+JL25+JD25+IV25+IN25+IF25+HX25+HP25+HH25+GZ25+GR25+GJ25+GB25+FT25+FL25+FD25+EV25+EN25+EF25+DX25+DP25+DH25+CZ25+CR25+CJ25+CB25+BT25+BL25+BD25+AV25+AN25+AF25+X25+P25+H25</f>
        <v>26339.309196000002</v>
      </c>
      <c r="RI25" s="256">
        <f t="shared" ref="RI25:RI75" si="143">RE25+QW25+QQ25+QK25+QC25+PU25+PM25+PE25+PA25+OS25+OK25+OC25+NU25+NM25+NE25+NA25+MS25+MK25+MC25+LU25+LQ25+LI25+LA25+KS25+KK25+KC25+JU25+JM25+JE25+IW25+IO25+IG25+HY25+HQ25+HI25+HA25+GS25+GK25+GC25+FU25+FM25+FE25+EW25+EO25+EG25+DY25+DQ25+DI25+DA25+CS25+CK25+CC25+BU25+BM25+BE25+AW25+AO25+AG25+Y25+Q25+I25</f>
        <v>33311.645710000026</v>
      </c>
    </row>
    <row r="26" spans="1:479">
      <c r="A26" s="5" t="s">
        <v>74</v>
      </c>
      <c r="B26" s="263">
        <v>132999.99999999499</v>
      </c>
      <c r="C26" s="246">
        <v>135520.79166000008</v>
      </c>
      <c r="D26" s="246">
        <v>102099.975450649</v>
      </c>
      <c r="E26" s="246">
        <v>104752.86194000002</v>
      </c>
      <c r="F26" s="278">
        <v>102000</v>
      </c>
      <c r="G26" s="243">
        <v>94132.476620000001</v>
      </c>
      <c r="H26" s="243">
        <f t="shared" ref="H26:H75" si="144">G26/10*12</f>
        <v>112958.97194399999</v>
      </c>
      <c r="I26" s="278">
        <v>104752.86194000002</v>
      </c>
      <c r="J26" s="246"/>
      <c r="K26" s="246"/>
      <c r="L26" s="246"/>
      <c r="M26" s="246"/>
      <c r="N26" s="246"/>
      <c r="O26" s="246"/>
      <c r="P26" s="243">
        <f t="shared" ref="P26:P75" si="145">O26/10*12</f>
        <v>0</v>
      </c>
      <c r="Q26" s="246"/>
      <c r="R26" s="246"/>
      <c r="S26" s="246"/>
      <c r="T26" s="246"/>
      <c r="U26" s="246"/>
      <c r="V26" s="246"/>
      <c r="W26" s="246"/>
      <c r="X26" s="243">
        <f t="shared" ref="X26:X75" si="146">W26/10*12</f>
        <v>0</v>
      </c>
      <c r="Y26" s="246"/>
      <c r="Z26" s="246"/>
      <c r="AA26" s="246"/>
      <c r="AB26" s="246"/>
      <c r="AC26" s="246"/>
      <c r="AD26" s="246"/>
      <c r="AE26" s="246"/>
      <c r="AF26" s="243">
        <f t="shared" ref="AF26:AF75" si="147">AE26/10*12</f>
        <v>0</v>
      </c>
      <c r="AG26" s="246"/>
      <c r="AH26" s="246"/>
      <c r="AI26" s="246"/>
      <c r="AJ26" s="246"/>
      <c r="AK26" s="246"/>
      <c r="AL26" s="246"/>
      <c r="AM26" s="246"/>
      <c r="AN26" s="243">
        <f t="shared" ref="AN26:AN74" si="148">AM26/10*12</f>
        <v>0</v>
      </c>
      <c r="AO26" s="246"/>
      <c r="AP26" s="246"/>
      <c r="AQ26" s="246"/>
      <c r="AR26" s="246"/>
      <c r="AS26" s="246"/>
      <c r="AT26" s="246"/>
      <c r="AU26" s="246"/>
      <c r="AV26" s="243">
        <f t="shared" ref="AV26:AV75" si="149">AU26/10*12</f>
        <v>0</v>
      </c>
      <c r="AW26" s="246"/>
      <c r="AX26" s="246"/>
      <c r="AY26" s="246"/>
      <c r="AZ26" s="246"/>
      <c r="BA26" s="246"/>
      <c r="BB26" s="246"/>
      <c r="BC26" s="246"/>
      <c r="BD26" s="243">
        <f t="shared" ref="BD26:BD75" si="150">BC26/10*12</f>
        <v>0</v>
      </c>
      <c r="BE26" s="246"/>
      <c r="BF26" s="246"/>
      <c r="BG26" s="246"/>
      <c r="BH26" s="246"/>
      <c r="BI26" s="246"/>
      <c r="BJ26" s="246"/>
      <c r="BK26" s="246"/>
      <c r="BL26" s="243">
        <f t="shared" ref="BL26:BL75" si="151">BK26/10*12</f>
        <v>0</v>
      </c>
      <c r="BM26" s="246"/>
      <c r="BN26" s="246"/>
      <c r="BO26" s="246"/>
      <c r="BP26" s="246"/>
      <c r="BQ26" s="246"/>
      <c r="BR26" s="246"/>
      <c r="BS26" s="246"/>
      <c r="BT26" s="243">
        <f t="shared" ref="BT26:BT75" si="152">BS26/10*12</f>
        <v>0</v>
      </c>
      <c r="BU26" s="246"/>
      <c r="BV26" s="246"/>
      <c r="BW26" s="246"/>
      <c r="BX26" s="246"/>
      <c r="BY26" s="246"/>
      <c r="BZ26" s="246"/>
      <c r="CA26" s="246"/>
      <c r="CB26" s="243">
        <f t="shared" ref="CB26:CB75" si="153">CA26/10*12</f>
        <v>0</v>
      </c>
      <c r="CC26" s="246"/>
      <c r="CD26" s="246"/>
      <c r="CE26" s="246"/>
      <c r="CF26" s="246"/>
      <c r="CG26" s="246"/>
      <c r="CH26" s="246"/>
      <c r="CI26" s="246"/>
      <c r="CJ26" s="243">
        <f t="shared" ref="CJ26:CJ75" si="154">CI26/10*12</f>
        <v>0</v>
      </c>
      <c r="CK26" s="246"/>
      <c r="CL26" s="246"/>
      <c r="CM26" s="246"/>
      <c r="CN26" s="246"/>
      <c r="CO26" s="246"/>
      <c r="CP26" s="246"/>
      <c r="CQ26" s="246"/>
      <c r="CR26" s="243">
        <f t="shared" ref="CR26:CR75" si="155">CQ26/10*12</f>
        <v>0</v>
      </c>
      <c r="CS26" s="246"/>
      <c r="CT26" s="246"/>
      <c r="CU26" s="246"/>
      <c r="CV26" s="246"/>
      <c r="CW26" s="246"/>
      <c r="CX26" s="246"/>
      <c r="CY26" s="246"/>
      <c r="CZ26" s="243">
        <f t="shared" ref="CZ26:CZ75" si="156">CY26/10*12</f>
        <v>0</v>
      </c>
      <c r="DA26" s="246"/>
      <c r="DB26" s="246"/>
      <c r="DC26" s="246"/>
      <c r="DD26" s="246"/>
      <c r="DE26" s="246"/>
      <c r="DF26" s="246"/>
      <c r="DG26" s="246"/>
      <c r="DH26" s="243">
        <f t="shared" ref="DH26:DH75" si="157">DG26/10*12</f>
        <v>0</v>
      </c>
      <c r="DI26" s="246"/>
      <c r="DJ26" s="246"/>
      <c r="DK26" s="246"/>
      <c r="DL26" s="246"/>
      <c r="DM26" s="246"/>
      <c r="DN26" s="246"/>
      <c r="DO26" s="246"/>
      <c r="DP26" s="243">
        <f t="shared" ref="DP26:DP75" si="158">DO26/10*12</f>
        <v>0</v>
      </c>
      <c r="DQ26" s="246"/>
      <c r="DR26" s="246"/>
      <c r="DS26" s="246"/>
      <c r="DT26" s="246"/>
      <c r="DU26" s="246"/>
      <c r="DV26" s="246"/>
      <c r="DW26" s="246"/>
      <c r="DX26" s="243">
        <f t="shared" ref="DX26:DX75" si="159">DW26/10*12</f>
        <v>0</v>
      </c>
      <c r="DY26" s="246"/>
      <c r="DZ26" s="246"/>
      <c r="EA26" s="246"/>
      <c r="EB26" s="246"/>
      <c r="EC26" s="246"/>
      <c r="ED26" s="246"/>
      <c r="EE26" s="246"/>
      <c r="EF26" s="243">
        <f t="shared" ref="EF26:EF75" si="160">EE26/10*12</f>
        <v>0</v>
      </c>
      <c r="EG26" s="246"/>
      <c r="EH26" s="246"/>
      <c r="EI26" s="246"/>
      <c r="EJ26" s="246"/>
      <c r="EK26" s="246"/>
      <c r="EL26" s="246"/>
      <c r="EM26" s="246"/>
      <c r="EN26" s="243">
        <f t="shared" ref="EN26:EN75" si="161">EM26/10*12</f>
        <v>0</v>
      </c>
      <c r="EO26" s="246"/>
      <c r="EP26" s="246"/>
      <c r="EQ26" s="246"/>
      <c r="ER26" s="246"/>
      <c r="ES26" s="246"/>
      <c r="ET26" s="246"/>
      <c r="EU26" s="246"/>
      <c r="EV26" s="243">
        <f t="shared" ref="EV26:EV75" si="162">EU26/10*12</f>
        <v>0</v>
      </c>
      <c r="EW26" s="246"/>
      <c r="EX26" s="246"/>
      <c r="EY26" s="246"/>
      <c r="EZ26" s="246"/>
      <c r="FA26" s="246"/>
      <c r="FB26" s="246"/>
      <c r="FC26" s="246"/>
      <c r="FD26" s="243">
        <f t="shared" ref="FD26:FD75" si="163">FC26/10*12</f>
        <v>0</v>
      </c>
      <c r="FE26" s="246"/>
      <c r="FF26" s="246"/>
      <c r="FG26" s="246"/>
      <c r="FH26" s="246"/>
      <c r="FI26" s="246"/>
      <c r="FJ26" s="246"/>
      <c r="FK26" s="246"/>
      <c r="FL26" s="243">
        <f t="shared" ref="FL26:FL75" si="164">FK26/10*12</f>
        <v>0</v>
      </c>
      <c r="FM26" s="246"/>
      <c r="FN26" s="246"/>
      <c r="FO26" s="246"/>
      <c r="FP26" s="246"/>
      <c r="FQ26" s="246"/>
      <c r="FR26" s="246"/>
      <c r="FS26" s="246"/>
      <c r="FT26" s="243">
        <f t="shared" ref="FT26:FT75" si="165">FS26/10*12</f>
        <v>0</v>
      </c>
      <c r="FU26" s="246"/>
      <c r="FV26" s="246"/>
      <c r="FW26" s="246"/>
      <c r="FX26" s="246"/>
      <c r="FY26" s="246"/>
      <c r="FZ26" s="246"/>
      <c r="GA26" s="246"/>
      <c r="GB26" s="243">
        <f t="shared" ref="GB26:GB75" si="166">GA26/10*12</f>
        <v>0</v>
      </c>
      <c r="GC26" s="246"/>
      <c r="GD26" s="246"/>
      <c r="GE26" s="246"/>
      <c r="GF26" s="246"/>
      <c r="GG26" s="246"/>
      <c r="GH26" s="246"/>
      <c r="GI26" s="246"/>
      <c r="GJ26" s="243">
        <f t="shared" ref="GJ26:GJ75" si="167">GI26/10*12</f>
        <v>0</v>
      </c>
      <c r="GK26" s="246"/>
      <c r="GL26" s="246"/>
      <c r="GM26" s="246"/>
      <c r="GN26" s="246"/>
      <c r="GO26" s="246"/>
      <c r="GP26" s="246"/>
      <c r="GQ26" s="246"/>
      <c r="GR26" s="243">
        <f t="shared" ref="GR26:GR75" si="168">GQ26/10*12</f>
        <v>0</v>
      </c>
      <c r="GS26" s="246"/>
      <c r="GT26" s="246"/>
      <c r="GU26" s="246"/>
      <c r="GV26" s="246"/>
      <c r="GW26" s="246"/>
      <c r="GX26" s="246"/>
      <c r="GY26" s="246"/>
      <c r="GZ26" s="243">
        <f t="shared" ref="GZ26:GZ75" si="169">GY26/10*12</f>
        <v>0</v>
      </c>
      <c r="HA26" s="246"/>
      <c r="HB26" s="246"/>
      <c r="HC26" s="246"/>
      <c r="HD26" s="246"/>
      <c r="HE26" s="246"/>
      <c r="HF26" s="246"/>
      <c r="HG26" s="246"/>
      <c r="HH26" s="243">
        <f t="shared" ref="HH26:HH75" si="170">HG26/10*12</f>
        <v>0</v>
      </c>
      <c r="HI26" s="246"/>
      <c r="HJ26" s="246"/>
      <c r="HK26" s="246"/>
      <c r="HL26" s="246"/>
      <c r="HM26" s="246"/>
      <c r="HN26" s="246"/>
      <c r="HO26" s="246"/>
      <c r="HP26" s="243">
        <f t="shared" ref="HP26:HP75" si="171">HO26/10*12</f>
        <v>0</v>
      </c>
      <c r="HQ26" s="246"/>
      <c r="HR26" s="246"/>
      <c r="HS26" s="246"/>
      <c r="HT26" s="246"/>
      <c r="HU26" s="246"/>
      <c r="HV26" s="246"/>
      <c r="HW26" s="246"/>
      <c r="HX26" s="243">
        <f t="shared" ref="HX26:HX75" si="172">HW26/10*12</f>
        <v>0</v>
      </c>
      <c r="HY26" s="246"/>
      <c r="HZ26" s="246"/>
      <c r="IA26" s="246"/>
      <c r="IB26" s="246"/>
      <c r="IC26" s="246"/>
      <c r="ID26" s="246"/>
      <c r="IE26" s="246"/>
      <c r="IF26" s="243">
        <f t="shared" ref="IF26:IF75" si="173">IE26/10*12</f>
        <v>0</v>
      </c>
      <c r="IG26" s="246"/>
      <c r="IH26" s="246"/>
      <c r="II26" s="246"/>
      <c r="IJ26" s="246"/>
      <c r="IK26" s="246"/>
      <c r="IL26" s="246"/>
      <c r="IM26" s="246"/>
      <c r="IN26" s="243">
        <f t="shared" ref="IN26:IN75" si="174">IM26/10*12</f>
        <v>0</v>
      </c>
      <c r="IO26" s="246"/>
      <c r="IP26" s="246"/>
      <c r="IQ26" s="246"/>
      <c r="IR26" s="246"/>
      <c r="IS26" s="246"/>
      <c r="IT26" s="246"/>
      <c r="IU26" s="246"/>
      <c r="IV26" s="243">
        <f t="shared" ref="IV26:IV75" si="175">IU26/10*12</f>
        <v>0</v>
      </c>
      <c r="IW26" s="246"/>
      <c r="IX26" s="246"/>
      <c r="IY26" s="246"/>
      <c r="IZ26" s="246"/>
      <c r="JA26" s="246"/>
      <c r="JB26" s="246"/>
      <c r="JC26" s="246"/>
      <c r="JD26" s="243">
        <f t="shared" ref="JD26:JD75" si="176">JC26/10*12</f>
        <v>0</v>
      </c>
      <c r="JE26" s="246"/>
      <c r="JF26" s="246"/>
      <c r="JG26" s="246"/>
      <c r="JH26" s="246"/>
      <c r="JI26" s="246"/>
      <c r="JJ26" s="246"/>
      <c r="JK26" s="246"/>
      <c r="JL26" s="243">
        <f t="shared" ref="JL26:JL75" si="177">JK26/10*12</f>
        <v>0</v>
      </c>
      <c r="JM26" s="246"/>
      <c r="JN26" s="246"/>
      <c r="JO26" s="246"/>
      <c r="JP26" s="246"/>
      <c r="JQ26" s="246"/>
      <c r="JR26" s="246"/>
      <c r="JS26" s="246"/>
      <c r="JT26" s="243">
        <f t="shared" ref="JT26:JT75" si="178">JS26/10*12</f>
        <v>0</v>
      </c>
      <c r="JU26" s="246"/>
      <c r="JV26" s="246"/>
      <c r="JW26" s="246"/>
      <c r="JX26" s="246"/>
      <c r="JY26" s="246"/>
      <c r="JZ26" s="246"/>
      <c r="KA26" s="246"/>
      <c r="KB26" s="243">
        <f t="shared" ref="KB26:KB75" si="179">KA26/10*12</f>
        <v>0</v>
      </c>
      <c r="KC26" s="246"/>
      <c r="KD26" s="246"/>
      <c r="KE26" s="246"/>
      <c r="KF26" s="246"/>
      <c r="KG26" s="246"/>
      <c r="KH26" s="246"/>
      <c r="KI26" s="246"/>
      <c r="KJ26" s="243">
        <f t="shared" ref="KJ26:KJ75" si="180">KI26/10*12</f>
        <v>0</v>
      </c>
      <c r="KK26" s="246"/>
      <c r="KL26" s="246"/>
      <c r="KM26" s="246"/>
      <c r="KN26" s="246"/>
      <c r="KO26" s="246"/>
      <c r="KP26" s="246"/>
      <c r="KQ26" s="246"/>
      <c r="KR26" s="243">
        <f t="shared" ref="KR26:KR75" si="181">KQ26/10*12</f>
        <v>0</v>
      </c>
      <c r="KS26" s="246"/>
      <c r="KT26" s="246"/>
      <c r="KU26" s="246"/>
      <c r="KV26" s="246"/>
      <c r="KW26" s="246"/>
      <c r="KX26" s="246"/>
      <c r="KY26" s="246"/>
      <c r="KZ26" s="243">
        <f t="shared" ref="KZ26:KZ74" si="182">KY26/10*12</f>
        <v>0</v>
      </c>
      <c r="LA26" s="246"/>
      <c r="LB26" s="246"/>
      <c r="LC26" s="246"/>
      <c r="LD26" s="246"/>
      <c r="LE26" s="246"/>
      <c r="LF26" s="246"/>
      <c r="LG26" s="246"/>
      <c r="LH26" s="243">
        <f t="shared" ref="LH26:LH75" si="183">LG26/10*12</f>
        <v>0</v>
      </c>
      <c r="LI26" s="246"/>
      <c r="LJ26" s="246"/>
      <c r="LK26" s="246"/>
      <c r="LL26" s="246"/>
      <c r="LM26" s="246"/>
      <c r="LN26" s="246"/>
      <c r="LO26" s="246"/>
      <c r="LP26" s="243">
        <f t="shared" ref="LP26:LP75" si="184">LO26/10*12</f>
        <v>0</v>
      </c>
      <c r="LQ26" s="246"/>
      <c r="LR26" s="246"/>
      <c r="LS26" s="246"/>
      <c r="LT26" s="244">
        <f t="shared" ref="LT26:LT74" si="185">LS26/10*12</f>
        <v>0</v>
      </c>
      <c r="LU26" s="246">
        <v>0</v>
      </c>
      <c r="LV26" s="246"/>
      <c r="LW26" s="246"/>
      <c r="LX26" s="246"/>
      <c r="LY26" s="246"/>
      <c r="LZ26" s="246"/>
      <c r="MA26" s="246"/>
      <c r="MB26" s="243">
        <f t="shared" ref="MB26:MB75" si="186">MA26/10*12</f>
        <v>0</v>
      </c>
      <c r="MC26" s="246"/>
      <c r="MD26" s="246"/>
      <c r="ME26" s="246"/>
      <c r="MF26" s="246"/>
      <c r="MG26" s="246"/>
      <c r="MH26" s="246"/>
      <c r="MI26" s="246"/>
      <c r="MJ26" s="243">
        <f t="shared" ref="MJ26:MJ75" si="187">MI26/10*12</f>
        <v>0</v>
      </c>
      <c r="MK26" s="246"/>
      <c r="ML26" s="246"/>
      <c r="MM26" s="246"/>
      <c r="MN26" s="246"/>
      <c r="MO26" s="246"/>
      <c r="MP26" s="246"/>
      <c r="MQ26" s="246"/>
      <c r="MR26" s="243">
        <f t="shared" ref="MR26:MR75" si="188">MQ26/10*12</f>
        <v>0</v>
      </c>
      <c r="MS26" s="271"/>
      <c r="MT26" s="246"/>
      <c r="MU26" s="246"/>
      <c r="MV26" s="246"/>
      <c r="MW26" s="246"/>
      <c r="MX26" s="246"/>
      <c r="MY26" s="246"/>
      <c r="MZ26" s="243">
        <f t="shared" ref="MZ26:MZ74" si="189">MY26/10*12</f>
        <v>0</v>
      </c>
      <c r="NA26" s="246"/>
      <c r="NB26" s="246"/>
      <c r="NC26" s="246"/>
      <c r="ND26" s="243">
        <f t="shared" ref="ND26:ND75" si="190">NC26/10*12</f>
        <v>0</v>
      </c>
      <c r="NE26" s="246">
        <v>0</v>
      </c>
      <c r="NF26" s="246"/>
      <c r="NG26" s="246"/>
      <c r="NH26" s="246"/>
      <c r="NI26" s="246"/>
      <c r="NJ26" s="246"/>
      <c r="NK26" s="246"/>
      <c r="NL26" s="243">
        <f t="shared" ref="NL26:NL75" si="191">NK26/10*12</f>
        <v>0</v>
      </c>
      <c r="NM26" s="246"/>
      <c r="NN26" s="246"/>
      <c r="NO26" s="246"/>
      <c r="NP26" s="246"/>
      <c r="NQ26" s="246"/>
      <c r="NR26" s="246"/>
      <c r="NS26" s="246"/>
      <c r="NT26" s="243">
        <f t="shared" ref="NT26:NT75" si="192">NS26/10*12</f>
        <v>0</v>
      </c>
      <c r="NU26" s="246"/>
      <c r="NV26" s="246"/>
      <c r="NW26" s="246"/>
      <c r="NX26" s="246"/>
      <c r="NY26" s="246"/>
      <c r="NZ26" s="246"/>
      <c r="OA26" s="246"/>
      <c r="OB26" s="243">
        <f t="shared" ref="OB26:OB75" si="193">OA26/10*12</f>
        <v>0</v>
      </c>
      <c r="OC26" s="246"/>
      <c r="OD26" s="246"/>
      <c r="OE26" s="246"/>
      <c r="OF26" s="246"/>
      <c r="OG26" s="246"/>
      <c r="OH26" s="246"/>
      <c r="OI26" s="246"/>
      <c r="OJ26" s="243">
        <f t="shared" ref="OJ26:OJ75" si="194">OI26/10*12</f>
        <v>0</v>
      </c>
      <c r="OK26" s="246"/>
      <c r="OL26" s="246"/>
      <c r="OM26" s="246"/>
      <c r="ON26" s="246"/>
      <c r="OO26" s="246"/>
      <c r="OP26" s="246"/>
      <c r="OQ26" s="246"/>
      <c r="OR26" s="243">
        <f t="shared" ref="OR26:OR75" si="195">OQ26/10*12</f>
        <v>0</v>
      </c>
      <c r="OS26" s="246"/>
      <c r="OT26" s="246"/>
      <c r="OU26" s="246"/>
      <c r="OV26" s="246"/>
      <c r="OW26" s="246"/>
      <c r="OX26" s="246"/>
      <c r="OY26" s="246"/>
      <c r="OZ26" s="243">
        <f t="shared" ref="OZ26:OZ75" si="196">OY26/10*12</f>
        <v>0</v>
      </c>
      <c r="PA26" s="247"/>
      <c r="PB26" s="246"/>
      <c r="PC26" s="246"/>
      <c r="PD26" s="243">
        <f t="shared" ref="PD26:PD75" si="197">PC26/10*12</f>
        <v>0</v>
      </c>
      <c r="PE26" s="247"/>
      <c r="PF26" s="246"/>
      <c r="PG26" s="246"/>
      <c r="PH26" s="246"/>
      <c r="PI26" s="246"/>
      <c r="PJ26" s="246"/>
      <c r="PK26" s="246"/>
      <c r="PL26" s="243">
        <f t="shared" si="139"/>
        <v>0</v>
      </c>
      <c r="PM26" s="247"/>
      <c r="PN26" s="246">
        <v>-17200</v>
      </c>
      <c r="PO26" s="246">
        <v>0</v>
      </c>
      <c r="PP26" s="246">
        <v>32900.0773559929</v>
      </c>
      <c r="PQ26" s="246">
        <v>0</v>
      </c>
      <c r="PR26" s="246">
        <v>-4000</v>
      </c>
      <c r="PS26" s="246">
        <v>0</v>
      </c>
      <c r="PT26" s="243">
        <f t="shared" ref="PT26:PT74" si="198">PS26/10*12</f>
        <v>0</v>
      </c>
      <c r="PU26" s="246"/>
      <c r="PV26" s="246"/>
      <c r="PW26" s="246"/>
      <c r="PX26" s="246"/>
      <c r="PY26" s="246"/>
      <c r="PZ26" s="246"/>
      <c r="QA26" s="246"/>
      <c r="QB26" s="243">
        <f t="shared" ref="QB26:QB75" si="199">QA26/10*12</f>
        <v>0</v>
      </c>
      <c r="QC26" s="246"/>
      <c r="QD26" s="246"/>
      <c r="QE26" s="246"/>
      <c r="QF26" s="246"/>
      <c r="QG26" s="246"/>
      <c r="QH26" s="246"/>
      <c r="QI26" s="246"/>
      <c r="QJ26" s="243">
        <f t="shared" ref="QJ26:QJ74" si="200">QI26/10*12</f>
        <v>0</v>
      </c>
      <c r="QK26" s="246">
        <v>0</v>
      </c>
      <c r="QL26" s="246"/>
      <c r="QM26" s="246"/>
      <c r="QN26" s="246"/>
      <c r="QO26" s="246"/>
      <c r="QP26" s="243">
        <f t="shared" ref="QP26:QP75" si="201">QO26/10*12</f>
        <v>0</v>
      </c>
      <c r="QQ26" s="243">
        <f t="shared" si="140"/>
        <v>0</v>
      </c>
      <c r="QR26" s="246"/>
      <c r="QS26" s="246"/>
      <c r="QT26" s="246"/>
      <c r="QU26" s="246"/>
      <c r="QV26" s="243">
        <f t="shared" ref="QV26:QV75" si="202">QU26/10*12</f>
        <v>0</v>
      </c>
      <c r="QW26" s="246"/>
      <c r="QX26" s="246"/>
      <c r="QY26" s="246"/>
      <c r="QZ26" s="246"/>
      <c r="RA26" s="246"/>
      <c r="RB26" s="246"/>
      <c r="RC26" s="246"/>
      <c r="RD26" s="243">
        <f t="shared" ref="RD26:RD75" si="203">RC26/10*12</f>
        <v>0</v>
      </c>
      <c r="RE26" s="300"/>
      <c r="RF26" s="259">
        <f t="shared" si="101"/>
        <v>98000</v>
      </c>
      <c r="RG26" s="259">
        <f t="shared" si="141"/>
        <v>94132.476620000001</v>
      </c>
      <c r="RH26" s="259">
        <f t="shared" si="142"/>
        <v>112958.97194399999</v>
      </c>
      <c r="RI26" s="256">
        <f t="shared" si="143"/>
        <v>104752.86194000002</v>
      </c>
    </row>
    <row r="27" spans="1:479">
      <c r="A27" s="5" t="s">
        <v>104</v>
      </c>
      <c r="B27" s="263"/>
      <c r="C27" s="246"/>
      <c r="D27" s="246"/>
      <c r="E27" s="246"/>
      <c r="F27" s="246"/>
      <c r="G27" s="243"/>
      <c r="H27" s="243">
        <f t="shared" si="144"/>
        <v>0</v>
      </c>
      <c r="I27" s="246"/>
      <c r="J27" s="246"/>
      <c r="K27" s="246"/>
      <c r="L27" s="246"/>
      <c r="M27" s="246"/>
      <c r="N27" s="246"/>
      <c r="O27" s="246"/>
      <c r="P27" s="243">
        <f t="shared" si="145"/>
        <v>0</v>
      </c>
      <c r="Q27" s="246"/>
      <c r="R27" s="246"/>
      <c r="S27" s="246"/>
      <c r="T27" s="246"/>
      <c r="U27" s="246"/>
      <c r="V27" s="246"/>
      <c r="W27" s="246"/>
      <c r="X27" s="243">
        <f t="shared" si="146"/>
        <v>0</v>
      </c>
      <c r="Y27" s="246"/>
      <c r="Z27" s="246"/>
      <c r="AA27" s="246"/>
      <c r="AB27" s="246"/>
      <c r="AC27" s="246"/>
      <c r="AD27" s="246"/>
      <c r="AE27" s="246"/>
      <c r="AF27" s="243">
        <f t="shared" si="147"/>
        <v>0</v>
      </c>
      <c r="AG27" s="246"/>
      <c r="AH27" s="246"/>
      <c r="AI27" s="246"/>
      <c r="AJ27" s="246"/>
      <c r="AK27" s="246"/>
      <c r="AL27" s="246"/>
      <c r="AM27" s="246"/>
      <c r="AN27" s="243">
        <f t="shared" si="148"/>
        <v>0</v>
      </c>
      <c r="AO27" s="246"/>
      <c r="AP27" s="246">
        <v>0</v>
      </c>
      <c r="AQ27" s="246">
        <v>0</v>
      </c>
      <c r="AR27" s="246"/>
      <c r="AS27" s="246"/>
      <c r="AT27" s="246"/>
      <c r="AU27" s="246"/>
      <c r="AV27" s="243">
        <f t="shared" si="149"/>
        <v>0</v>
      </c>
      <c r="AW27" s="246"/>
      <c r="AX27" s="246"/>
      <c r="AY27" s="246"/>
      <c r="AZ27" s="246"/>
      <c r="BA27" s="246"/>
      <c r="BB27" s="246"/>
      <c r="BC27" s="246"/>
      <c r="BD27" s="243">
        <f t="shared" si="150"/>
        <v>0</v>
      </c>
      <c r="BE27" s="246"/>
      <c r="BF27" s="246"/>
      <c r="BG27" s="246"/>
      <c r="BH27" s="246"/>
      <c r="BI27" s="246"/>
      <c r="BJ27" s="246"/>
      <c r="BK27" s="246"/>
      <c r="BL27" s="243">
        <f t="shared" si="151"/>
        <v>0</v>
      </c>
      <c r="BM27" s="246"/>
      <c r="BN27" s="246"/>
      <c r="BO27" s="246"/>
      <c r="BP27" s="246"/>
      <c r="BQ27" s="246"/>
      <c r="BR27" s="246"/>
      <c r="BS27" s="246"/>
      <c r="BT27" s="243">
        <f t="shared" si="152"/>
        <v>0</v>
      </c>
      <c r="BU27" s="246"/>
      <c r="BV27" s="246"/>
      <c r="BW27" s="246"/>
      <c r="BX27" s="246"/>
      <c r="BY27" s="246"/>
      <c r="BZ27" s="246"/>
      <c r="CA27" s="246"/>
      <c r="CB27" s="243">
        <f t="shared" si="153"/>
        <v>0</v>
      </c>
      <c r="CC27" s="246"/>
      <c r="CD27" s="246">
        <v>33199.999999998203</v>
      </c>
      <c r="CE27" s="246">
        <v>31106.757980000006</v>
      </c>
      <c r="CF27" s="246">
        <v>35000.3852063702</v>
      </c>
      <c r="CG27" s="246">
        <v>36304.441350000008</v>
      </c>
      <c r="CH27" s="278">
        <v>36303.532614219199</v>
      </c>
      <c r="CI27" s="247">
        <v>26935.677710000007</v>
      </c>
      <c r="CJ27" s="243">
        <f t="shared" si="154"/>
        <v>32322.813252000011</v>
      </c>
      <c r="CK27" s="278">
        <v>36304.441350000008</v>
      </c>
      <c r="CL27" s="246"/>
      <c r="CM27" s="246"/>
      <c r="CN27" s="246"/>
      <c r="CO27" s="246"/>
      <c r="CP27" s="246"/>
      <c r="CQ27" s="246"/>
      <c r="CR27" s="243">
        <f t="shared" si="155"/>
        <v>0</v>
      </c>
      <c r="CS27" s="246"/>
      <c r="CT27" s="246"/>
      <c r="CU27" s="246"/>
      <c r="CV27" s="246"/>
      <c r="CW27" s="246"/>
      <c r="CX27" s="246"/>
      <c r="CY27" s="246"/>
      <c r="CZ27" s="243">
        <f t="shared" si="156"/>
        <v>0</v>
      </c>
      <c r="DA27" s="246"/>
      <c r="DB27" s="246"/>
      <c r="DC27" s="246"/>
      <c r="DD27" s="246"/>
      <c r="DE27" s="246"/>
      <c r="DF27" s="246"/>
      <c r="DG27" s="246"/>
      <c r="DH27" s="243">
        <f t="shared" si="157"/>
        <v>0</v>
      </c>
      <c r="DI27" s="246"/>
      <c r="DJ27" s="246"/>
      <c r="DK27" s="246"/>
      <c r="DL27" s="246"/>
      <c r="DM27" s="246"/>
      <c r="DN27" s="246"/>
      <c r="DO27" s="246"/>
      <c r="DP27" s="243">
        <f t="shared" si="158"/>
        <v>0</v>
      </c>
      <c r="DQ27" s="246"/>
      <c r="DR27" s="246"/>
      <c r="DS27" s="246"/>
      <c r="DT27" s="246"/>
      <c r="DU27" s="246"/>
      <c r="DV27" s="246"/>
      <c r="DW27" s="246"/>
      <c r="DX27" s="243">
        <f t="shared" si="159"/>
        <v>0</v>
      </c>
      <c r="DY27" s="246"/>
      <c r="DZ27" s="246"/>
      <c r="EA27" s="246"/>
      <c r="EB27" s="246"/>
      <c r="EC27" s="246"/>
      <c r="ED27" s="246"/>
      <c r="EE27" s="246"/>
      <c r="EF27" s="243">
        <f t="shared" si="160"/>
        <v>0</v>
      </c>
      <c r="EG27" s="246"/>
      <c r="EH27" s="246"/>
      <c r="EI27" s="246"/>
      <c r="EJ27" s="246"/>
      <c r="EK27" s="246"/>
      <c r="EL27" s="246"/>
      <c r="EM27" s="246"/>
      <c r="EN27" s="243">
        <f t="shared" si="161"/>
        <v>0</v>
      </c>
      <c r="EO27" s="246"/>
      <c r="EP27" s="246"/>
      <c r="EQ27" s="246"/>
      <c r="ER27" s="246"/>
      <c r="ES27" s="246"/>
      <c r="ET27" s="246"/>
      <c r="EU27" s="246"/>
      <c r="EV27" s="243">
        <f t="shared" si="162"/>
        <v>0</v>
      </c>
      <c r="EW27" s="246"/>
      <c r="EX27" s="246"/>
      <c r="EY27" s="246"/>
      <c r="EZ27" s="246"/>
      <c r="FA27" s="246"/>
      <c r="FB27" s="246"/>
      <c r="FC27" s="246"/>
      <c r="FD27" s="243">
        <f t="shared" si="163"/>
        <v>0</v>
      </c>
      <c r="FE27" s="246"/>
      <c r="FF27" s="246"/>
      <c r="FG27" s="246"/>
      <c r="FH27" s="246"/>
      <c r="FI27" s="246"/>
      <c r="FJ27" s="246"/>
      <c r="FK27" s="246"/>
      <c r="FL27" s="243">
        <f t="shared" si="164"/>
        <v>0</v>
      </c>
      <c r="FM27" s="246"/>
      <c r="FN27" s="246"/>
      <c r="FO27" s="246"/>
      <c r="FP27" s="246"/>
      <c r="FQ27" s="246"/>
      <c r="FR27" s="246"/>
      <c r="FS27" s="246"/>
      <c r="FT27" s="243">
        <f t="shared" si="165"/>
        <v>0</v>
      </c>
      <c r="FU27" s="246"/>
      <c r="FV27" s="246"/>
      <c r="FW27" s="246"/>
      <c r="FX27" s="246"/>
      <c r="FY27" s="246"/>
      <c r="FZ27" s="246"/>
      <c r="GA27" s="246"/>
      <c r="GB27" s="243">
        <f t="shared" si="166"/>
        <v>0</v>
      </c>
      <c r="GC27" s="246"/>
      <c r="GD27" s="246"/>
      <c r="GE27" s="246"/>
      <c r="GF27" s="246"/>
      <c r="GG27" s="246"/>
      <c r="GH27" s="246"/>
      <c r="GI27" s="246"/>
      <c r="GJ27" s="243">
        <f t="shared" si="167"/>
        <v>0</v>
      </c>
      <c r="GK27" s="246"/>
      <c r="GL27" s="246"/>
      <c r="GM27" s="246"/>
      <c r="GN27" s="246"/>
      <c r="GO27" s="246"/>
      <c r="GP27" s="246"/>
      <c r="GQ27" s="246"/>
      <c r="GR27" s="243">
        <f t="shared" si="168"/>
        <v>0</v>
      </c>
      <c r="GS27" s="246"/>
      <c r="GT27" s="246"/>
      <c r="GU27" s="246"/>
      <c r="GV27" s="246"/>
      <c r="GW27" s="246"/>
      <c r="GX27" s="246"/>
      <c r="GY27" s="246"/>
      <c r="GZ27" s="243">
        <f t="shared" si="169"/>
        <v>0</v>
      </c>
      <c r="HA27" s="246"/>
      <c r="HB27" s="246"/>
      <c r="HC27" s="246"/>
      <c r="HD27" s="246"/>
      <c r="HE27" s="246"/>
      <c r="HF27" s="246"/>
      <c r="HG27" s="246"/>
      <c r="HH27" s="243">
        <f t="shared" si="170"/>
        <v>0</v>
      </c>
      <c r="HI27" s="246"/>
      <c r="HJ27" s="246"/>
      <c r="HK27" s="246"/>
      <c r="HL27" s="246"/>
      <c r="HM27" s="246"/>
      <c r="HN27" s="246"/>
      <c r="HO27" s="246"/>
      <c r="HP27" s="243">
        <f t="shared" si="171"/>
        <v>0</v>
      </c>
      <c r="HQ27" s="246"/>
      <c r="HR27" s="246"/>
      <c r="HS27" s="246"/>
      <c r="HT27" s="246"/>
      <c r="HU27" s="246"/>
      <c r="HV27" s="246"/>
      <c r="HW27" s="246"/>
      <c r="HX27" s="243">
        <f t="shared" si="172"/>
        <v>0</v>
      </c>
      <c r="HY27" s="246"/>
      <c r="HZ27" s="246"/>
      <c r="IA27" s="246"/>
      <c r="IB27" s="246"/>
      <c r="IC27" s="246"/>
      <c r="ID27" s="246">
        <v>239.99755988215</v>
      </c>
      <c r="IE27" s="246">
        <v>0</v>
      </c>
      <c r="IF27" s="243">
        <f t="shared" si="173"/>
        <v>0</v>
      </c>
      <c r="IG27" s="246">
        <v>0</v>
      </c>
      <c r="IH27" s="246"/>
      <c r="II27" s="246"/>
      <c r="IJ27" s="246"/>
      <c r="IK27" s="246"/>
      <c r="IL27" s="246"/>
      <c r="IM27" s="246"/>
      <c r="IN27" s="243">
        <f t="shared" si="174"/>
        <v>0</v>
      </c>
      <c r="IO27" s="246"/>
      <c r="IP27" s="246"/>
      <c r="IQ27" s="246"/>
      <c r="IR27" s="246"/>
      <c r="IS27" s="246"/>
      <c r="IT27" s="246"/>
      <c r="IU27" s="246"/>
      <c r="IV27" s="243">
        <f t="shared" si="175"/>
        <v>0</v>
      </c>
      <c r="IW27" s="246"/>
      <c r="IX27" s="246"/>
      <c r="IY27" s="246"/>
      <c r="IZ27" s="246"/>
      <c r="JA27" s="246"/>
      <c r="JB27" s="246"/>
      <c r="JC27" s="246"/>
      <c r="JD27" s="243">
        <f t="shared" si="176"/>
        <v>0</v>
      </c>
      <c r="JE27" s="246"/>
      <c r="JF27" s="246"/>
      <c r="JG27" s="246"/>
      <c r="JH27" s="246"/>
      <c r="JI27" s="246"/>
      <c r="JJ27" s="246"/>
      <c r="JK27" s="246"/>
      <c r="JL27" s="243">
        <f t="shared" si="177"/>
        <v>0</v>
      </c>
      <c r="JM27" s="246"/>
      <c r="JN27" s="246"/>
      <c r="JO27" s="246"/>
      <c r="JP27" s="246"/>
      <c r="JQ27" s="246"/>
      <c r="JR27" s="246"/>
      <c r="JS27" s="246"/>
      <c r="JT27" s="243">
        <f t="shared" si="178"/>
        <v>0</v>
      </c>
      <c r="JU27" s="246"/>
      <c r="JV27" s="246"/>
      <c r="JW27" s="246"/>
      <c r="JX27" s="246"/>
      <c r="JY27" s="246"/>
      <c r="JZ27" s="246"/>
      <c r="KA27" s="246"/>
      <c r="KB27" s="243">
        <f t="shared" si="179"/>
        <v>0</v>
      </c>
      <c r="KC27" s="246"/>
      <c r="KD27" s="246"/>
      <c r="KE27" s="246"/>
      <c r="KF27" s="246"/>
      <c r="KG27" s="246"/>
      <c r="KH27" s="246"/>
      <c r="KI27" s="246"/>
      <c r="KJ27" s="243">
        <f t="shared" si="180"/>
        <v>0</v>
      </c>
      <c r="KK27" s="246"/>
      <c r="KL27" s="246"/>
      <c r="KM27" s="246"/>
      <c r="KN27" s="246"/>
      <c r="KO27" s="246"/>
      <c r="KP27" s="246"/>
      <c r="KQ27" s="246"/>
      <c r="KR27" s="243">
        <f t="shared" si="181"/>
        <v>0</v>
      </c>
      <c r="KS27" s="246"/>
      <c r="KT27" s="246"/>
      <c r="KU27" s="246"/>
      <c r="KV27" s="246"/>
      <c r="KW27" s="246"/>
      <c r="KX27" s="246"/>
      <c r="KY27" s="246"/>
      <c r="KZ27" s="243">
        <f t="shared" si="182"/>
        <v>0</v>
      </c>
      <c r="LA27" s="246"/>
      <c r="LB27" s="246"/>
      <c r="LC27" s="246"/>
      <c r="LD27" s="246"/>
      <c r="LE27" s="246"/>
      <c r="LF27" s="246"/>
      <c r="LG27" s="246"/>
      <c r="LH27" s="243">
        <f t="shared" si="183"/>
        <v>0</v>
      </c>
      <c r="LI27" s="246"/>
      <c r="LJ27" s="246"/>
      <c r="LK27" s="246"/>
      <c r="LL27" s="246"/>
      <c r="LM27" s="246"/>
      <c r="LN27" s="246"/>
      <c r="LO27" s="246"/>
      <c r="LP27" s="243">
        <f t="shared" si="184"/>
        <v>0</v>
      </c>
      <c r="LQ27" s="246"/>
      <c r="LR27" s="246"/>
      <c r="LS27" s="246"/>
      <c r="LT27" s="244">
        <f t="shared" si="185"/>
        <v>0</v>
      </c>
      <c r="LU27" s="246">
        <v>0</v>
      </c>
      <c r="LV27" s="246"/>
      <c r="LW27" s="246"/>
      <c r="LX27" s="246"/>
      <c r="LY27" s="246"/>
      <c r="LZ27" s="246"/>
      <c r="MA27" s="246"/>
      <c r="MB27" s="243">
        <f t="shared" si="186"/>
        <v>0</v>
      </c>
      <c r="MC27" s="246"/>
      <c r="MD27" s="246"/>
      <c r="ME27" s="246"/>
      <c r="MF27" s="246"/>
      <c r="MG27" s="246"/>
      <c r="MH27" s="246"/>
      <c r="MI27" s="246"/>
      <c r="MJ27" s="243">
        <f t="shared" si="187"/>
        <v>0</v>
      </c>
      <c r="MK27" s="246"/>
      <c r="ML27" s="246"/>
      <c r="MM27" s="246"/>
      <c r="MN27" s="246"/>
      <c r="MO27" s="246"/>
      <c r="MP27" s="246"/>
      <c r="MQ27" s="246"/>
      <c r="MR27" s="243">
        <f t="shared" si="188"/>
        <v>0</v>
      </c>
      <c r="MS27" s="271"/>
      <c r="MT27" s="246"/>
      <c r="MU27" s="246"/>
      <c r="MV27" s="246"/>
      <c r="MW27" s="246"/>
      <c r="MX27" s="246"/>
      <c r="MY27" s="246"/>
      <c r="MZ27" s="243">
        <f t="shared" si="189"/>
        <v>0</v>
      </c>
      <c r="NA27" s="246"/>
      <c r="NB27" s="246"/>
      <c r="NC27" s="246"/>
      <c r="ND27" s="243">
        <f t="shared" si="190"/>
        <v>0</v>
      </c>
      <c r="NE27" s="246">
        <v>0</v>
      </c>
      <c r="NF27" s="246"/>
      <c r="NG27" s="246"/>
      <c r="NH27" s="246"/>
      <c r="NI27" s="246"/>
      <c r="NJ27" s="246"/>
      <c r="NK27" s="246"/>
      <c r="NL27" s="243">
        <f t="shared" si="191"/>
        <v>0</v>
      </c>
      <c r="NM27" s="246"/>
      <c r="NN27" s="246"/>
      <c r="NO27" s="246"/>
      <c r="NP27" s="246"/>
      <c r="NQ27" s="246"/>
      <c r="NR27" s="246"/>
      <c r="NS27" s="246"/>
      <c r="NT27" s="243">
        <f t="shared" si="192"/>
        <v>0</v>
      </c>
      <c r="NU27" s="246"/>
      <c r="NV27" s="246"/>
      <c r="NW27" s="246"/>
      <c r="NX27" s="246"/>
      <c r="NY27" s="246"/>
      <c r="NZ27" s="246"/>
      <c r="OA27" s="246"/>
      <c r="OB27" s="243">
        <f t="shared" si="193"/>
        <v>0</v>
      </c>
      <c r="OC27" s="246"/>
      <c r="OD27" s="246"/>
      <c r="OE27" s="246"/>
      <c r="OF27" s="246"/>
      <c r="OG27" s="246"/>
      <c r="OH27" s="246"/>
      <c r="OI27" s="246"/>
      <c r="OJ27" s="243">
        <f t="shared" si="194"/>
        <v>0</v>
      </c>
      <c r="OK27" s="246"/>
      <c r="OL27" s="246"/>
      <c r="OM27" s="246"/>
      <c r="ON27" s="246"/>
      <c r="OO27" s="246"/>
      <c r="OP27" s="246"/>
      <c r="OQ27" s="246"/>
      <c r="OR27" s="243">
        <f t="shared" si="195"/>
        <v>0</v>
      </c>
      <c r="OS27" s="246"/>
      <c r="OT27" s="246"/>
      <c r="OU27" s="246"/>
      <c r="OV27" s="246"/>
      <c r="OW27" s="246"/>
      <c r="OX27" s="246"/>
      <c r="OY27" s="246"/>
      <c r="OZ27" s="243">
        <f t="shared" si="196"/>
        <v>0</v>
      </c>
      <c r="PA27" s="247"/>
      <c r="PB27" s="246"/>
      <c r="PC27" s="246"/>
      <c r="PD27" s="243">
        <f t="shared" si="197"/>
        <v>0</v>
      </c>
      <c r="PE27" s="247"/>
      <c r="PF27" s="246"/>
      <c r="PG27" s="246"/>
      <c r="PH27" s="246"/>
      <c r="PI27" s="246"/>
      <c r="PJ27" s="246"/>
      <c r="PK27" s="246"/>
      <c r="PL27" s="243">
        <f t="shared" si="139"/>
        <v>0</v>
      </c>
      <c r="PM27" s="247"/>
      <c r="PN27" s="246"/>
      <c r="PO27" s="246"/>
      <c r="PP27" s="246">
        <v>-4000</v>
      </c>
      <c r="PQ27" s="246">
        <v>0</v>
      </c>
      <c r="PR27" s="246">
        <v>-5436.1697132961299</v>
      </c>
      <c r="PS27" s="246">
        <v>0</v>
      </c>
      <c r="PT27" s="243">
        <f t="shared" si="198"/>
        <v>0</v>
      </c>
      <c r="PU27" s="246"/>
      <c r="PV27" s="246"/>
      <c r="PW27" s="246"/>
      <c r="PX27" s="246"/>
      <c r="PY27" s="246"/>
      <c r="PZ27" s="246"/>
      <c r="QA27" s="246"/>
      <c r="QB27" s="243">
        <f t="shared" si="199"/>
        <v>0</v>
      </c>
      <c r="QC27" s="246"/>
      <c r="QD27" s="246"/>
      <c r="QE27" s="246"/>
      <c r="QF27" s="246"/>
      <c r="QG27" s="246"/>
      <c r="QH27" s="246"/>
      <c r="QI27" s="246"/>
      <c r="QJ27" s="243">
        <f t="shared" si="200"/>
        <v>0</v>
      </c>
      <c r="QK27" s="246">
        <v>0</v>
      </c>
      <c r="QL27" s="246"/>
      <c r="QM27" s="246"/>
      <c r="QN27" s="246"/>
      <c r="QO27" s="246"/>
      <c r="QP27" s="243">
        <f t="shared" si="201"/>
        <v>0</v>
      </c>
      <c r="QQ27" s="243">
        <f t="shared" si="140"/>
        <v>0</v>
      </c>
      <c r="QR27" s="246"/>
      <c r="QS27" s="246"/>
      <c r="QT27" s="246"/>
      <c r="QU27" s="246"/>
      <c r="QV27" s="243">
        <f t="shared" si="202"/>
        <v>0</v>
      </c>
      <c r="QW27" s="246"/>
      <c r="QX27" s="246"/>
      <c r="QY27" s="246"/>
      <c r="QZ27" s="246"/>
      <c r="RA27" s="246"/>
      <c r="RB27" s="246"/>
      <c r="RC27" s="246"/>
      <c r="RD27" s="243">
        <f t="shared" si="203"/>
        <v>0</v>
      </c>
      <c r="RE27" s="300"/>
      <c r="RF27" s="259">
        <f t="shared" si="101"/>
        <v>31107.360460805219</v>
      </c>
      <c r="RG27" s="259">
        <f t="shared" si="141"/>
        <v>26935.677710000007</v>
      </c>
      <c r="RH27" s="259">
        <f t="shared" si="142"/>
        <v>32322.813252000011</v>
      </c>
      <c r="RI27" s="256">
        <f t="shared" si="143"/>
        <v>36304.441350000008</v>
      </c>
    </row>
    <row r="28" spans="1:479">
      <c r="A28" s="5" t="s">
        <v>75</v>
      </c>
      <c r="B28" s="263">
        <v>1672.509057323975</v>
      </c>
      <c r="C28" s="246">
        <v>2164.814410000004</v>
      </c>
      <c r="D28" s="246">
        <v>4.9999973078010003</v>
      </c>
      <c r="E28" s="246">
        <v>50.148000000000003</v>
      </c>
      <c r="F28" s="246">
        <v>50.147998420458997</v>
      </c>
      <c r="G28" s="243">
        <v>0</v>
      </c>
      <c r="H28" s="243">
        <f t="shared" si="144"/>
        <v>0</v>
      </c>
      <c r="I28" s="246">
        <v>50.148000000000003</v>
      </c>
      <c r="J28" s="246"/>
      <c r="K28" s="246"/>
      <c r="L28" s="246"/>
      <c r="M28" s="246"/>
      <c r="N28" s="246"/>
      <c r="O28" s="246"/>
      <c r="P28" s="243">
        <f t="shared" si="145"/>
        <v>0</v>
      </c>
      <c r="Q28" s="246"/>
      <c r="R28" s="246"/>
      <c r="S28" s="246"/>
      <c r="T28" s="246"/>
      <c r="U28" s="246"/>
      <c r="V28" s="246"/>
      <c r="W28" s="246"/>
      <c r="X28" s="243">
        <f t="shared" si="146"/>
        <v>0</v>
      </c>
      <c r="Y28" s="246"/>
      <c r="Z28" s="246">
        <v>251.893877584893</v>
      </c>
      <c r="AA28" s="246">
        <v>292.73264</v>
      </c>
      <c r="AB28" s="246">
        <v>225.999860005682</v>
      </c>
      <c r="AC28" s="246">
        <v>81.079660000000004</v>
      </c>
      <c r="AD28" s="246">
        <v>92.999997070725001</v>
      </c>
      <c r="AE28" s="246">
        <v>73.814889999999991</v>
      </c>
      <c r="AF28" s="243">
        <f t="shared" si="147"/>
        <v>88.577867999999995</v>
      </c>
      <c r="AG28" s="246">
        <v>95</v>
      </c>
      <c r="AH28" s="246">
        <v>4419.2594767272303</v>
      </c>
      <c r="AI28" s="246">
        <v>4816.6827899999989</v>
      </c>
      <c r="AJ28" s="246">
        <v>0</v>
      </c>
      <c r="AK28" s="246">
        <v>547.81340000000296</v>
      </c>
      <c r="AL28" s="246">
        <v>299.99998267633299</v>
      </c>
      <c r="AM28" s="246">
        <v>0</v>
      </c>
      <c r="AN28" s="243">
        <f t="shared" si="148"/>
        <v>0</v>
      </c>
      <c r="AO28" s="246">
        <v>0</v>
      </c>
      <c r="AP28" s="246">
        <v>20507.421186591098</v>
      </c>
      <c r="AQ28" s="246">
        <v>20438.017190000013</v>
      </c>
      <c r="AR28" s="246">
        <v>22351.990053403701</v>
      </c>
      <c r="AS28" s="246">
        <v>19469.440590000013</v>
      </c>
      <c r="AT28" s="246">
        <v>22151.9993022657</v>
      </c>
      <c r="AU28" s="246">
        <v>16673.743409999999</v>
      </c>
      <c r="AV28" s="243">
        <f t="shared" si="149"/>
        <v>20008.492092</v>
      </c>
      <c r="AW28" s="247">
        <f>22000-123</f>
        <v>21877</v>
      </c>
      <c r="AX28" s="246"/>
      <c r="AY28" s="246"/>
      <c r="AZ28" s="246"/>
      <c r="BA28" s="246"/>
      <c r="BB28" s="246"/>
      <c r="BC28" s="246"/>
      <c r="BD28" s="243">
        <f t="shared" si="150"/>
        <v>0</v>
      </c>
      <c r="BE28" s="246"/>
      <c r="BF28" s="246">
        <v>60.859085921447999</v>
      </c>
      <c r="BG28" s="246">
        <v>92.188599999999994</v>
      </c>
      <c r="BH28" s="246"/>
      <c r="BI28" s="246"/>
      <c r="BJ28" s="246"/>
      <c r="BK28" s="246"/>
      <c r="BL28" s="243">
        <f t="shared" si="151"/>
        <v>0</v>
      </c>
      <c r="BM28" s="246"/>
      <c r="BN28" s="246"/>
      <c r="BO28" s="246"/>
      <c r="BP28" s="246">
        <v>0</v>
      </c>
      <c r="BQ28" s="246">
        <v>0.495</v>
      </c>
      <c r="BR28" s="246">
        <v>0.49499998440800003</v>
      </c>
      <c r="BS28" s="246">
        <v>0</v>
      </c>
      <c r="BT28" s="243">
        <f t="shared" si="152"/>
        <v>0</v>
      </c>
      <c r="BU28" s="246">
        <v>0.495</v>
      </c>
      <c r="BV28" s="246"/>
      <c r="BW28" s="246"/>
      <c r="BX28" s="246"/>
      <c r="BY28" s="246"/>
      <c r="BZ28" s="246"/>
      <c r="CA28" s="246"/>
      <c r="CB28" s="243">
        <f t="shared" si="153"/>
        <v>0</v>
      </c>
      <c r="CC28" s="246"/>
      <c r="CD28" s="246">
        <v>5850.0245441613897</v>
      </c>
      <c r="CE28" s="246">
        <v>6585.8955500000011</v>
      </c>
      <c r="CF28" s="246">
        <v>5772.9968915877098</v>
      </c>
      <c r="CG28" s="246">
        <v>5739.8389400000033</v>
      </c>
      <c r="CH28" s="246">
        <v>5884.9998146367598</v>
      </c>
      <c r="CI28" s="246">
        <v>4568.4938600000023</v>
      </c>
      <c r="CJ28" s="243">
        <f t="shared" si="154"/>
        <v>5482.192632000002</v>
      </c>
      <c r="CK28" s="246">
        <v>5600</v>
      </c>
      <c r="CL28" s="246">
        <v>44.262919441161998</v>
      </c>
      <c r="CM28" s="246">
        <v>157.896999999999</v>
      </c>
      <c r="CN28" s="246"/>
      <c r="CO28" s="246"/>
      <c r="CP28" s="246"/>
      <c r="CQ28" s="246"/>
      <c r="CR28" s="243">
        <f t="shared" si="155"/>
        <v>0</v>
      </c>
      <c r="CS28" s="246"/>
      <c r="CT28" s="246">
        <v>195.332073341246</v>
      </c>
      <c r="CU28" s="246">
        <v>176.64299999999901</v>
      </c>
      <c r="CV28" s="246">
        <v>166.99991008057299</v>
      </c>
      <c r="CW28" s="246">
        <v>114.495</v>
      </c>
      <c r="CX28" s="246">
        <v>249.99999212560601</v>
      </c>
      <c r="CY28" s="246">
        <v>99.946499999999986</v>
      </c>
      <c r="CZ28" s="243">
        <f t="shared" si="156"/>
        <v>119.93579999999997</v>
      </c>
      <c r="DA28" s="246">
        <v>120</v>
      </c>
      <c r="DB28" s="246">
        <v>3807.8204143964699</v>
      </c>
      <c r="DC28" s="246">
        <v>3074.7107300000016</v>
      </c>
      <c r="DD28" s="246">
        <v>13.999995154042001</v>
      </c>
      <c r="DE28" s="246">
        <v>64.450599999999994</v>
      </c>
      <c r="DF28" s="246">
        <v>69.999997795168994</v>
      </c>
      <c r="DG28" s="246">
        <v>51.110599999999998</v>
      </c>
      <c r="DH28" s="243">
        <f t="shared" si="157"/>
        <v>61.332720000000002</v>
      </c>
      <c r="DI28" s="246">
        <v>64.450599999999994</v>
      </c>
      <c r="DJ28" s="246"/>
      <c r="DK28" s="246"/>
      <c r="DL28" s="246"/>
      <c r="DM28" s="246"/>
      <c r="DN28" s="246"/>
      <c r="DO28" s="246"/>
      <c r="DP28" s="243">
        <f t="shared" si="158"/>
        <v>0</v>
      </c>
      <c r="DQ28" s="246"/>
      <c r="DR28" s="246"/>
      <c r="DS28" s="246"/>
      <c r="DT28" s="246">
        <v>0</v>
      </c>
      <c r="DU28" s="246">
        <v>-18.369689999999999</v>
      </c>
      <c r="DV28" s="246"/>
      <c r="DW28" s="246"/>
      <c r="DX28" s="243">
        <f t="shared" si="159"/>
        <v>0</v>
      </c>
      <c r="DY28" s="246">
        <v>0</v>
      </c>
      <c r="DZ28" s="246"/>
      <c r="EA28" s="246"/>
      <c r="EB28" s="246"/>
      <c r="EC28" s="246"/>
      <c r="ED28" s="246"/>
      <c r="EE28" s="246"/>
      <c r="EF28" s="243">
        <f t="shared" si="160"/>
        <v>0</v>
      </c>
      <c r="EG28" s="246"/>
      <c r="EH28" s="246"/>
      <c r="EI28" s="246"/>
      <c r="EJ28" s="246"/>
      <c r="EK28" s="246"/>
      <c r="EL28" s="246"/>
      <c r="EM28" s="246"/>
      <c r="EN28" s="243">
        <f t="shared" si="161"/>
        <v>0</v>
      </c>
      <c r="EO28" s="246"/>
      <c r="EP28" s="246"/>
      <c r="EQ28" s="246"/>
      <c r="ER28" s="246"/>
      <c r="ES28" s="246"/>
      <c r="ET28" s="246"/>
      <c r="EU28" s="246"/>
      <c r="EV28" s="243">
        <f t="shared" si="162"/>
        <v>0</v>
      </c>
      <c r="EW28" s="246"/>
      <c r="EX28" s="246"/>
      <c r="EY28" s="246"/>
      <c r="EZ28" s="246"/>
      <c r="FA28" s="246"/>
      <c r="FB28" s="246"/>
      <c r="FC28" s="246"/>
      <c r="FD28" s="243">
        <f t="shared" si="163"/>
        <v>0</v>
      </c>
      <c r="FE28" s="246"/>
      <c r="FF28" s="246"/>
      <c r="FG28" s="246"/>
      <c r="FH28" s="246"/>
      <c r="FI28" s="246"/>
      <c r="FJ28" s="246"/>
      <c r="FK28" s="246"/>
      <c r="FL28" s="243">
        <f t="shared" si="164"/>
        <v>0</v>
      </c>
      <c r="FM28" s="246"/>
      <c r="FN28" s="246"/>
      <c r="FO28" s="246"/>
      <c r="FP28" s="246"/>
      <c r="FQ28" s="246"/>
      <c r="FR28" s="246"/>
      <c r="FS28" s="246"/>
      <c r="FT28" s="243">
        <f t="shared" si="165"/>
        <v>0</v>
      </c>
      <c r="FU28" s="246"/>
      <c r="FV28" s="246">
        <v>38.760671652893002</v>
      </c>
      <c r="FW28" s="246">
        <v>2.4112099999999996</v>
      </c>
      <c r="FX28" s="246">
        <v>2.9999989231200002</v>
      </c>
      <c r="FY28" s="246">
        <v>0</v>
      </c>
      <c r="FZ28" s="246"/>
      <c r="GA28" s="246"/>
      <c r="GB28" s="243">
        <f t="shared" si="166"/>
        <v>0</v>
      </c>
      <c r="GC28" s="246">
        <v>0</v>
      </c>
      <c r="GD28" s="246">
        <v>33.124566148088</v>
      </c>
      <c r="GE28" s="246">
        <v>13.87265</v>
      </c>
      <c r="GF28" s="246">
        <v>13.999992461844</v>
      </c>
      <c r="GG28" s="246">
        <v>6.3782200000000016</v>
      </c>
      <c r="GH28" s="246">
        <v>6.9999997795160001</v>
      </c>
      <c r="GI28" s="246">
        <v>3.1288800000000001</v>
      </c>
      <c r="GJ28" s="243">
        <f t="shared" si="167"/>
        <v>3.7546559999999998</v>
      </c>
      <c r="GK28" s="246">
        <v>6.3782200000000016</v>
      </c>
      <c r="GL28" s="246"/>
      <c r="GM28" s="246"/>
      <c r="GN28" s="246"/>
      <c r="GO28" s="246"/>
      <c r="GP28" s="246"/>
      <c r="GQ28" s="246"/>
      <c r="GR28" s="243">
        <f t="shared" si="168"/>
        <v>0</v>
      </c>
      <c r="GS28" s="246"/>
      <c r="GT28" s="246"/>
      <c r="GU28" s="246"/>
      <c r="GV28" s="246"/>
      <c r="GW28" s="246"/>
      <c r="GX28" s="246"/>
      <c r="GY28" s="246"/>
      <c r="GZ28" s="243">
        <f t="shared" si="169"/>
        <v>0</v>
      </c>
      <c r="HA28" s="246"/>
      <c r="HB28" s="246"/>
      <c r="HC28" s="246"/>
      <c r="HD28" s="246"/>
      <c r="HE28" s="246"/>
      <c r="HF28" s="246"/>
      <c r="HG28" s="246"/>
      <c r="HH28" s="243">
        <f t="shared" si="170"/>
        <v>0</v>
      </c>
      <c r="HI28" s="246"/>
      <c r="HJ28" s="246">
        <v>375.585802346219</v>
      </c>
      <c r="HK28" s="246">
        <v>396.61072000000001</v>
      </c>
      <c r="HL28" s="246">
        <v>57.999991384965</v>
      </c>
      <c r="HM28" s="246">
        <v>53.413069999999998</v>
      </c>
      <c r="HN28" s="246">
        <v>63.999997984155002</v>
      </c>
      <c r="HO28" s="246">
        <v>46.468560000000004</v>
      </c>
      <c r="HP28" s="243">
        <f t="shared" si="171"/>
        <v>55.76227200000001</v>
      </c>
      <c r="HQ28" s="246">
        <v>70</v>
      </c>
      <c r="HR28" s="246"/>
      <c r="HS28" s="246"/>
      <c r="HT28" s="246"/>
      <c r="HU28" s="246"/>
      <c r="HV28" s="246"/>
      <c r="HW28" s="246"/>
      <c r="HX28" s="243">
        <f t="shared" si="172"/>
        <v>0</v>
      </c>
      <c r="HY28" s="246"/>
      <c r="HZ28" s="246">
        <v>10971.72461600944</v>
      </c>
      <c r="IA28" s="246">
        <v>9807.9907500000045</v>
      </c>
      <c r="IB28" s="246">
        <v>10904.997581328958</v>
      </c>
      <c r="IC28" s="246">
        <v>10778.050190000004</v>
      </c>
      <c r="ID28" s="246">
        <v>10716.9945489234</v>
      </c>
      <c r="IE28" s="246">
        <v>9466.1890300000014</v>
      </c>
      <c r="IF28" s="243">
        <f t="shared" si="173"/>
        <v>11359.426836000002</v>
      </c>
      <c r="IG28" s="246">
        <v>10800</v>
      </c>
      <c r="IH28" s="246"/>
      <c r="II28" s="246"/>
      <c r="IJ28" s="246"/>
      <c r="IK28" s="246"/>
      <c r="IL28" s="246"/>
      <c r="IM28" s="246"/>
      <c r="IN28" s="243">
        <f t="shared" si="174"/>
        <v>0</v>
      </c>
      <c r="IO28" s="246"/>
      <c r="IP28" s="246"/>
      <c r="IQ28" s="246"/>
      <c r="IR28" s="246"/>
      <c r="IS28" s="246"/>
      <c r="IT28" s="246"/>
      <c r="IU28" s="246"/>
      <c r="IV28" s="243">
        <f t="shared" si="175"/>
        <v>0</v>
      </c>
      <c r="IW28" s="246"/>
      <c r="IX28" s="246">
        <v>115.666666666666</v>
      </c>
      <c r="IY28" s="246">
        <v>85.799909999999997</v>
      </c>
      <c r="IZ28" s="246"/>
      <c r="JA28" s="246"/>
      <c r="JB28" s="246"/>
      <c r="JC28" s="246"/>
      <c r="JD28" s="243">
        <f t="shared" si="176"/>
        <v>0</v>
      </c>
      <c r="JE28" s="246"/>
      <c r="JF28" s="246"/>
      <c r="JG28" s="246"/>
      <c r="JH28" s="246"/>
      <c r="JI28" s="246"/>
      <c r="JJ28" s="246"/>
      <c r="JK28" s="246"/>
      <c r="JL28" s="243">
        <f t="shared" si="177"/>
        <v>0</v>
      </c>
      <c r="JM28" s="246"/>
      <c r="JN28" s="246"/>
      <c r="JO28" s="246"/>
      <c r="JP28" s="246"/>
      <c r="JQ28" s="246"/>
      <c r="JR28" s="246"/>
      <c r="JS28" s="246"/>
      <c r="JT28" s="243">
        <f t="shared" si="178"/>
        <v>0</v>
      </c>
      <c r="JU28" s="246"/>
      <c r="JV28" s="246"/>
      <c r="JW28" s="246"/>
      <c r="JX28" s="246"/>
      <c r="JY28" s="246"/>
      <c r="JZ28" s="246"/>
      <c r="KA28" s="246"/>
      <c r="KB28" s="243">
        <f t="shared" si="179"/>
        <v>0</v>
      </c>
      <c r="KC28" s="246"/>
      <c r="KD28" s="246"/>
      <c r="KE28" s="246"/>
      <c r="KF28" s="246"/>
      <c r="KG28" s="246"/>
      <c r="KH28" s="246"/>
      <c r="KI28" s="246"/>
      <c r="KJ28" s="243">
        <f t="shared" si="180"/>
        <v>0</v>
      </c>
      <c r="KK28" s="246"/>
      <c r="KL28" s="246"/>
      <c r="KM28" s="246"/>
      <c r="KN28" s="246"/>
      <c r="KO28" s="246"/>
      <c r="KP28" s="246"/>
      <c r="KQ28" s="246"/>
      <c r="KR28" s="243">
        <f t="shared" si="181"/>
        <v>0</v>
      </c>
      <c r="KS28" s="246"/>
      <c r="KT28" s="246"/>
      <c r="KU28" s="246"/>
      <c r="KV28" s="246"/>
      <c r="KW28" s="246"/>
      <c r="KX28" s="246"/>
      <c r="KY28" s="246"/>
      <c r="KZ28" s="243">
        <f t="shared" si="182"/>
        <v>0</v>
      </c>
      <c r="LA28" s="246"/>
      <c r="LB28" s="246"/>
      <c r="LC28" s="246"/>
      <c r="LD28" s="246"/>
      <c r="LE28" s="246"/>
      <c r="LF28" s="246"/>
      <c r="LG28" s="246"/>
      <c r="LH28" s="243">
        <f t="shared" si="183"/>
        <v>0</v>
      </c>
      <c r="LI28" s="246"/>
      <c r="LJ28" s="246"/>
      <c r="LK28" s="246"/>
      <c r="LL28" s="246"/>
      <c r="LM28" s="246"/>
      <c r="LN28" s="246"/>
      <c r="LO28" s="246"/>
      <c r="LP28" s="243">
        <f t="shared" si="184"/>
        <v>0</v>
      </c>
      <c r="LQ28" s="246"/>
      <c r="LR28" s="246"/>
      <c r="LS28" s="246"/>
      <c r="LT28" s="244">
        <f t="shared" si="185"/>
        <v>0</v>
      </c>
      <c r="LU28" s="246">
        <v>0</v>
      </c>
      <c r="LV28" s="246">
        <v>105.223655403853</v>
      </c>
      <c r="LW28" s="246">
        <v>103.776</v>
      </c>
      <c r="LX28" s="246"/>
      <c r="LY28" s="246"/>
      <c r="LZ28" s="246"/>
      <c r="MA28" s="246"/>
      <c r="MB28" s="243">
        <f t="shared" si="186"/>
        <v>0</v>
      </c>
      <c r="MC28" s="246"/>
      <c r="MD28" s="246">
        <v>10.407338976964001</v>
      </c>
      <c r="ME28" s="246">
        <v>6.5440399999999999</v>
      </c>
      <c r="MF28" s="246">
        <v>6.999996230921</v>
      </c>
      <c r="MG28" s="246">
        <v>2.31549</v>
      </c>
      <c r="MH28" s="246">
        <v>6.9999997795160001</v>
      </c>
      <c r="MI28" s="246">
        <v>0.68969000000000003</v>
      </c>
      <c r="MJ28" s="243">
        <f t="shared" si="187"/>
        <v>0.82762800000000003</v>
      </c>
      <c r="MK28" s="246">
        <v>7</v>
      </c>
      <c r="ML28" s="246"/>
      <c r="MM28" s="246"/>
      <c r="MN28" s="246"/>
      <c r="MO28" s="246"/>
      <c r="MP28" s="246"/>
      <c r="MQ28" s="246"/>
      <c r="MR28" s="243">
        <f t="shared" si="188"/>
        <v>0</v>
      </c>
      <c r="MS28" s="271"/>
      <c r="MT28" s="246">
        <v>5000.4129999999996</v>
      </c>
      <c r="MU28" s="246">
        <v>4128.8453200000013</v>
      </c>
      <c r="MV28" s="246">
        <v>4581.0690525844921</v>
      </c>
      <c r="MW28" s="246">
        <v>3625.3044800000021</v>
      </c>
      <c r="MX28" s="246">
        <v>3628.9998856952998</v>
      </c>
      <c r="MY28" s="246">
        <v>2580.2797200000005</v>
      </c>
      <c r="MZ28" s="243">
        <f t="shared" si="189"/>
        <v>3096.3356640000002</v>
      </c>
      <c r="NA28" s="246">
        <v>3400</v>
      </c>
      <c r="NB28" s="246"/>
      <c r="NC28" s="246"/>
      <c r="ND28" s="243">
        <f t="shared" si="190"/>
        <v>0</v>
      </c>
      <c r="NE28" s="246">
        <v>0</v>
      </c>
      <c r="NF28" s="246"/>
      <c r="NG28" s="246"/>
      <c r="NH28" s="246"/>
      <c r="NI28" s="246"/>
      <c r="NJ28" s="246"/>
      <c r="NK28" s="246"/>
      <c r="NL28" s="243">
        <f t="shared" si="191"/>
        <v>0</v>
      </c>
      <c r="NM28" s="246"/>
      <c r="NN28" s="246"/>
      <c r="NO28" s="246"/>
      <c r="NP28" s="246"/>
      <c r="NQ28" s="246"/>
      <c r="NR28" s="246"/>
      <c r="NS28" s="246"/>
      <c r="NT28" s="243">
        <f t="shared" si="192"/>
        <v>0</v>
      </c>
      <c r="NU28" s="246"/>
      <c r="NV28" s="246"/>
      <c r="NW28" s="246"/>
      <c r="NX28" s="246"/>
      <c r="NY28" s="246"/>
      <c r="NZ28" s="246"/>
      <c r="OA28" s="246"/>
      <c r="OB28" s="243">
        <f t="shared" si="193"/>
        <v>0</v>
      </c>
      <c r="OC28" s="246"/>
      <c r="OD28" s="246"/>
      <c r="OE28" s="246"/>
      <c r="OF28" s="246"/>
      <c r="OG28" s="246"/>
      <c r="OH28" s="246"/>
      <c r="OI28" s="246"/>
      <c r="OJ28" s="243">
        <f t="shared" si="194"/>
        <v>0</v>
      </c>
      <c r="OK28" s="246"/>
      <c r="OL28" s="246"/>
      <c r="OM28" s="246"/>
      <c r="ON28" s="246"/>
      <c r="OO28" s="246"/>
      <c r="OP28" s="246"/>
      <c r="OQ28" s="246"/>
      <c r="OR28" s="243">
        <f t="shared" si="195"/>
        <v>0</v>
      </c>
      <c r="OS28" s="246"/>
      <c r="OT28" s="246"/>
      <c r="OU28" s="246"/>
      <c r="OV28" s="246"/>
      <c r="OW28" s="246"/>
      <c r="OX28" s="246"/>
      <c r="OY28" s="246"/>
      <c r="OZ28" s="243">
        <f t="shared" si="196"/>
        <v>0</v>
      </c>
      <c r="PA28" s="247"/>
      <c r="PB28" s="246"/>
      <c r="PC28" s="246"/>
      <c r="PD28" s="243">
        <f t="shared" si="197"/>
        <v>0</v>
      </c>
      <c r="PE28" s="247"/>
      <c r="PF28" s="246">
        <v>0</v>
      </c>
      <c r="PG28" s="246">
        <v>415</v>
      </c>
      <c r="PH28" s="246"/>
      <c r="PI28" s="246"/>
      <c r="PJ28" s="246"/>
      <c r="PK28" s="246"/>
      <c r="PL28" s="243">
        <f t="shared" si="139"/>
        <v>0</v>
      </c>
      <c r="PM28" s="247"/>
      <c r="PN28" s="246">
        <v>-1157.03419874051</v>
      </c>
      <c r="PO28" s="246">
        <v>0</v>
      </c>
      <c r="PP28" s="246">
        <v>-1316.43051877639</v>
      </c>
      <c r="PQ28" s="246">
        <v>0</v>
      </c>
      <c r="PR28" s="246">
        <v>567.26086956521704</v>
      </c>
      <c r="PS28" s="246">
        <v>0</v>
      </c>
      <c r="PT28" s="243">
        <f t="shared" si="198"/>
        <v>0</v>
      </c>
      <c r="PU28" s="246"/>
      <c r="PV28" s="246"/>
      <c r="PW28" s="246"/>
      <c r="PX28" s="246"/>
      <c r="PY28" s="246"/>
      <c r="PZ28" s="246"/>
      <c r="QA28" s="246"/>
      <c r="QB28" s="243">
        <f t="shared" si="199"/>
        <v>0</v>
      </c>
      <c r="QC28" s="246"/>
      <c r="QD28" s="246"/>
      <c r="QE28" s="246"/>
      <c r="QF28" s="246"/>
      <c r="QG28" s="246"/>
      <c r="QH28" s="246"/>
      <c r="QI28" s="246"/>
      <c r="QJ28" s="243">
        <f t="shared" si="200"/>
        <v>0</v>
      </c>
      <c r="QK28" s="246">
        <v>0</v>
      </c>
      <c r="QL28" s="246"/>
      <c r="QM28" s="246"/>
      <c r="QN28" s="246"/>
      <c r="QO28" s="246"/>
      <c r="QP28" s="243">
        <f t="shared" si="201"/>
        <v>0</v>
      </c>
      <c r="QQ28" s="243">
        <f t="shared" si="140"/>
        <v>0</v>
      </c>
      <c r="QR28" s="246"/>
      <c r="QS28" s="246"/>
      <c r="QT28" s="246"/>
      <c r="QU28" s="246"/>
      <c r="QV28" s="243">
        <f t="shared" si="202"/>
        <v>0</v>
      </c>
      <c r="QW28" s="246"/>
      <c r="QX28" s="246"/>
      <c r="QY28" s="246"/>
      <c r="QZ28" s="246"/>
      <c r="RA28" s="246"/>
      <c r="RB28" s="246"/>
      <c r="RC28" s="246"/>
      <c r="RD28" s="243">
        <f t="shared" si="203"/>
        <v>0</v>
      </c>
      <c r="RE28" s="300"/>
      <c r="RF28" s="259">
        <f t="shared" si="101"/>
        <v>43791.897386702258</v>
      </c>
      <c r="RG28" s="259">
        <f t="shared" si="141"/>
        <v>33563.865140000002</v>
      </c>
      <c r="RH28" s="259">
        <f t="shared" si="142"/>
        <v>40276.638168000005</v>
      </c>
      <c r="RI28" s="256">
        <f t="shared" si="143"/>
        <v>42090.471820000006</v>
      </c>
    </row>
    <row r="29" spans="1:479">
      <c r="A29" s="5" t="s">
        <v>105</v>
      </c>
      <c r="B29" s="263"/>
      <c r="C29" s="246"/>
      <c r="D29" s="246"/>
      <c r="E29" s="246"/>
      <c r="F29" s="246"/>
      <c r="G29" s="243"/>
      <c r="H29" s="243">
        <f t="shared" si="144"/>
        <v>0</v>
      </c>
      <c r="I29" s="246"/>
      <c r="J29" s="246"/>
      <c r="K29" s="246"/>
      <c r="L29" s="246"/>
      <c r="M29" s="246"/>
      <c r="N29" s="246"/>
      <c r="O29" s="246"/>
      <c r="P29" s="243">
        <f t="shared" si="145"/>
        <v>0</v>
      </c>
      <c r="Q29" s="246"/>
      <c r="R29" s="246"/>
      <c r="S29" s="246"/>
      <c r="T29" s="246"/>
      <c r="U29" s="246"/>
      <c r="V29" s="246"/>
      <c r="W29" s="246"/>
      <c r="X29" s="243">
        <f t="shared" si="146"/>
        <v>0</v>
      </c>
      <c r="Y29" s="246"/>
      <c r="Z29" s="246"/>
      <c r="AA29" s="246"/>
      <c r="AB29" s="246"/>
      <c r="AC29" s="246"/>
      <c r="AD29" s="246"/>
      <c r="AE29" s="246"/>
      <c r="AF29" s="243">
        <f t="shared" si="147"/>
        <v>0</v>
      </c>
      <c r="AG29" s="246"/>
      <c r="AH29" s="246"/>
      <c r="AI29" s="246"/>
      <c r="AJ29" s="246"/>
      <c r="AK29" s="246"/>
      <c r="AL29" s="246"/>
      <c r="AM29" s="246"/>
      <c r="AN29" s="243">
        <f t="shared" si="148"/>
        <v>0</v>
      </c>
      <c r="AO29" s="246"/>
      <c r="AP29" s="246">
        <v>8274.9999248369204</v>
      </c>
      <c r="AQ29" s="246">
        <v>7839.671880000009</v>
      </c>
      <c r="AR29" s="246">
        <v>8000.39608392831</v>
      </c>
      <c r="AS29" s="246">
        <v>7805.7580699999999</v>
      </c>
      <c r="AT29" s="278">
        <v>8499.9997322706004</v>
      </c>
      <c r="AU29" s="246">
        <v>6217.3241399999997</v>
      </c>
      <c r="AV29" s="243">
        <f t="shared" si="149"/>
        <v>7460.7889679999989</v>
      </c>
      <c r="AW29" s="278">
        <v>8500</v>
      </c>
      <c r="AX29" s="246"/>
      <c r="AY29" s="246"/>
      <c r="AZ29" s="246"/>
      <c r="BA29" s="246"/>
      <c r="BB29" s="246"/>
      <c r="BC29" s="246"/>
      <c r="BD29" s="243">
        <f t="shared" si="150"/>
        <v>0</v>
      </c>
      <c r="BE29" s="246"/>
      <c r="BF29" s="246"/>
      <c r="BG29" s="246"/>
      <c r="BH29" s="246"/>
      <c r="BI29" s="246"/>
      <c r="BJ29" s="246"/>
      <c r="BK29" s="246"/>
      <c r="BL29" s="243">
        <f t="shared" si="151"/>
        <v>0</v>
      </c>
      <c r="BM29" s="246"/>
      <c r="BN29" s="246"/>
      <c r="BO29" s="246"/>
      <c r="BP29" s="246"/>
      <c r="BQ29" s="246"/>
      <c r="BR29" s="246"/>
      <c r="BS29" s="246"/>
      <c r="BT29" s="243">
        <f t="shared" si="152"/>
        <v>0</v>
      </c>
      <c r="BU29" s="246"/>
      <c r="BV29" s="246"/>
      <c r="BW29" s="246"/>
      <c r="BX29" s="246"/>
      <c r="BY29" s="246"/>
      <c r="BZ29" s="246"/>
      <c r="CA29" s="246"/>
      <c r="CB29" s="243">
        <f t="shared" si="153"/>
        <v>0</v>
      </c>
      <c r="CC29" s="246"/>
      <c r="CD29" s="246"/>
      <c r="CE29" s="246"/>
      <c r="CF29" s="246"/>
      <c r="CG29" s="246"/>
      <c r="CH29" s="246"/>
      <c r="CI29" s="246"/>
      <c r="CJ29" s="243">
        <f t="shared" si="154"/>
        <v>0</v>
      </c>
      <c r="CK29" s="246"/>
      <c r="CL29" s="246"/>
      <c r="CM29" s="246"/>
      <c r="CN29" s="246"/>
      <c r="CO29" s="246"/>
      <c r="CP29" s="246"/>
      <c r="CQ29" s="246"/>
      <c r="CR29" s="243">
        <f t="shared" si="155"/>
        <v>0</v>
      </c>
      <c r="CS29" s="246"/>
      <c r="CT29" s="246"/>
      <c r="CU29" s="246"/>
      <c r="CV29" s="246"/>
      <c r="CW29" s="246"/>
      <c r="CX29" s="246"/>
      <c r="CY29" s="246"/>
      <c r="CZ29" s="243">
        <f t="shared" si="156"/>
        <v>0</v>
      </c>
      <c r="DA29" s="246"/>
      <c r="DB29" s="246"/>
      <c r="DC29" s="246"/>
      <c r="DD29" s="246"/>
      <c r="DE29" s="246"/>
      <c r="DF29" s="246"/>
      <c r="DG29" s="246"/>
      <c r="DH29" s="243">
        <f t="shared" si="157"/>
        <v>0</v>
      </c>
      <c r="DI29" s="246"/>
      <c r="DJ29" s="246"/>
      <c r="DK29" s="246"/>
      <c r="DL29" s="246"/>
      <c r="DM29" s="246"/>
      <c r="DN29" s="246"/>
      <c r="DO29" s="246"/>
      <c r="DP29" s="243">
        <f t="shared" si="158"/>
        <v>0</v>
      </c>
      <c r="DQ29" s="246"/>
      <c r="DR29" s="246"/>
      <c r="DS29" s="246"/>
      <c r="DT29" s="246"/>
      <c r="DU29" s="246"/>
      <c r="DV29" s="246"/>
      <c r="DW29" s="246"/>
      <c r="DX29" s="243">
        <f t="shared" si="159"/>
        <v>0</v>
      </c>
      <c r="DY29" s="246"/>
      <c r="DZ29" s="246"/>
      <c r="EA29" s="246"/>
      <c r="EB29" s="246"/>
      <c r="EC29" s="246"/>
      <c r="ED29" s="246"/>
      <c r="EE29" s="246"/>
      <c r="EF29" s="243">
        <f t="shared" si="160"/>
        <v>0</v>
      </c>
      <c r="EG29" s="246"/>
      <c r="EH29" s="246"/>
      <c r="EI29" s="246"/>
      <c r="EJ29" s="246"/>
      <c r="EK29" s="246"/>
      <c r="EL29" s="246"/>
      <c r="EM29" s="246"/>
      <c r="EN29" s="243">
        <f t="shared" si="161"/>
        <v>0</v>
      </c>
      <c r="EO29" s="246"/>
      <c r="EP29" s="246"/>
      <c r="EQ29" s="246"/>
      <c r="ER29" s="246"/>
      <c r="ES29" s="246"/>
      <c r="ET29" s="246"/>
      <c r="EU29" s="246"/>
      <c r="EV29" s="243">
        <f t="shared" si="162"/>
        <v>0</v>
      </c>
      <c r="EW29" s="246"/>
      <c r="EX29" s="246"/>
      <c r="EY29" s="246"/>
      <c r="EZ29" s="246"/>
      <c r="FA29" s="246"/>
      <c r="FB29" s="246"/>
      <c r="FC29" s="246"/>
      <c r="FD29" s="243">
        <f t="shared" si="163"/>
        <v>0</v>
      </c>
      <c r="FE29" s="246"/>
      <c r="FF29" s="246"/>
      <c r="FG29" s="246"/>
      <c r="FH29" s="246"/>
      <c r="FI29" s="246"/>
      <c r="FJ29" s="246"/>
      <c r="FK29" s="246"/>
      <c r="FL29" s="243">
        <f t="shared" si="164"/>
        <v>0</v>
      </c>
      <c r="FM29" s="246"/>
      <c r="FN29" s="246"/>
      <c r="FO29" s="246"/>
      <c r="FP29" s="246"/>
      <c r="FQ29" s="246"/>
      <c r="FR29" s="246"/>
      <c r="FS29" s="246"/>
      <c r="FT29" s="243">
        <f t="shared" si="165"/>
        <v>0</v>
      </c>
      <c r="FU29" s="246"/>
      <c r="FV29" s="246"/>
      <c r="FW29" s="246"/>
      <c r="FX29" s="246"/>
      <c r="FY29" s="246"/>
      <c r="FZ29" s="246"/>
      <c r="GA29" s="246"/>
      <c r="GB29" s="243">
        <f t="shared" si="166"/>
        <v>0</v>
      </c>
      <c r="GC29" s="246"/>
      <c r="GD29" s="246"/>
      <c r="GE29" s="246"/>
      <c r="GF29" s="246"/>
      <c r="GG29" s="246"/>
      <c r="GH29" s="246"/>
      <c r="GI29" s="246"/>
      <c r="GJ29" s="243">
        <f t="shared" si="167"/>
        <v>0</v>
      </c>
      <c r="GK29" s="246"/>
      <c r="GL29" s="246"/>
      <c r="GM29" s="246"/>
      <c r="GN29" s="246"/>
      <c r="GO29" s="246"/>
      <c r="GP29" s="246"/>
      <c r="GQ29" s="246"/>
      <c r="GR29" s="243">
        <f t="shared" si="168"/>
        <v>0</v>
      </c>
      <c r="GS29" s="246"/>
      <c r="GT29" s="246"/>
      <c r="GU29" s="246"/>
      <c r="GV29" s="246"/>
      <c r="GW29" s="246"/>
      <c r="GX29" s="246"/>
      <c r="GY29" s="246"/>
      <c r="GZ29" s="243">
        <f t="shared" si="169"/>
        <v>0</v>
      </c>
      <c r="HA29" s="246"/>
      <c r="HB29" s="246"/>
      <c r="HC29" s="246"/>
      <c r="HD29" s="246"/>
      <c r="HE29" s="246"/>
      <c r="HF29" s="246"/>
      <c r="HG29" s="246"/>
      <c r="HH29" s="243">
        <f t="shared" si="170"/>
        <v>0</v>
      </c>
      <c r="HI29" s="246"/>
      <c r="HJ29" s="246"/>
      <c r="HK29" s="246"/>
      <c r="HL29" s="246"/>
      <c r="HM29" s="246"/>
      <c r="HN29" s="246"/>
      <c r="HO29" s="246"/>
      <c r="HP29" s="243">
        <f t="shared" si="171"/>
        <v>0</v>
      </c>
      <c r="HQ29" s="246"/>
      <c r="HR29" s="246"/>
      <c r="HS29" s="246"/>
      <c r="HT29" s="246"/>
      <c r="HU29" s="246"/>
      <c r="HV29" s="246"/>
      <c r="HW29" s="246"/>
      <c r="HX29" s="243">
        <f t="shared" si="172"/>
        <v>0</v>
      </c>
      <c r="HY29" s="246"/>
      <c r="HZ29" s="246"/>
      <c r="IA29" s="246"/>
      <c r="IB29" s="246"/>
      <c r="IC29" s="246"/>
      <c r="ID29" s="246"/>
      <c r="IE29" s="246"/>
      <c r="IF29" s="243">
        <f t="shared" si="173"/>
        <v>0</v>
      </c>
      <c r="IG29" s="246"/>
      <c r="IH29" s="246"/>
      <c r="II29" s="246"/>
      <c r="IJ29" s="246"/>
      <c r="IK29" s="246"/>
      <c r="IL29" s="246"/>
      <c r="IM29" s="246"/>
      <c r="IN29" s="243">
        <f t="shared" si="174"/>
        <v>0</v>
      </c>
      <c r="IO29" s="246"/>
      <c r="IP29" s="246"/>
      <c r="IQ29" s="246"/>
      <c r="IR29" s="246"/>
      <c r="IS29" s="246"/>
      <c r="IT29" s="246"/>
      <c r="IU29" s="246"/>
      <c r="IV29" s="243">
        <f t="shared" si="175"/>
        <v>0</v>
      </c>
      <c r="IW29" s="246"/>
      <c r="IX29" s="246"/>
      <c r="IY29" s="246"/>
      <c r="IZ29" s="246"/>
      <c r="JA29" s="246"/>
      <c r="JB29" s="246"/>
      <c r="JC29" s="246"/>
      <c r="JD29" s="243">
        <f t="shared" si="176"/>
        <v>0</v>
      </c>
      <c r="JE29" s="246"/>
      <c r="JF29" s="246"/>
      <c r="JG29" s="246"/>
      <c r="JH29" s="246"/>
      <c r="JI29" s="246"/>
      <c r="JJ29" s="246"/>
      <c r="JK29" s="246"/>
      <c r="JL29" s="243">
        <f t="shared" si="177"/>
        <v>0</v>
      </c>
      <c r="JM29" s="246"/>
      <c r="JN29" s="246"/>
      <c r="JO29" s="246"/>
      <c r="JP29" s="246"/>
      <c r="JQ29" s="246"/>
      <c r="JR29" s="246"/>
      <c r="JS29" s="246"/>
      <c r="JT29" s="243">
        <f t="shared" si="178"/>
        <v>0</v>
      </c>
      <c r="JU29" s="246"/>
      <c r="JV29" s="246"/>
      <c r="JW29" s="246"/>
      <c r="JX29" s="246"/>
      <c r="JY29" s="246"/>
      <c r="JZ29" s="246"/>
      <c r="KA29" s="246"/>
      <c r="KB29" s="243">
        <f t="shared" si="179"/>
        <v>0</v>
      </c>
      <c r="KC29" s="246"/>
      <c r="KD29" s="246"/>
      <c r="KE29" s="246"/>
      <c r="KF29" s="246"/>
      <c r="KG29" s="246"/>
      <c r="KH29" s="246"/>
      <c r="KI29" s="246"/>
      <c r="KJ29" s="243">
        <f t="shared" si="180"/>
        <v>0</v>
      </c>
      <c r="KK29" s="246"/>
      <c r="KL29" s="246"/>
      <c r="KM29" s="246"/>
      <c r="KN29" s="246"/>
      <c r="KO29" s="246"/>
      <c r="KP29" s="246"/>
      <c r="KQ29" s="246"/>
      <c r="KR29" s="243">
        <f t="shared" si="181"/>
        <v>0</v>
      </c>
      <c r="KS29" s="246"/>
      <c r="KT29" s="246"/>
      <c r="KU29" s="246"/>
      <c r="KV29" s="246"/>
      <c r="KW29" s="246"/>
      <c r="KX29" s="246"/>
      <c r="KY29" s="246"/>
      <c r="KZ29" s="243">
        <f t="shared" si="182"/>
        <v>0</v>
      </c>
      <c r="LA29" s="246"/>
      <c r="LB29" s="246"/>
      <c r="LC29" s="246"/>
      <c r="LD29" s="246"/>
      <c r="LE29" s="246"/>
      <c r="LF29" s="246"/>
      <c r="LG29" s="246"/>
      <c r="LH29" s="243">
        <f t="shared" si="183"/>
        <v>0</v>
      </c>
      <c r="LI29" s="246"/>
      <c r="LJ29" s="246"/>
      <c r="LK29" s="246"/>
      <c r="LL29" s="246"/>
      <c r="LM29" s="246"/>
      <c r="LN29" s="246"/>
      <c r="LO29" s="246"/>
      <c r="LP29" s="243">
        <f t="shared" si="184"/>
        <v>0</v>
      </c>
      <c r="LQ29" s="246"/>
      <c r="LR29" s="246"/>
      <c r="LS29" s="246"/>
      <c r="LT29" s="244">
        <f t="shared" si="185"/>
        <v>0</v>
      </c>
      <c r="LU29" s="246">
        <v>0</v>
      </c>
      <c r="LV29" s="246"/>
      <c r="LW29" s="246"/>
      <c r="LX29" s="246"/>
      <c r="LY29" s="246"/>
      <c r="LZ29" s="246"/>
      <c r="MA29" s="246"/>
      <c r="MB29" s="243">
        <f t="shared" si="186"/>
        <v>0</v>
      </c>
      <c r="MC29" s="246"/>
      <c r="MD29" s="246"/>
      <c r="ME29" s="246"/>
      <c r="MF29" s="246"/>
      <c r="MG29" s="246"/>
      <c r="MH29" s="246"/>
      <c r="MI29" s="246"/>
      <c r="MJ29" s="243">
        <f t="shared" si="187"/>
        <v>0</v>
      </c>
      <c r="MK29" s="246"/>
      <c r="ML29" s="246"/>
      <c r="MM29" s="246"/>
      <c r="MN29" s="246"/>
      <c r="MO29" s="246"/>
      <c r="MP29" s="246"/>
      <c r="MQ29" s="246"/>
      <c r="MR29" s="243">
        <f t="shared" si="188"/>
        <v>0</v>
      </c>
      <c r="MS29" s="271"/>
      <c r="MT29" s="246"/>
      <c r="MU29" s="246"/>
      <c r="MV29" s="246"/>
      <c r="MW29" s="246"/>
      <c r="MX29" s="246"/>
      <c r="MY29" s="246"/>
      <c r="MZ29" s="243">
        <f t="shared" si="189"/>
        <v>0</v>
      </c>
      <c r="NA29" s="246"/>
      <c r="NB29" s="246"/>
      <c r="NC29" s="246"/>
      <c r="ND29" s="243">
        <f t="shared" si="190"/>
        <v>0</v>
      </c>
      <c r="NE29" s="246">
        <v>0</v>
      </c>
      <c r="NF29" s="246"/>
      <c r="NG29" s="246"/>
      <c r="NH29" s="246"/>
      <c r="NI29" s="246"/>
      <c r="NJ29" s="246"/>
      <c r="NK29" s="246"/>
      <c r="NL29" s="243">
        <f t="shared" si="191"/>
        <v>0</v>
      </c>
      <c r="NM29" s="246"/>
      <c r="NN29" s="246"/>
      <c r="NO29" s="246"/>
      <c r="NP29" s="246"/>
      <c r="NQ29" s="246"/>
      <c r="NR29" s="246"/>
      <c r="NS29" s="246"/>
      <c r="NT29" s="243">
        <f t="shared" si="192"/>
        <v>0</v>
      </c>
      <c r="NU29" s="246"/>
      <c r="NV29" s="246"/>
      <c r="NW29" s="246"/>
      <c r="NX29" s="246"/>
      <c r="NY29" s="246"/>
      <c r="NZ29" s="246"/>
      <c r="OA29" s="246"/>
      <c r="OB29" s="243">
        <f t="shared" si="193"/>
        <v>0</v>
      </c>
      <c r="OC29" s="246"/>
      <c r="OD29" s="246"/>
      <c r="OE29" s="246"/>
      <c r="OF29" s="246"/>
      <c r="OG29" s="246"/>
      <c r="OH29" s="246"/>
      <c r="OI29" s="246"/>
      <c r="OJ29" s="243">
        <f t="shared" si="194"/>
        <v>0</v>
      </c>
      <c r="OK29" s="246"/>
      <c r="OL29" s="246"/>
      <c r="OM29" s="246"/>
      <c r="ON29" s="246"/>
      <c r="OO29" s="246"/>
      <c r="OP29" s="246"/>
      <c r="OQ29" s="246"/>
      <c r="OR29" s="243">
        <f t="shared" si="195"/>
        <v>0</v>
      </c>
      <c r="OS29" s="246"/>
      <c r="OT29" s="246"/>
      <c r="OU29" s="246"/>
      <c r="OV29" s="246"/>
      <c r="OW29" s="246"/>
      <c r="OX29" s="246"/>
      <c r="OY29" s="246"/>
      <c r="OZ29" s="243">
        <f t="shared" si="196"/>
        <v>0</v>
      </c>
      <c r="PA29" s="247"/>
      <c r="PB29" s="246"/>
      <c r="PC29" s="246"/>
      <c r="PD29" s="243">
        <f t="shared" si="197"/>
        <v>0</v>
      </c>
      <c r="PE29" s="247"/>
      <c r="PF29" s="246"/>
      <c r="PG29" s="246"/>
      <c r="PH29" s="246"/>
      <c r="PI29" s="246"/>
      <c r="PJ29" s="246"/>
      <c r="PK29" s="246"/>
      <c r="PL29" s="243">
        <f t="shared" si="139"/>
        <v>0</v>
      </c>
      <c r="PM29" s="247"/>
      <c r="PN29" s="246">
        <v>-6921</v>
      </c>
      <c r="PO29" s="246">
        <v>0</v>
      </c>
      <c r="PP29" s="246"/>
      <c r="PQ29" s="246"/>
      <c r="PR29" s="246"/>
      <c r="PS29" s="246"/>
      <c r="PT29" s="243">
        <f t="shared" si="198"/>
        <v>0</v>
      </c>
      <c r="PU29" s="246"/>
      <c r="PV29" s="246"/>
      <c r="PW29" s="246"/>
      <c r="PX29" s="246"/>
      <c r="PY29" s="246"/>
      <c r="PZ29" s="246"/>
      <c r="QA29" s="246"/>
      <c r="QB29" s="243">
        <f t="shared" si="199"/>
        <v>0</v>
      </c>
      <c r="QC29" s="246"/>
      <c r="QD29" s="246"/>
      <c r="QE29" s="246"/>
      <c r="QF29" s="246"/>
      <c r="QG29" s="246"/>
      <c r="QH29" s="246"/>
      <c r="QI29" s="246"/>
      <c r="QJ29" s="243">
        <f t="shared" si="200"/>
        <v>0</v>
      </c>
      <c r="QK29" s="246">
        <v>0</v>
      </c>
      <c r="QL29" s="246"/>
      <c r="QM29" s="246"/>
      <c r="QN29" s="246"/>
      <c r="QO29" s="246"/>
      <c r="QP29" s="243">
        <f t="shared" si="201"/>
        <v>0</v>
      </c>
      <c r="QQ29" s="243">
        <f t="shared" si="140"/>
        <v>0</v>
      </c>
      <c r="QR29" s="246"/>
      <c r="QS29" s="246"/>
      <c r="QT29" s="246"/>
      <c r="QU29" s="246"/>
      <c r="QV29" s="243">
        <f t="shared" si="202"/>
        <v>0</v>
      </c>
      <c r="QW29" s="246"/>
      <c r="QX29" s="246"/>
      <c r="QY29" s="246"/>
      <c r="QZ29" s="246"/>
      <c r="RA29" s="246"/>
      <c r="RB29" s="246"/>
      <c r="RC29" s="246"/>
      <c r="RD29" s="243">
        <f t="shared" si="203"/>
        <v>0</v>
      </c>
      <c r="RE29" s="300"/>
      <c r="RF29" s="259">
        <f t="shared" si="101"/>
        <v>8499.9997322706004</v>
      </c>
      <c r="RG29" s="259">
        <f t="shared" si="141"/>
        <v>6217.3241399999997</v>
      </c>
      <c r="RH29" s="259">
        <f t="shared" si="142"/>
        <v>7460.7889679999989</v>
      </c>
      <c r="RI29" s="256">
        <f t="shared" si="143"/>
        <v>8500</v>
      </c>
    </row>
    <row r="30" spans="1:479">
      <c r="A30" s="5" t="s">
        <v>106</v>
      </c>
      <c r="B30" s="263"/>
      <c r="C30" s="246"/>
      <c r="D30" s="246"/>
      <c r="E30" s="246"/>
      <c r="F30" s="246"/>
      <c r="G30" s="243"/>
      <c r="H30" s="243">
        <f t="shared" si="144"/>
        <v>0</v>
      </c>
      <c r="I30" s="246"/>
      <c r="J30" s="246"/>
      <c r="K30" s="246"/>
      <c r="L30" s="246"/>
      <c r="M30" s="246"/>
      <c r="N30" s="246"/>
      <c r="O30" s="246"/>
      <c r="P30" s="243">
        <f t="shared" si="145"/>
        <v>0</v>
      </c>
      <c r="Q30" s="246"/>
      <c r="R30" s="246"/>
      <c r="S30" s="246"/>
      <c r="T30" s="246"/>
      <c r="U30" s="246"/>
      <c r="V30" s="246"/>
      <c r="W30" s="246"/>
      <c r="X30" s="243">
        <f t="shared" si="146"/>
        <v>0</v>
      </c>
      <c r="Y30" s="246"/>
      <c r="Z30" s="246"/>
      <c r="AA30" s="246"/>
      <c r="AB30" s="246"/>
      <c r="AC30" s="246"/>
      <c r="AD30" s="246"/>
      <c r="AE30" s="246"/>
      <c r="AF30" s="243">
        <f t="shared" si="147"/>
        <v>0</v>
      </c>
      <c r="AG30" s="246"/>
      <c r="AH30" s="246"/>
      <c r="AI30" s="246"/>
      <c r="AJ30" s="246"/>
      <c r="AK30" s="246"/>
      <c r="AL30" s="246"/>
      <c r="AM30" s="246"/>
      <c r="AN30" s="243">
        <f t="shared" si="148"/>
        <v>0</v>
      </c>
      <c r="AO30" s="246"/>
      <c r="AP30" s="246">
        <v>18715</v>
      </c>
      <c r="AQ30" s="246">
        <v>18648.353449999999</v>
      </c>
      <c r="AR30" s="246">
        <v>20000.390210090001</v>
      </c>
      <c r="AS30" s="246">
        <v>23085.607330000013</v>
      </c>
      <c r="AT30" s="278">
        <v>20499.999422554902</v>
      </c>
      <c r="AU30" s="246">
        <v>17421.219590000001</v>
      </c>
      <c r="AV30" s="243">
        <f t="shared" si="149"/>
        <v>20905.463508000001</v>
      </c>
      <c r="AW30" s="278">
        <v>20500</v>
      </c>
      <c r="AX30" s="246"/>
      <c r="AY30" s="246"/>
      <c r="AZ30" s="246"/>
      <c r="BA30" s="246"/>
      <c r="BB30" s="246"/>
      <c r="BC30" s="246"/>
      <c r="BD30" s="243">
        <f t="shared" si="150"/>
        <v>0</v>
      </c>
      <c r="BE30" s="246"/>
      <c r="BF30" s="246"/>
      <c r="BG30" s="246"/>
      <c r="BH30" s="246"/>
      <c r="BI30" s="246"/>
      <c r="BJ30" s="246"/>
      <c r="BK30" s="246"/>
      <c r="BL30" s="243">
        <f t="shared" si="151"/>
        <v>0</v>
      </c>
      <c r="BM30" s="246"/>
      <c r="BN30" s="246"/>
      <c r="BO30" s="246"/>
      <c r="BP30" s="246"/>
      <c r="BQ30" s="246"/>
      <c r="BR30" s="246"/>
      <c r="BS30" s="246"/>
      <c r="BT30" s="243">
        <f t="shared" si="152"/>
        <v>0</v>
      </c>
      <c r="BU30" s="246"/>
      <c r="BV30" s="246"/>
      <c r="BW30" s="246"/>
      <c r="BX30" s="246"/>
      <c r="BY30" s="246"/>
      <c r="BZ30" s="246"/>
      <c r="CA30" s="246"/>
      <c r="CB30" s="243">
        <f t="shared" si="153"/>
        <v>0</v>
      </c>
      <c r="CC30" s="246"/>
      <c r="CD30" s="246"/>
      <c r="CE30" s="246"/>
      <c r="CF30" s="246"/>
      <c r="CG30" s="246"/>
      <c r="CH30" s="246"/>
      <c r="CI30" s="246"/>
      <c r="CJ30" s="243">
        <f t="shared" si="154"/>
        <v>0</v>
      </c>
      <c r="CK30" s="246"/>
      <c r="CL30" s="246"/>
      <c r="CM30" s="246"/>
      <c r="CN30" s="246"/>
      <c r="CO30" s="246"/>
      <c r="CP30" s="246"/>
      <c r="CQ30" s="246"/>
      <c r="CR30" s="243">
        <f t="shared" si="155"/>
        <v>0</v>
      </c>
      <c r="CS30" s="246"/>
      <c r="CT30" s="246"/>
      <c r="CU30" s="246"/>
      <c r="CV30" s="246"/>
      <c r="CW30" s="246"/>
      <c r="CX30" s="246"/>
      <c r="CY30" s="246"/>
      <c r="CZ30" s="243">
        <f t="shared" si="156"/>
        <v>0</v>
      </c>
      <c r="DA30" s="246"/>
      <c r="DB30" s="246"/>
      <c r="DC30" s="246"/>
      <c r="DD30" s="246"/>
      <c r="DE30" s="246"/>
      <c r="DF30" s="246"/>
      <c r="DG30" s="246"/>
      <c r="DH30" s="243">
        <f t="shared" si="157"/>
        <v>0</v>
      </c>
      <c r="DI30" s="246"/>
      <c r="DJ30" s="246"/>
      <c r="DK30" s="246"/>
      <c r="DL30" s="246"/>
      <c r="DM30" s="246"/>
      <c r="DN30" s="246"/>
      <c r="DO30" s="246"/>
      <c r="DP30" s="243">
        <f t="shared" si="158"/>
        <v>0</v>
      </c>
      <c r="DQ30" s="246"/>
      <c r="DR30" s="246"/>
      <c r="DS30" s="246"/>
      <c r="DT30" s="246"/>
      <c r="DU30" s="246"/>
      <c r="DV30" s="246"/>
      <c r="DW30" s="246"/>
      <c r="DX30" s="243">
        <f t="shared" si="159"/>
        <v>0</v>
      </c>
      <c r="DY30" s="246"/>
      <c r="DZ30" s="246"/>
      <c r="EA30" s="246"/>
      <c r="EB30" s="246"/>
      <c r="EC30" s="246"/>
      <c r="ED30" s="246"/>
      <c r="EE30" s="246"/>
      <c r="EF30" s="243">
        <f t="shared" si="160"/>
        <v>0</v>
      </c>
      <c r="EG30" s="246"/>
      <c r="EH30" s="246"/>
      <c r="EI30" s="246"/>
      <c r="EJ30" s="246"/>
      <c r="EK30" s="246"/>
      <c r="EL30" s="246"/>
      <c r="EM30" s="246"/>
      <c r="EN30" s="243">
        <f t="shared" si="161"/>
        <v>0</v>
      </c>
      <c r="EO30" s="246"/>
      <c r="EP30" s="246"/>
      <c r="EQ30" s="246"/>
      <c r="ER30" s="246"/>
      <c r="ES30" s="246"/>
      <c r="ET30" s="246"/>
      <c r="EU30" s="246"/>
      <c r="EV30" s="243">
        <f t="shared" si="162"/>
        <v>0</v>
      </c>
      <c r="EW30" s="246"/>
      <c r="EX30" s="246"/>
      <c r="EY30" s="246"/>
      <c r="EZ30" s="246"/>
      <c r="FA30" s="246"/>
      <c r="FB30" s="246"/>
      <c r="FC30" s="246"/>
      <c r="FD30" s="243">
        <f t="shared" si="163"/>
        <v>0</v>
      </c>
      <c r="FE30" s="246"/>
      <c r="FF30" s="246"/>
      <c r="FG30" s="246"/>
      <c r="FH30" s="246"/>
      <c r="FI30" s="246"/>
      <c r="FJ30" s="246"/>
      <c r="FK30" s="246"/>
      <c r="FL30" s="243">
        <f t="shared" si="164"/>
        <v>0</v>
      </c>
      <c r="FM30" s="246"/>
      <c r="FN30" s="246"/>
      <c r="FO30" s="246"/>
      <c r="FP30" s="246"/>
      <c r="FQ30" s="246"/>
      <c r="FR30" s="246"/>
      <c r="FS30" s="246"/>
      <c r="FT30" s="243">
        <f t="shared" si="165"/>
        <v>0</v>
      </c>
      <c r="FU30" s="246"/>
      <c r="FV30" s="246"/>
      <c r="FW30" s="246"/>
      <c r="FX30" s="246"/>
      <c r="FY30" s="246"/>
      <c r="FZ30" s="246"/>
      <c r="GA30" s="246"/>
      <c r="GB30" s="243">
        <f t="shared" si="166"/>
        <v>0</v>
      </c>
      <c r="GC30" s="246"/>
      <c r="GD30" s="246"/>
      <c r="GE30" s="246"/>
      <c r="GF30" s="246"/>
      <c r="GG30" s="246"/>
      <c r="GH30" s="246"/>
      <c r="GI30" s="246"/>
      <c r="GJ30" s="243">
        <f t="shared" si="167"/>
        <v>0</v>
      </c>
      <c r="GK30" s="246"/>
      <c r="GL30" s="246"/>
      <c r="GM30" s="246"/>
      <c r="GN30" s="246"/>
      <c r="GO30" s="246"/>
      <c r="GP30" s="246"/>
      <c r="GQ30" s="246"/>
      <c r="GR30" s="243">
        <f t="shared" si="168"/>
        <v>0</v>
      </c>
      <c r="GS30" s="246"/>
      <c r="GT30" s="246"/>
      <c r="GU30" s="246"/>
      <c r="GV30" s="246"/>
      <c r="GW30" s="246"/>
      <c r="GX30" s="246"/>
      <c r="GY30" s="246"/>
      <c r="GZ30" s="243">
        <f t="shared" si="169"/>
        <v>0</v>
      </c>
      <c r="HA30" s="246"/>
      <c r="HB30" s="246"/>
      <c r="HC30" s="246"/>
      <c r="HD30" s="246"/>
      <c r="HE30" s="246"/>
      <c r="HF30" s="246"/>
      <c r="HG30" s="246"/>
      <c r="HH30" s="243">
        <f t="shared" si="170"/>
        <v>0</v>
      </c>
      <c r="HI30" s="246"/>
      <c r="HJ30" s="246"/>
      <c r="HK30" s="246"/>
      <c r="HL30" s="246"/>
      <c r="HM30" s="246"/>
      <c r="HN30" s="246"/>
      <c r="HO30" s="246"/>
      <c r="HP30" s="243">
        <f t="shared" si="171"/>
        <v>0</v>
      </c>
      <c r="HQ30" s="246"/>
      <c r="HR30" s="246"/>
      <c r="HS30" s="246"/>
      <c r="HT30" s="246"/>
      <c r="HU30" s="246"/>
      <c r="HV30" s="246"/>
      <c r="HW30" s="246"/>
      <c r="HX30" s="243">
        <f t="shared" si="172"/>
        <v>0</v>
      </c>
      <c r="HY30" s="246"/>
      <c r="HZ30" s="246"/>
      <c r="IA30" s="246"/>
      <c r="IB30" s="246"/>
      <c r="IC30" s="246"/>
      <c r="ID30" s="246"/>
      <c r="IE30" s="246"/>
      <c r="IF30" s="243">
        <f t="shared" si="173"/>
        <v>0</v>
      </c>
      <c r="IG30" s="246"/>
      <c r="IH30" s="246"/>
      <c r="II30" s="246"/>
      <c r="IJ30" s="246"/>
      <c r="IK30" s="246"/>
      <c r="IL30" s="246"/>
      <c r="IM30" s="246"/>
      <c r="IN30" s="243">
        <f t="shared" si="174"/>
        <v>0</v>
      </c>
      <c r="IO30" s="246"/>
      <c r="IP30" s="246"/>
      <c r="IQ30" s="246"/>
      <c r="IR30" s="246"/>
      <c r="IS30" s="246"/>
      <c r="IT30" s="246"/>
      <c r="IU30" s="246"/>
      <c r="IV30" s="243">
        <f t="shared" si="175"/>
        <v>0</v>
      </c>
      <c r="IW30" s="246"/>
      <c r="IX30" s="246"/>
      <c r="IY30" s="246"/>
      <c r="IZ30" s="246"/>
      <c r="JA30" s="246"/>
      <c r="JB30" s="246"/>
      <c r="JC30" s="246"/>
      <c r="JD30" s="243">
        <f t="shared" si="176"/>
        <v>0</v>
      </c>
      <c r="JE30" s="246"/>
      <c r="JF30" s="246"/>
      <c r="JG30" s="246"/>
      <c r="JH30" s="246"/>
      <c r="JI30" s="246"/>
      <c r="JJ30" s="246"/>
      <c r="JK30" s="246"/>
      <c r="JL30" s="243">
        <f t="shared" si="177"/>
        <v>0</v>
      </c>
      <c r="JM30" s="246"/>
      <c r="JN30" s="246"/>
      <c r="JO30" s="246"/>
      <c r="JP30" s="246"/>
      <c r="JQ30" s="246"/>
      <c r="JR30" s="246"/>
      <c r="JS30" s="246"/>
      <c r="JT30" s="243">
        <f t="shared" si="178"/>
        <v>0</v>
      </c>
      <c r="JU30" s="246"/>
      <c r="JV30" s="246"/>
      <c r="JW30" s="246"/>
      <c r="JX30" s="246"/>
      <c r="JY30" s="246"/>
      <c r="JZ30" s="246"/>
      <c r="KA30" s="246"/>
      <c r="KB30" s="243">
        <f t="shared" si="179"/>
        <v>0</v>
      </c>
      <c r="KC30" s="246"/>
      <c r="KD30" s="246"/>
      <c r="KE30" s="246"/>
      <c r="KF30" s="246"/>
      <c r="KG30" s="246"/>
      <c r="KH30" s="246"/>
      <c r="KI30" s="246"/>
      <c r="KJ30" s="243">
        <f t="shared" si="180"/>
        <v>0</v>
      </c>
      <c r="KK30" s="246"/>
      <c r="KL30" s="246"/>
      <c r="KM30" s="246"/>
      <c r="KN30" s="246"/>
      <c r="KO30" s="246"/>
      <c r="KP30" s="246"/>
      <c r="KQ30" s="246"/>
      <c r="KR30" s="243">
        <f t="shared" si="181"/>
        <v>0</v>
      </c>
      <c r="KS30" s="246"/>
      <c r="KT30" s="246"/>
      <c r="KU30" s="246"/>
      <c r="KV30" s="246"/>
      <c r="KW30" s="246"/>
      <c r="KX30" s="246"/>
      <c r="KY30" s="246"/>
      <c r="KZ30" s="243">
        <f t="shared" si="182"/>
        <v>0</v>
      </c>
      <c r="LA30" s="246"/>
      <c r="LB30" s="246"/>
      <c r="LC30" s="246"/>
      <c r="LD30" s="246"/>
      <c r="LE30" s="246"/>
      <c r="LF30" s="246"/>
      <c r="LG30" s="246"/>
      <c r="LH30" s="243">
        <f t="shared" si="183"/>
        <v>0</v>
      </c>
      <c r="LI30" s="246"/>
      <c r="LJ30" s="246"/>
      <c r="LK30" s="246"/>
      <c r="LL30" s="246"/>
      <c r="LM30" s="246"/>
      <c r="LN30" s="246"/>
      <c r="LO30" s="246"/>
      <c r="LP30" s="243">
        <f t="shared" si="184"/>
        <v>0</v>
      </c>
      <c r="LQ30" s="246"/>
      <c r="LR30" s="246"/>
      <c r="LS30" s="246"/>
      <c r="LT30" s="244">
        <f t="shared" si="185"/>
        <v>0</v>
      </c>
      <c r="LU30" s="246">
        <v>0</v>
      </c>
      <c r="LV30" s="246"/>
      <c r="LW30" s="246"/>
      <c r="LX30" s="246"/>
      <c r="LY30" s="246"/>
      <c r="LZ30" s="246"/>
      <c r="MA30" s="246"/>
      <c r="MB30" s="243">
        <f t="shared" si="186"/>
        <v>0</v>
      </c>
      <c r="MC30" s="246"/>
      <c r="MD30" s="246"/>
      <c r="ME30" s="246"/>
      <c r="MF30" s="246"/>
      <c r="MG30" s="246"/>
      <c r="MH30" s="246"/>
      <c r="MI30" s="246"/>
      <c r="MJ30" s="243">
        <f t="shared" si="187"/>
        <v>0</v>
      </c>
      <c r="MK30" s="246"/>
      <c r="ML30" s="246"/>
      <c r="MM30" s="246"/>
      <c r="MN30" s="246"/>
      <c r="MO30" s="246"/>
      <c r="MP30" s="246"/>
      <c r="MQ30" s="246"/>
      <c r="MR30" s="243">
        <f t="shared" si="188"/>
        <v>0</v>
      </c>
      <c r="MS30" s="271"/>
      <c r="MT30" s="246"/>
      <c r="MU30" s="246"/>
      <c r="MV30" s="246"/>
      <c r="MW30" s="246"/>
      <c r="MX30" s="246"/>
      <c r="MY30" s="246"/>
      <c r="MZ30" s="243">
        <f t="shared" si="189"/>
        <v>0</v>
      </c>
      <c r="NA30" s="246"/>
      <c r="NB30" s="246"/>
      <c r="NC30" s="246"/>
      <c r="ND30" s="243">
        <f t="shared" si="190"/>
        <v>0</v>
      </c>
      <c r="NE30" s="246">
        <v>0</v>
      </c>
      <c r="NF30" s="246"/>
      <c r="NG30" s="246"/>
      <c r="NH30" s="246"/>
      <c r="NI30" s="246"/>
      <c r="NJ30" s="246"/>
      <c r="NK30" s="246"/>
      <c r="NL30" s="243">
        <f t="shared" si="191"/>
        <v>0</v>
      </c>
      <c r="NM30" s="246"/>
      <c r="NN30" s="246"/>
      <c r="NO30" s="246"/>
      <c r="NP30" s="246"/>
      <c r="NQ30" s="246"/>
      <c r="NR30" s="246"/>
      <c r="NS30" s="246"/>
      <c r="NT30" s="243">
        <f t="shared" si="192"/>
        <v>0</v>
      </c>
      <c r="NU30" s="246"/>
      <c r="NV30" s="246"/>
      <c r="NW30" s="246"/>
      <c r="NX30" s="246"/>
      <c r="NY30" s="246"/>
      <c r="NZ30" s="246"/>
      <c r="OA30" s="246"/>
      <c r="OB30" s="243">
        <f t="shared" si="193"/>
        <v>0</v>
      </c>
      <c r="OC30" s="246"/>
      <c r="OD30" s="246"/>
      <c r="OE30" s="246"/>
      <c r="OF30" s="246"/>
      <c r="OG30" s="246"/>
      <c r="OH30" s="246"/>
      <c r="OI30" s="246"/>
      <c r="OJ30" s="243">
        <f t="shared" si="194"/>
        <v>0</v>
      </c>
      <c r="OK30" s="246"/>
      <c r="OL30" s="246"/>
      <c r="OM30" s="246"/>
      <c r="ON30" s="246"/>
      <c r="OO30" s="246"/>
      <c r="OP30" s="246"/>
      <c r="OQ30" s="246"/>
      <c r="OR30" s="243">
        <f t="shared" si="195"/>
        <v>0</v>
      </c>
      <c r="OS30" s="246"/>
      <c r="OT30" s="246"/>
      <c r="OU30" s="246"/>
      <c r="OV30" s="246"/>
      <c r="OW30" s="246"/>
      <c r="OX30" s="246"/>
      <c r="OY30" s="246"/>
      <c r="OZ30" s="243">
        <f t="shared" si="196"/>
        <v>0</v>
      </c>
      <c r="PA30" s="247"/>
      <c r="PB30" s="246"/>
      <c r="PC30" s="246"/>
      <c r="PD30" s="243">
        <f t="shared" si="197"/>
        <v>0</v>
      </c>
      <c r="PE30" s="247"/>
      <c r="PF30" s="246"/>
      <c r="PG30" s="246"/>
      <c r="PH30" s="246"/>
      <c r="PI30" s="246"/>
      <c r="PJ30" s="246"/>
      <c r="PK30" s="246"/>
      <c r="PL30" s="243">
        <f t="shared" si="139"/>
        <v>0</v>
      </c>
      <c r="PM30" s="247"/>
      <c r="PN30" s="246">
        <v>-4215</v>
      </c>
      <c r="PO30" s="246">
        <v>0</v>
      </c>
      <c r="PP30" s="246"/>
      <c r="PQ30" s="246"/>
      <c r="PR30" s="246">
        <v>-500</v>
      </c>
      <c r="PS30" s="246">
        <v>0</v>
      </c>
      <c r="PT30" s="243">
        <f t="shared" si="198"/>
        <v>0</v>
      </c>
      <c r="PU30" s="246"/>
      <c r="PV30" s="246"/>
      <c r="PW30" s="246"/>
      <c r="PX30" s="246"/>
      <c r="PY30" s="246"/>
      <c r="PZ30" s="246"/>
      <c r="QA30" s="246"/>
      <c r="QB30" s="243">
        <f t="shared" si="199"/>
        <v>0</v>
      </c>
      <c r="QC30" s="246"/>
      <c r="QD30" s="246"/>
      <c r="QE30" s="246"/>
      <c r="QF30" s="246"/>
      <c r="QG30" s="246"/>
      <c r="QH30" s="246"/>
      <c r="QI30" s="246"/>
      <c r="QJ30" s="243">
        <f t="shared" si="200"/>
        <v>0</v>
      </c>
      <c r="QK30" s="246">
        <v>0</v>
      </c>
      <c r="QL30" s="246"/>
      <c r="QM30" s="246"/>
      <c r="QN30" s="246"/>
      <c r="QO30" s="246"/>
      <c r="QP30" s="243">
        <f t="shared" si="201"/>
        <v>0</v>
      </c>
      <c r="QQ30" s="243">
        <f t="shared" si="140"/>
        <v>0</v>
      </c>
      <c r="QR30" s="246"/>
      <c r="QS30" s="246"/>
      <c r="QT30" s="246"/>
      <c r="QU30" s="246"/>
      <c r="QV30" s="243">
        <f t="shared" si="202"/>
        <v>0</v>
      </c>
      <c r="QW30" s="246"/>
      <c r="QX30" s="246"/>
      <c r="QY30" s="246"/>
      <c r="QZ30" s="246"/>
      <c r="RA30" s="246"/>
      <c r="RB30" s="246"/>
      <c r="RC30" s="246"/>
      <c r="RD30" s="243">
        <f t="shared" si="203"/>
        <v>0</v>
      </c>
      <c r="RE30" s="300"/>
      <c r="RF30" s="259">
        <f t="shared" si="101"/>
        <v>19999.999422554902</v>
      </c>
      <c r="RG30" s="259">
        <f t="shared" si="141"/>
        <v>17421.219590000001</v>
      </c>
      <c r="RH30" s="259">
        <f t="shared" si="142"/>
        <v>20905.463508000001</v>
      </c>
      <c r="RI30" s="256">
        <f t="shared" si="143"/>
        <v>20500</v>
      </c>
    </row>
    <row r="31" spans="1:479">
      <c r="A31" s="5" t="s">
        <v>131</v>
      </c>
      <c r="B31" s="263"/>
      <c r="C31" s="246"/>
      <c r="D31" s="246"/>
      <c r="E31" s="246"/>
      <c r="F31" s="246"/>
      <c r="G31" s="243"/>
      <c r="H31" s="243">
        <f t="shared" si="144"/>
        <v>0</v>
      </c>
      <c r="I31" s="246"/>
      <c r="J31" s="246"/>
      <c r="K31" s="246"/>
      <c r="L31" s="246"/>
      <c r="M31" s="246"/>
      <c r="N31" s="246"/>
      <c r="O31" s="246"/>
      <c r="P31" s="243">
        <f t="shared" si="145"/>
        <v>0</v>
      </c>
      <c r="Q31" s="246"/>
      <c r="R31" s="246"/>
      <c r="S31" s="246"/>
      <c r="T31" s="246"/>
      <c r="U31" s="246"/>
      <c r="V31" s="246"/>
      <c r="W31" s="246"/>
      <c r="X31" s="243">
        <f t="shared" si="146"/>
        <v>0</v>
      </c>
      <c r="Y31" s="246"/>
      <c r="Z31" s="246"/>
      <c r="AA31" s="246"/>
      <c r="AB31" s="246"/>
      <c r="AC31" s="246"/>
      <c r="AD31" s="246"/>
      <c r="AE31" s="246"/>
      <c r="AF31" s="243">
        <f t="shared" si="147"/>
        <v>0</v>
      </c>
      <c r="AG31" s="246"/>
      <c r="AH31" s="246"/>
      <c r="AI31" s="246"/>
      <c r="AJ31" s="246"/>
      <c r="AK31" s="246"/>
      <c r="AL31" s="246"/>
      <c r="AM31" s="246"/>
      <c r="AN31" s="243">
        <f t="shared" si="148"/>
        <v>0</v>
      </c>
      <c r="AO31" s="246"/>
      <c r="AP31" s="246"/>
      <c r="AQ31" s="246"/>
      <c r="AR31" s="246"/>
      <c r="AS31" s="246"/>
      <c r="AT31" s="246"/>
      <c r="AU31" s="246"/>
      <c r="AV31" s="243">
        <f t="shared" si="149"/>
        <v>0</v>
      </c>
      <c r="AW31" s="246"/>
      <c r="AX31" s="246"/>
      <c r="AY31" s="246"/>
      <c r="AZ31" s="246"/>
      <c r="BA31" s="246"/>
      <c r="BB31" s="246"/>
      <c r="BC31" s="246"/>
      <c r="BD31" s="243">
        <f t="shared" si="150"/>
        <v>0</v>
      </c>
      <c r="BE31" s="246"/>
      <c r="BF31" s="246"/>
      <c r="BG31" s="246"/>
      <c r="BH31" s="246"/>
      <c r="BI31" s="246"/>
      <c r="BJ31" s="246"/>
      <c r="BK31" s="246"/>
      <c r="BL31" s="243">
        <f t="shared" si="151"/>
        <v>0</v>
      </c>
      <c r="BM31" s="246"/>
      <c r="BN31" s="246"/>
      <c r="BO31" s="246"/>
      <c r="BP31" s="246"/>
      <c r="BQ31" s="246"/>
      <c r="BR31" s="246"/>
      <c r="BS31" s="246"/>
      <c r="BT31" s="243">
        <f t="shared" si="152"/>
        <v>0</v>
      </c>
      <c r="BU31" s="246"/>
      <c r="BV31" s="246"/>
      <c r="BW31" s="246"/>
      <c r="BX31" s="246"/>
      <c r="BY31" s="246"/>
      <c r="BZ31" s="246"/>
      <c r="CA31" s="246"/>
      <c r="CB31" s="243">
        <f t="shared" si="153"/>
        <v>0</v>
      </c>
      <c r="CC31" s="246"/>
      <c r="CD31" s="246"/>
      <c r="CE31" s="246"/>
      <c r="CF31" s="246"/>
      <c r="CG31" s="246"/>
      <c r="CH31" s="246"/>
      <c r="CI31" s="246"/>
      <c r="CJ31" s="243">
        <f t="shared" si="154"/>
        <v>0</v>
      </c>
      <c r="CK31" s="246"/>
      <c r="CL31" s="246"/>
      <c r="CM31" s="246"/>
      <c r="CN31" s="246"/>
      <c r="CO31" s="246"/>
      <c r="CP31" s="246"/>
      <c r="CQ31" s="246"/>
      <c r="CR31" s="243">
        <f t="shared" si="155"/>
        <v>0</v>
      </c>
      <c r="CS31" s="246"/>
      <c r="CT31" s="246"/>
      <c r="CU31" s="246"/>
      <c r="CV31" s="246"/>
      <c r="CW31" s="246"/>
      <c r="CX31" s="246"/>
      <c r="CY31" s="246"/>
      <c r="CZ31" s="243">
        <f t="shared" si="156"/>
        <v>0</v>
      </c>
      <c r="DA31" s="246"/>
      <c r="DB31" s="246"/>
      <c r="DC31" s="246"/>
      <c r="DD31" s="246"/>
      <c r="DE31" s="246"/>
      <c r="DF31" s="246"/>
      <c r="DG31" s="246"/>
      <c r="DH31" s="243">
        <f t="shared" si="157"/>
        <v>0</v>
      </c>
      <c r="DI31" s="246"/>
      <c r="DJ31" s="246"/>
      <c r="DK31" s="246"/>
      <c r="DL31" s="246"/>
      <c r="DM31" s="246"/>
      <c r="DN31" s="246"/>
      <c r="DO31" s="246"/>
      <c r="DP31" s="243">
        <f t="shared" si="158"/>
        <v>0</v>
      </c>
      <c r="DQ31" s="246"/>
      <c r="DR31" s="246"/>
      <c r="DS31" s="246"/>
      <c r="DT31" s="246"/>
      <c r="DU31" s="246"/>
      <c r="DV31" s="246"/>
      <c r="DW31" s="246"/>
      <c r="DX31" s="243">
        <f t="shared" si="159"/>
        <v>0</v>
      </c>
      <c r="DY31" s="246"/>
      <c r="DZ31" s="246"/>
      <c r="EA31" s="246"/>
      <c r="EB31" s="246"/>
      <c r="EC31" s="246"/>
      <c r="ED31" s="246"/>
      <c r="EE31" s="246"/>
      <c r="EF31" s="243">
        <f t="shared" si="160"/>
        <v>0</v>
      </c>
      <c r="EG31" s="246"/>
      <c r="EH31" s="246"/>
      <c r="EI31" s="246"/>
      <c r="EJ31" s="246"/>
      <c r="EK31" s="246"/>
      <c r="EL31" s="246"/>
      <c r="EM31" s="246"/>
      <c r="EN31" s="243">
        <f t="shared" si="161"/>
        <v>0</v>
      </c>
      <c r="EO31" s="246"/>
      <c r="EP31" s="246"/>
      <c r="EQ31" s="246"/>
      <c r="ER31" s="246"/>
      <c r="ES31" s="246"/>
      <c r="ET31" s="246"/>
      <c r="EU31" s="246"/>
      <c r="EV31" s="243">
        <f t="shared" si="162"/>
        <v>0</v>
      </c>
      <c r="EW31" s="246"/>
      <c r="EX31" s="246"/>
      <c r="EY31" s="246"/>
      <c r="EZ31" s="246"/>
      <c r="FA31" s="246"/>
      <c r="FB31" s="246"/>
      <c r="FC31" s="246"/>
      <c r="FD31" s="243">
        <f t="shared" si="163"/>
        <v>0</v>
      </c>
      <c r="FE31" s="246"/>
      <c r="FF31" s="246"/>
      <c r="FG31" s="246"/>
      <c r="FH31" s="246"/>
      <c r="FI31" s="246"/>
      <c r="FJ31" s="246"/>
      <c r="FK31" s="246"/>
      <c r="FL31" s="243">
        <f t="shared" si="164"/>
        <v>0</v>
      </c>
      <c r="FM31" s="246"/>
      <c r="FN31" s="246"/>
      <c r="FO31" s="246"/>
      <c r="FP31" s="246"/>
      <c r="FQ31" s="246"/>
      <c r="FR31" s="246"/>
      <c r="FS31" s="246"/>
      <c r="FT31" s="243">
        <f t="shared" si="165"/>
        <v>0</v>
      </c>
      <c r="FU31" s="246"/>
      <c r="FV31" s="246"/>
      <c r="FW31" s="246"/>
      <c r="FX31" s="246"/>
      <c r="FY31" s="246"/>
      <c r="FZ31" s="246"/>
      <c r="GA31" s="246"/>
      <c r="GB31" s="243">
        <f t="shared" si="166"/>
        <v>0</v>
      </c>
      <c r="GC31" s="246"/>
      <c r="GD31" s="246">
        <v>404.665276530585</v>
      </c>
      <c r="GE31" s="246">
        <v>0</v>
      </c>
      <c r="GF31" s="246">
        <v>0</v>
      </c>
      <c r="GG31" s="246">
        <v>267.00245000000001</v>
      </c>
      <c r="GH31" s="246">
        <v>301.99999048773202</v>
      </c>
      <c r="GI31" s="246">
        <v>184.09206999999998</v>
      </c>
      <c r="GJ31" s="243">
        <f t="shared" si="167"/>
        <v>220.910484</v>
      </c>
      <c r="GK31" s="246">
        <f>270+30</f>
        <v>300</v>
      </c>
      <c r="GL31" s="246"/>
      <c r="GM31" s="246"/>
      <c r="GN31" s="246"/>
      <c r="GO31" s="246"/>
      <c r="GP31" s="246"/>
      <c r="GQ31" s="246"/>
      <c r="GR31" s="243">
        <f t="shared" si="168"/>
        <v>0</v>
      </c>
      <c r="GS31" s="246"/>
      <c r="GT31" s="246"/>
      <c r="GU31" s="246"/>
      <c r="GV31" s="246"/>
      <c r="GW31" s="246"/>
      <c r="GX31" s="247">
        <v>0</v>
      </c>
      <c r="GY31" s="247">
        <v>0</v>
      </c>
      <c r="GZ31" s="244">
        <f t="shared" si="169"/>
        <v>0</v>
      </c>
      <c r="HA31" s="247"/>
      <c r="HB31" s="246"/>
      <c r="HC31" s="246"/>
      <c r="HD31" s="246"/>
      <c r="HE31" s="246"/>
      <c r="HF31" s="246"/>
      <c r="HG31" s="246"/>
      <c r="HH31" s="243">
        <f t="shared" si="170"/>
        <v>0</v>
      </c>
      <c r="HI31" s="246"/>
      <c r="HJ31" s="246"/>
      <c r="HK31" s="246"/>
      <c r="HL31" s="246"/>
      <c r="HM31" s="246"/>
      <c r="HN31" s="246"/>
      <c r="HO31" s="246"/>
      <c r="HP31" s="243">
        <f t="shared" si="171"/>
        <v>0</v>
      </c>
      <c r="HQ31" s="246"/>
      <c r="HR31" s="246"/>
      <c r="HS31" s="246"/>
      <c r="HT31" s="246"/>
      <c r="HU31" s="246"/>
      <c r="HV31" s="246"/>
      <c r="HW31" s="246"/>
      <c r="HX31" s="243">
        <f t="shared" si="172"/>
        <v>0</v>
      </c>
      <c r="HY31" s="246"/>
      <c r="HZ31" s="246"/>
      <c r="IA31" s="246"/>
      <c r="IB31" s="246"/>
      <c r="IC31" s="246"/>
      <c r="ID31" s="246"/>
      <c r="IE31" s="246"/>
      <c r="IF31" s="243">
        <f t="shared" si="173"/>
        <v>0</v>
      </c>
      <c r="IG31" s="246"/>
      <c r="IH31" s="246"/>
      <c r="II31" s="246"/>
      <c r="IJ31" s="246"/>
      <c r="IK31" s="246"/>
      <c r="IL31" s="246"/>
      <c r="IM31" s="246"/>
      <c r="IN31" s="243">
        <f t="shared" si="174"/>
        <v>0</v>
      </c>
      <c r="IO31" s="246"/>
      <c r="IP31" s="246"/>
      <c r="IQ31" s="246"/>
      <c r="IR31" s="246"/>
      <c r="IS31" s="246"/>
      <c r="IT31" s="246"/>
      <c r="IU31" s="246"/>
      <c r="IV31" s="243">
        <f t="shared" si="175"/>
        <v>0</v>
      </c>
      <c r="IW31" s="246"/>
      <c r="IX31" s="246"/>
      <c r="IY31" s="246"/>
      <c r="IZ31" s="246"/>
      <c r="JA31" s="246"/>
      <c r="JB31" s="246"/>
      <c r="JC31" s="246"/>
      <c r="JD31" s="243">
        <f t="shared" si="176"/>
        <v>0</v>
      </c>
      <c r="JE31" s="246"/>
      <c r="JF31" s="246"/>
      <c r="JG31" s="246"/>
      <c r="JH31" s="246"/>
      <c r="JI31" s="246"/>
      <c r="JJ31" s="246"/>
      <c r="JK31" s="246"/>
      <c r="JL31" s="243">
        <f t="shared" si="177"/>
        <v>0</v>
      </c>
      <c r="JM31" s="246"/>
      <c r="JN31" s="246"/>
      <c r="JO31" s="246"/>
      <c r="JP31" s="246"/>
      <c r="JQ31" s="246"/>
      <c r="JR31" s="246"/>
      <c r="JS31" s="246"/>
      <c r="JT31" s="243">
        <f t="shared" si="178"/>
        <v>0</v>
      </c>
      <c r="JU31" s="246"/>
      <c r="JV31" s="246"/>
      <c r="JW31" s="246"/>
      <c r="JX31" s="246"/>
      <c r="JY31" s="246"/>
      <c r="JZ31" s="246"/>
      <c r="KA31" s="246"/>
      <c r="KB31" s="243">
        <f t="shared" si="179"/>
        <v>0</v>
      </c>
      <c r="KC31" s="246"/>
      <c r="KD31" s="246"/>
      <c r="KE31" s="246"/>
      <c r="KF31" s="246"/>
      <c r="KG31" s="246"/>
      <c r="KH31" s="246"/>
      <c r="KI31" s="246"/>
      <c r="KJ31" s="243">
        <f t="shared" si="180"/>
        <v>0</v>
      </c>
      <c r="KK31" s="246"/>
      <c r="KL31" s="246"/>
      <c r="KM31" s="246"/>
      <c r="KN31" s="246"/>
      <c r="KO31" s="246"/>
      <c r="KP31" s="246"/>
      <c r="KQ31" s="246"/>
      <c r="KR31" s="243">
        <f t="shared" si="181"/>
        <v>0</v>
      </c>
      <c r="KS31" s="246"/>
      <c r="KT31" s="246"/>
      <c r="KU31" s="246"/>
      <c r="KV31" s="246"/>
      <c r="KW31" s="246"/>
      <c r="KX31" s="246"/>
      <c r="KY31" s="246"/>
      <c r="KZ31" s="243">
        <f t="shared" si="182"/>
        <v>0</v>
      </c>
      <c r="LA31" s="246"/>
      <c r="LB31" s="246"/>
      <c r="LC31" s="246"/>
      <c r="LD31" s="246"/>
      <c r="LE31" s="246"/>
      <c r="LF31" s="246"/>
      <c r="LG31" s="246"/>
      <c r="LH31" s="243">
        <f t="shared" si="183"/>
        <v>0</v>
      </c>
      <c r="LI31" s="246"/>
      <c r="LJ31" s="246"/>
      <c r="LK31" s="246"/>
      <c r="LL31" s="246"/>
      <c r="LM31" s="246"/>
      <c r="LN31" s="246"/>
      <c r="LO31" s="246"/>
      <c r="LP31" s="243">
        <f t="shared" si="184"/>
        <v>0</v>
      </c>
      <c r="LQ31" s="246"/>
      <c r="LR31" s="246"/>
      <c r="LS31" s="246"/>
      <c r="LT31" s="244">
        <f t="shared" si="185"/>
        <v>0</v>
      </c>
      <c r="LU31" s="246">
        <v>0</v>
      </c>
      <c r="LV31" s="246"/>
      <c r="LW31" s="246"/>
      <c r="LX31" s="246"/>
      <c r="LY31" s="246"/>
      <c r="LZ31" s="246"/>
      <c r="MA31" s="246"/>
      <c r="MB31" s="243">
        <f t="shared" si="186"/>
        <v>0</v>
      </c>
      <c r="MC31" s="246"/>
      <c r="MD31" s="246"/>
      <c r="ME31" s="246"/>
      <c r="MF31" s="246"/>
      <c r="MG31" s="246"/>
      <c r="MH31" s="246"/>
      <c r="MI31" s="246"/>
      <c r="MJ31" s="243">
        <f t="shared" si="187"/>
        <v>0</v>
      </c>
      <c r="MK31" s="246"/>
      <c r="ML31" s="246"/>
      <c r="MM31" s="246"/>
      <c r="MN31" s="246"/>
      <c r="MO31" s="246"/>
      <c r="MP31" s="246"/>
      <c r="MQ31" s="246"/>
      <c r="MR31" s="243">
        <f t="shared" si="188"/>
        <v>0</v>
      </c>
      <c r="MS31" s="271"/>
      <c r="MT31" s="246"/>
      <c r="MU31" s="246"/>
      <c r="MV31" s="246"/>
      <c r="MW31" s="246"/>
      <c r="MX31" s="246"/>
      <c r="MY31" s="246"/>
      <c r="MZ31" s="243">
        <f t="shared" si="189"/>
        <v>0</v>
      </c>
      <c r="NA31" s="246"/>
      <c r="NB31" s="246"/>
      <c r="NC31" s="246"/>
      <c r="ND31" s="243">
        <f t="shared" si="190"/>
        <v>0</v>
      </c>
      <c r="NE31" s="246">
        <v>0</v>
      </c>
      <c r="NF31" s="246"/>
      <c r="NG31" s="246"/>
      <c r="NH31" s="246"/>
      <c r="NI31" s="246"/>
      <c r="NJ31" s="246"/>
      <c r="NK31" s="246"/>
      <c r="NL31" s="243">
        <f t="shared" si="191"/>
        <v>0</v>
      </c>
      <c r="NM31" s="246"/>
      <c r="NN31" s="246"/>
      <c r="NO31" s="246"/>
      <c r="NP31" s="246"/>
      <c r="NQ31" s="246"/>
      <c r="NR31" s="246"/>
      <c r="NS31" s="246"/>
      <c r="NT31" s="243">
        <f t="shared" si="192"/>
        <v>0</v>
      </c>
      <c r="NU31" s="246"/>
      <c r="NV31" s="246"/>
      <c r="NW31" s="246"/>
      <c r="NX31" s="246"/>
      <c r="NY31" s="246"/>
      <c r="NZ31" s="246"/>
      <c r="OA31" s="246"/>
      <c r="OB31" s="243">
        <f t="shared" si="193"/>
        <v>0</v>
      </c>
      <c r="OC31" s="246"/>
      <c r="OD31" s="246"/>
      <c r="OE31" s="246"/>
      <c r="OF31" s="246"/>
      <c r="OG31" s="246"/>
      <c r="OH31" s="246"/>
      <c r="OI31" s="246"/>
      <c r="OJ31" s="243">
        <f t="shared" si="194"/>
        <v>0</v>
      </c>
      <c r="OK31" s="246"/>
      <c r="OL31" s="246"/>
      <c r="OM31" s="246"/>
      <c r="ON31" s="246"/>
      <c r="OO31" s="246"/>
      <c r="OP31" s="246"/>
      <c r="OQ31" s="246"/>
      <c r="OR31" s="243">
        <f t="shared" si="195"/>
        <v>0</v>
      </c>
      <c r="OS31" s="246"/>
      <c r="OT31" s="246"/>
      <c r="OU31" s="246"/>
      <c r="OV31" s="246"/>
      <c r="OW31" s="246"/>
      <c r="OX31" s="246"/>
      <c r="OY31" s="246"/>
      <c r="OZ31" s="243">
        <f t="shared" si="196"/>
        <v>0</v>
      </c>
      <c r="PA31" s="247"/>
      <c r="PB31" s="246"/>
      <c r="PC31" s="246"/>
      <c r="PD31" s="243">
        <f t="shared" si="197"/>
        <v>0</v>
      </c>
      <c r="PE31" s="247"/>
      <c r="PF31" s="246"/>
      <c r="PG31" s="246"/>
      <c r="PH31" s="246"/>
      <c r="PI31" s="246"/>
      <c r="PJ31" s="246"/>
      <c r="PK31" s="246"/>
      <c r="PL31" s="243">
        <f t="shared" si="139"/>
        <v>0</v>
      </c>
      <c r="PM31" s="247"/>
      <c r="PN31" s="246">
        <v>595.000386368715</v>
      </c>
      <c r="PO31" s="246">
        <v>0</v>
      </c>
      <c r="PP31" s="246"/>
      <c r="PQ31" s="246"/>
      <c r="PR31" s="246"/>
      <c r="PS31" s="246"/>
      <c r="PT31" s="243">
        <f t="shared" si="198"/>
        <v>0</v>
      </c>
      <c r="PU31" s="246"/>
      <c r="PV31" s="246"/>
      <c r="PW31" s="246"/>
      <c r="PX31" s="246"/>
      <c r="PY31" s="246"/>
      <c r="PZ31" s="246"/>
      <c r="QA31" s="246"/>
      <c r="QB31" s="243">
        <f t="shared" si="199"/>
        <v>0</v>
      </c>
      <c r="QC31" s="246"/>
      <c r="QD31" s="246"/>
      <c r="QE31" s="246"/>
      <c r="QF31" s="246"/>
      <c r="QG31" s="246"/>
      <c r="QH31" s="246"/>
      <c r="QI31" s="246"/>
      <c r="QJ31" s="243">
        <f t="shared" si="200"/>
        <v>0</v>
      </c>
      <c r="QK31" s="246">
        <v>0</v>
      </c>
      <c r="QL31" s="246"/>
      <c r="QM31" s="246"/>
      <c r="QN31" s="246"/>
      <c r="QO31" s="246"/>
      <c r="QP31" s="243">
        <f t="shared" si="201"/>
        <v>0</v>
      </c>
      <c r="QQ31" s="243">
        <f t="shared" si="140"/>
        <v>0</v>
      </c>
      <c r="QR31" s="246"/>
      <c r="QS31" s="246"/>
      <c r="QT31" s="246"/>
      <c r="QU31" s="246"/>
      <c r="QV31" s="243">
        <f t="shared" si="202"/>
        <v>0</v>
      </c>
      <c r="QW31" s="246"/>
      <c r="QX31" s="246"/>
      <c r="QY31" s="246"/>
      <c r="QZ31" s="246"/>
      <c r="RA31" s="246"/>
      <c r="RB31" s="246"/>
      <c r="RC31" s="246"/>
      <c r="RD31" s="243">
        <f t="shared" si="203"/>
        <v>0</v>
      </c>
      <c r="RE31" s="300"/>
      <c r="RF31" s="259">
        <f t="shared" si="101"/>
        <v>301.99999048773202</v>
      </c>
      <c r="RG31" s="259">
        <f t="shared" si="141"/>
        <v>184.09206999999998</v>
      </c>
      <c r="RH31" s="259">
        <f t="shared" si="142"/>
        <v>220.910484</v>
      </c>
      <c r="RI31" s="256">
        <f t="shared" si="143"/>
        <v>300</v>
      </c>
    </row>
    <row r="32" spans="1:479">
      <c r="A32" s="5" t="s">
        <v>112</v>
      </c>
      <c r="B32" s="263"/>
      <c r="C32" s="246"/>
      <c r="D32" s="246"/>
      <c r="E32" s="246"/>
      <c r="F32" s="246"/>
      <c r="G32" s="243"/>
      <c r="H32" s="243">
        <f t="shared" si="144"/>
        <v>0</v>
      </c>
      <c r="I32" s="246"/>
      <c r="J32" s="246"/>
      <c r="K32" s="246"/>
      <c r="L32" s="246"/>
      <c r="M32" s="246"/>
      <c r="N32" s="246"/>
      <c r="O32" s="246"/>
      <c r="P32" s="243">
        <f t="shared" si="145"/>
        <v>0</v>
      </c>
      <c r="Q32" s="246"/>
      <c r="R32" s="246"/>
      <c r="S32" s="246"/>
      <c r="T32" s="246"/>
      <c r="U32" s="246"/>
      <c r="V32" s="246"/>
      <c r="W32" s="246"/>
      <c r="X32" s="243">
        <f t="shared" si="146"/>
        <v>0</v>
      </c>
      <c r="Y32" s="246"/>
      <c r="Z32" s="246"/>
      <c r="AA32" s="246"/>
      <c r="AB32" s="246"/>
      <c r="AC32" s="246"/>
      <c r="AD32" s="246"/>
      <c r="AE32" s="246"/>
      <c r="AF32" s="243">
        <f t="shared" si="147"/>
        <v>0</v>
      </c>
      <c r="AG32" s="246"/>
      <c r="AH32" s="246"/>
      <c r="AI32" s="246"/>
      <c r="AJ32" s="246"/>
      <c r="AK32" s="246"/>
      <c r="AL32" s="246"/>
      <c r="AM32" s="246"/>
      <c r="AN32" s="243">
        <f t="shared" si="148"/>
        <v>0</v>
      </c>
      <c r="AO32" s="246"/>
      <c r="AP32" s="246"/>
      <c r="AQ32" s="246"/>
      <c r="AR32" s="246"/>
      <c r="AS32" s="246"/>
      <c r="AT32" s="246"/>
      <c r="AU32" s="246"/>
      <c r="AV32" s="243">
        <f t="shared" si="149"/>
        <v>0</v>
      </c>
      <c r="AW32" s="246"/>
      <c r="AX32" s="246"/>
      <c r="AY32" s="246"/>
      <c r="AZ32" s="246"/>
      <c r="BA32" s="246"/>
      <c r="BB32" s="246"/>
      <c r="BC32" s="246"/>
      <c r="BD32" s="243">
        <f t="shared" si="150"/>
        <v>0</v>
      </c>
      <c r="BE32" s="246"/>
      <c r="BF32" s="246"/>
      <c r="BG32" s="246"/>
      <c r="BH32" s="246"/>
      <c r="BI32" s="246"/>
      <c r="BJ32" s="246"/>
      <c r="BK32" s="246"/>
      <c r="BL32" s="243">
        <f t="shared" si="151"/>
        <v>0</v>
      </c>
      <c r="BM32" s="246"/>
      <c r="BN32" s="246"/>
      <c r="BO32" s="246"/>
      <c r="BP32" s="246"/>
      <c r="BQ32" s="246"/>
      <c r="BR32" s="246"/>
      <c r="BS32" s="246"/>
      <c r="BT32" s="243">
        <f t="shared" si="152"/>
        <v>0</v>
      </c>
      <c r="BU32" s="246"/>
      <c r="BV32" s="246"/>
      <c r="BW32" s="246"/>
      <c r="BX32" s="246"/>
      <c r="BY32" s="246"/>
      <c r="BZ32" s="246"/>
      <c r="CA32" s="246"/>
      <c r="CB32" s="243">
        <f t="shared" si="153"/>
        <v>0</v>
      </c>
      <c r="CC32" s="246"/>
      <c r="CD32" s="246"/>
      <c r="CE32" s="246"/>
      <c r="CF32" s="246"/>
      <c r="CG32" s="246"/>
      <c r="CH32" s="246"/>
      <c r="CI32" s="246"/>
      <c r="CJ32" s="243">
        <f t="shared" si="154"/>
        <v>0</v>
      </c>
      <c r="CK32" s="246"/>
      <c r="CL32" s="246"/>
      <c r="CM32" s="246"/>
      <c r="CN32" s="246"/>
      <c r="CO32" s="246"/>
      <c r="CP32" s="246"/>
      <c r="CQ32" s="246"/>
      <c r="CR32" s="243">
        <f t="shared" si="155"/>
        <v>0</v>
      </c>
      <c r="CS32" s="246"/>
      <c r="CT32" s="246"/>
      <c r="CU32" s="246"/>
      <c r="CV32" s="246"/>
      <c r="CW32" s="246"/>
      <c r="CX32" s="246"/>
      <c r="CY32" s="246"/>
      <c r="CZ32" s="243">
        <f t="shared" si="156"/>
        <v>0</v>
      </c>
      <c r="DA32" s="246"/>
      <c r="DB32" s="246"/>
      <c r="DC32" s="246"/>
      <c r="DD32" s="246"/>
      <c r="DE32" s="246"/>
      <c r="DF32" s="246"/>
      <c r="DG32" s="246"/>
      <c r="DH32" s="243">
        <f t="shared" si="157"/>
        <v>0</v>
      </c>
      <c r="DI32" s="246"/>
      <c r="DJ32" s="246"/>
      <c r="DK32" s="246"/>
      <c r="DL32" s="246"/>
      <c r="DM32" s="246"/>
      <c r="DN32" s="246"/>
      <c r="DO32" s="246"/>
      <c r="DP32" s="243">
        <f t="shared" si="158"/>
        <v>0</v>
      </c>
      <c r="DQ32" s="246"/>
      <c r="DR32" s="246"/>
      <c r="DS32" s="246"/>
      <c r="DT32" s="246"/>
      <c r="DU32" s="246"/>
      <c r="DV32" s="246"/>
      <c r="DW32" s="246"/>
      <c r="DX32" s="243">
        <f t="shared" si="159"/>
        <v>0</v>
      </c>
      <c r="DY32" s="246"/>
      <c r="DZ32" s="246"/>
      <c r="EA32" s="246"/>
      <c r="EB32" s="246"/>
      <c r="EC32" s="246"/>
      <c r="ED32" s="246"/>
      <c r="EE32" s="246"/>
      <c r="EF32" s="243">
        <f t="shared" si="160"/>
        <v>0</v>
      </c>
      <c r="EG32" s="246"/>
      <c r="EH32" s="246"/>
      <c r="EI32" s="246"/>
      <c r="EJ32" s="246"/>
      <c r="EK32" s="246"/>
      <c r="EL32" s="246"/>
      <c r="EM32" s="246"/>
      <c r="EN32" s="243">
        <f t="shared" si="161"/>
        <v>0</v>
      </c>
      <c r="EO32" s="246"/>
      <c r="EP32" s="246"/>
      <c r="EQ32" s="246"/>
      <c r="ER32" s="246"/>
      <c r="ES32" s="246"/>
      <c r="ET32" s="246"/>
      <c r="EU32" s="246"/>
      <c r="EV32" s="243">
        <f t="shared" si="162"/>
        <v>0</v>
      </c>
      <c r="EW32" s="246"/>
      <c r="EX32" s="246"/>
      <c r="EY32" s="246"/>
      <c r="EZ32" s="246"/>
      <c r="FA32" s="246"/>
      <c r="FB32" s="246"/>
      <c r="FC32" s="246"/>
      <c r="FD32" s="243">
        <f t="shared" si="163"/>
        <v>0</v>
      </c>
      <c r="FE32" s="246"/>
      <c r="FF32" s="246"/>
      <c r="FG32" s="246"/>
      <c r="FH32" s="246"/>
      <c r="FI32" s="246"/>
      <c r="FJ32" s="246"/>
      <c r="FK32" s="246"/>
      <c r="FL32" s="243">
        <f t="shared" si="164"/>
        <v>0</v>
      </c>
      <c r="FM32" s="246"/>
      <c r="FN32" s="246"/>
      <c r="FO32" s="246"/>
      <c r="FP32" s="246"/>
      <c r="FQ32" s="246"/>
      <c r="FR32" s="246"/>
      <c r="FS32" s="246"/>
      <c r="FT32" s="243">
        <f t="shared" si="165"/>
        <v>0</v>
      </c>
      <c r="FU32" s="246"/>
      <c r="FV32" s="246"/>
      <c r="FW32" s="246"/>
      <c r="FX32" s="246"/>
      <c r="FY32" s="246"/>
      <c r="FZ32" s="246"/>
      <c r="GA32" s="246"/>
      <c r="GB32" s="243">
        <f t="shared" si="166"/>
        <v>0</v>
      </c>
      <c r="GC32" s="246"/>
      <c r="GD32" s="246"/>
      <c r="GE32" s="246"/>
      <c r="GF32" s="246"/>
      <c r="GG32" s="246"/>
      <c r="GH32" s="246"/>
      <c r="GI32" s="246"/>
      <c r="GJ32" s="243">
        <f t="shared" si="167"/>
        <v>0</v>
      </c>
      <c r="GK32" s="246"/>
      <c r="GL32" s="246"/>
      <c r="GM32" s="246"/>
      <c r="GN32" s="246"/>
      <c r="GO32" s="246"/>
      <c r="GP32" s="246"/>
      <c r="GQ32" s="246"/>
      <c r="GR32" s="243">
        <f t="shared" si="168"/>
        <v>0</v>
      </c>
      <c r="GS32" s="246"/>
      <c r="GT32" s="246"/>
      <c r="GU32" s="246"/>
      <c r="GV32" s="246"/>
      <c r="GW32" s="246"/>
      <c r="GX32" s="246"/>
      <c r="GY32" s="246"/>
      <c r="GZ32" s="243">
        <f t="shared" si="169"/>
        <v>0</v>
      </c>
      <c r="HA32" s="246"/>
      <c r="HB32" s="246"/>
      <c r="HC32" s="246"/>
      <c r="HD32" s="246"/>
      <c r="HE32" s="246"/>
      <c r="HF32" s="246"/>
      <c r="HG32" s="246"/>
      <c r="HH32" s="243">
        <f t="shared" si="170"/>
        <v>0</v>
      </c>
      <c r="HI32" s="246"/>
      <c r="HJ32" s="246">
        <v>463.999999999978</v>
      </c>
      <c r="HK32" s="246">
        <v>398.37905999999896</v>
      </c>
      <c r="HL32" s="246">
        <v>399.99978462413401</v>
      </c>
      <c r="HM32" s="246">
        <v>172.1739</v>
      </c>
      <c r="HN32" s="246">
        <v>249.999995653334</v>
      </c>
      <c r="HO32" s="246">
        <v>139.13042999999999</v>
      </c>
      <c r="HP32" s="243">
        <f t="shared" si="171"/>
        <v>166.95651599999997</v>
      </c>
      <c r="HQ32" s="246">
        <f>200+50</f>
        <v>250</v>
      </c>
      <c r="HR32" s="246"/>
      <c r="HS32" s="246"/>
      <c r="HT32" s="246"/>
      <c r="HU32" s="246"/>
      <c r="HV32" s="246"/>
      <c r="HW32" s="246"/>
      <c r="HX32" s="243">
        <f t="shared" si="172"/>
        <v>0</v>
      </c>
      <c r="HY32" s="246"/>
      <c r="HZ32" s="246"/>
      <c r="IA32" s="246"/>
      <c r="IB32" s="246"/>
      <c r="IC32" s="246"/>
      <c r="ID32" s="246"/>
      <c r="IE32" s="246"/>
      <c r="IF32" s="243">
        <f t="shared" si="173"/>
        <v>0</v>
      </c>
      <c r="IG32" s="246"/>
      <c r="IH32" s="246"/>
      <c r="II32" s="246"/>
      <c r="IJ32" s="246"/>
      <c r="IK32" s="246"/>
      <c r="IL32" s="246"/>
      <c r="IM32" s="246"/>
      <c r="IN32" s="243">
        <f t="shared" si="174"/>
        <v>0</v>
      </c>
      <c r="IO32" s="246"/>
      <c r="IP32" s="246"/>
      <c r="IQ32" s="246"/>
      <c r="IR32" s="246"/>
      <c r="IS32" s="246"/>
      <c r="IT32" s="246"/>
      <c r="IU32" s="246"/>
      <c r="IV32" s="243">
        <f t="shared" si="175"/>
        <v>0</v>
      </c>
      <c r="IW32" s="246"/>
      <c r="IX32" s="246"/>
      <c r="IY32" s="246"/>
      <c r="IZ32" s="246"/>
      <c r="JA32" s="246"/>
      <c r="JB32" s="246"/>
      <c r="JC32" s="246"/>
      <c r="JD32" s="243">
        <f t="shared" si="176"/>
        <v>0</v>
      </c>
      <c r="JE32" s="246"/>
      <c r="JF32" s="246"/>
      <c r="JG32" s="246"/>
      <c r="JH32" s="246"/>
      <c r="JI32" s="246"/>
      <c r="JJ32" s="246"/>
      <c r="JK32" s="246"/>
      <c r="JL32" s="243">
        <f t="shared" si="177"/>
        <v>0</v>
      </c>
      <c r="JM32" s="246"/>
      <c r="JN32" s="246"/>
      <c r="JO32" s="246"/>
      <c r="JP32" s="246"/>
      <c r="JQ32" s="246"/>
      <c r="JR32" s="246"/>
      <c r="JS32" s="246"/>
      <c r="JT32" s="243">
        <f t="shared" si="178"/>
        <v>0</v>
      </c>
      <c r="JU32" s="246"/>
      <c r="JV32" s="246"/>
      <c r="JW32" s="246"/>
      <c r="JX32" s="246"/>
      <c r="JY32" s="246"/>
      <c r="JZ32" s="246"/>
      <c r="KA32" s="246"/>
      <c r="KB32" s="243">
        <f t="shared" si="179"/>
        <v>0</v>
      </c>
      <c r="KC32" s="246"/>
      <c r="KD32" s="246"/>
      <c r="KE32" s="246"/>
      <c r="KF32" s="246"/>
      <c r="KG32" s="246"/>
      <c r="KH32" s="246"/>
      <c r="KI32" s="246"/>
      <c r="KJ32" s="243">
        <f t="shared" si="180"/>
        <v>0</v>
      </c>
      <c r="KK32" s="246"/>
      <c r="KL32" s="246"/>
      <c r="KM32" s="246"/>
      <c r="KN32" s="246"/>
      <c r="KO32" s="246"/>
      <c r="KP32" s="246"/>
      <c r="KQ32" s="246"/>
      <c r="KR32" s="243">
        <f t="shared" si="181"/>
        <v>0</v>
      </c>
      <c r="KS32" s="246"/>
      <c r="KT32" s="246"/>
      <c r="KU32" s="246"/>
      <c r="KV32" s="246"/>
      <c r="KW32" s="246"/>
      <c r="KX32" s="246"/>
      <c r="KY32" s="246"/>
      <c r="KZ32" s="243">
        <f t="shared" si="182"/>
        <v>0</v>
      </c>
      <c r="LA32" s="246"/>
      <c r="LB32" s="246"/>
      <c r="LC32" s="246"/>
      <c r="LD32" s="246"/>
      <c r="LE32" s="246"/>
      <c r="LF32" s="246"/>
      <c r="LG32" s="246"/>
      <c r="LH32" s="243">
        <f t="shared" si="183"/>
        <v>0</v>
      </c>
      <c r="LI32" s="246"/>
      <c r="LJ32" s="246"/>
      <c r="LK32" s="246"/>
      <c r="LL32" s="246"/>
      <c r="LM32" s="246"/>
      <c r="LN32" s="246"/>
      <c r="LO32" s="246"/>
      <c r="LP32" s="243">
        <f t="shared" si="184"/>
        <v>0</v>
      </c>
      <c r="LQ32" s="246"/>
      <c r="LR32" s="246"/>
      <c r="LS32" s="246"/>
      <c r="LT32" s="244">
        <f t="shared" si="185"/>
        <v>0</v>
      </c>
      <c r="LU32" s="246">
        <v>0</v>
      </c>
      <c r="LV32" s="246"/>
      <c r="LW32" s="246"/>
      <c r="LX32" s="246"/>
      <c r="LY32" s="246"/>
      <c r="LZ32" s="246"/>
      <c r="MA32" s="246"/>
      <c r="MB32" s="243">
        <f t="shared" si="186"/>
        <v>0</v>
      </c>
      <c r="MC32" s="246"/>
      <c r="MD32" s="246"/>
      <c r="ME32" s="246"/>
      <c r="MF32" s="246"/>
      <c r="MG32" s="246"/>
      <c r="MH32" s="246"/>
      <c r="MI32" s="246"/>
      <c r="MJ32" s="243">
        <f t="shared" si="187"/>
        <v>0</v>
      </c>
      <c r="MK32" s="246"/>
      <c r="ML32" s="246"/>
      <c r="MM32" s="246"/>
      <c r="MN32" s="246"/>
      <c r="MO32" s="246"/>
      <c r="MP32" s="246"/>
      <c r="MQ32" s="246"/>
      <c r="MR32" s="243">
        <f t="shared" si="188"/>
        <v>0</v>
      </c>
      <c r="MS32" s="271"/>
      <c r="MT32" s="246"/>
      <c r="MU32" s="246"/>
      <c r="MV32" s="246"/>
      <c r="MW32" s="246"/>
      <c r="MX32" s="246"/>
      <c r="MY32" s="246"/>
      <c r="MZ32" s="243">
        <f t="shared" si="189"/>
        <v>0</v>
      </c>
      <c r="NA32" s="246"/>
      <c r="NB32" s="246"/>
      <c r="NC32" s="246"/>
      <c r="ND32" s="243">
        <f t="shared" si="190"/>
        <v>0</v>
      </c>
      <c r="NE32" s="246">
        <v>0</v>
      </c>
      <c r="NF32" s="246"/>
      <c r="NG32" s="246"/>
      <c r="NH32" s="246"/>
      <c r="NI32" s="246"/>
      <c r="NJ32" s="246"/>
      <c r="NK32" s="246"/>
      <c r="NL32" s="243">
        <f t="shared" si="191"/>
        <v>0</v>
      </c>
      <c r="NM32" s="246"/>
      <c r="NN32" s="246"/>
      <c r="NO32" s="246"/>
      <c r="NP32" s="246"/>
      <c r="NQ32" s="246"/>
      <c r="NR32" s="246"/>
      <c r="NS32" s="246"/>
      <c r="NT32" s="243">
        <f t="shared" si="192"/>
        <v>0</v>
      </c>
      <c r="NU32" s="246"/>
      <c r="NV32" s="246"/>
      <c r="NW32" s="246"/>
      <c r="NX32" s="246"/>
      <c r="NY32" s="246"/>
      <c r="NZ32" s="246"/>
      <c r="OA32" s="246"/>
      <c r="OB32" s="243">
        <f t="shared" si="193"/>
        <v>0</v>
      </c>
      <c r="OC32" s="246"/>
      <c r="OD32" s="246"/>
      <c r="OE32" s="246"/>
      <c r="OF32" s="246"/>
      <c r="OG32" s="246"/>
      <c r="OH32" s="246"/>
      <c r="OI32" s="246"/>
      <c r="OJ32" s="243">
        <f t="shared" si="194"/>
        <v>0</v>
      </c>
      <c r="OK32" s="246"/>
      <c r="OL32" s="246"/>
      <c r="OM32" s="246"/>
      <c r="ON32" s="246"/>
      <c r="OO32" s="246"/>
      <c r="OP32" s="246"/>
      <c r="OQ32" s="246"/>
      <c r="OR32" s="243">
        <f t="shared" si="195"/>
        <v>0</v>
      </c>
      <c r="OS32" s="246"/>
      <c r="OT32" s="246"/>
      <c r="OU32" s="246"/>
      <c r="OV32" s="246"/>
      <c r="OW32" s="246"/>
      <c r="OX32" s="246"/>
      <c r="OY32" s="246"/>
      <c r="OZ32" s="243">
        <f t="shared" si="196"/>
        <v>0</v>
      </c>
      <c r="PA32" s="247"/>
      <c r="PB32" s="246"/>
      <c r="PC32" s="246"/>
      <c r="PD32" s="243">
        <f t="shared" si="197"/>
        <v>0</v>
      </c>
      <c r="PE32" s="247"/>
      <c r="PF32" s="246"/>
      <c r="PG32" s="246"/>
      <c r="PH32" s="246"/>
      <c r="PI32" s="246"/>
      <c r="PJ32" s="246"/>
      <c r="PK32" s="246"/>
      <c r="PL32" s="243">
        <f t="shared" si="139"/>
        <v>0</v>
      </c>
      <c r="PM32" s="247"/>
      <c r="PN32" s="246">
        <v>-64.000041558986993</v>
      </c>
      <c r="PO32" s="246">
        <v>0</v>
      </c>
      <c r="PP32" s="246"/>
      <c r="PQ32" s="246"/>
      <c r="PR32" s="246">
        <v>164.99999234608899</v>
      </c>
      <c r="PS32" s="246">
        <v>0</v>
      </c>
      <c r="PT32" s="243">
        <f t="shared" si="198"/>
        <v>0</v>
      </c>
      <c r="PU32" s="246"/>
      <c r="PV32" s="246"/>
      <c r="PW32" s="246"/>
      <c r="PX32" s="246"/>
      <c r="PY32" s="246"/>
      <c r="PZ32" s="246"/>
      <c r="QA32" s="246"/>
      <c r="QB32" s="243">
        <f t="shared" si="199"/>
        <v>0</v>
      </c>
      <c r="QC32" s="246"/>
      <c r="QD32" s="246"/>
      <c r="QE32" s="246"/>
      <c r="QF32" s="246"/>
      <c r="QG32" s="246"/>
      <c r="QH32" s="246"/>
      <c r="QI32" s="246"/>
      <c r="QJ32" s="243">
        <f t="shared" si="200"/>
        <v>0</v>
      </c>
      <c r="QK32" s="246">
        <v>0</v>
      </c>
      <c r="QL32" s="246"/>
      <c r="QM32" s="246"/>
      <c r="QN32" s="246"/>
      <c r="QO32" s="246"/>
      <c r="QP32" s="243">
        <f t="shared" si="201"/>
        <v>0</v>
      </c>
      <c r="QQ32" s="243">
        <f t="shared" si="140"/>
        <v>0</v>
      </c>
      <c r="QR32" s="246"/>
      <c r="QS32" s="246"/>
      <c r="QT32" s="246"/>
      <c r="QU32" s="246"/>
      <c r="QV32" s="243">
        <f t="shared" si="202"/>
        <v>0</v>
      </c>
      <c r="QW32" s="246"/>
      <c r="QX32" s="246"/>
      <c r="QY32" s="246"/>
      <c r="QZ32" s="246"/>
      <c r="RA32" s="246"/>
      <c r="RB32" s="246"/>
      <c r="RC32" s="246"/>
      <c r="RD32" s="243">
        <f t="shared" si="203"/>
        <v>0</v>
      </c>
      <c r="RE32" s="300"/>
      <c r="RF32" s="259">
        <f t="shared" si="101"/>
        <v>414.99998799942296</v>
      </c>
      <c r="RG32" s="259">
        <f t="shared" si="141"/>
        <v>139.13042999999999</v>
      </c>
      <c r="RH32" s="259">
        <f t="shared" si="142"/>
        <v>166.95651599999997</v>
      </c>
      <c r="RI32" s="256">
        <f t="shared" si="143"/>
        <v>250</v>
      </c>
    </row>
    <row r="33" spans="1:478">
      <c r="A33" s="5" t="s">
        <v>76</v>
      </c>
      <c r="B33" s="263">
        <v>1037</v>
      </c>
      <c r="C33" s="246">
        <v>518.17849999999999</v>
      </c>
      <c r="D33" s="246">
        <v>1761.9994965589101</v>
      </c>
      <c r="E33" s="246">
        <v>2072.7273500000001</v>
      </c>
      <c r="F33" s="278">
        <v>18199.862656072601</v>
      </c>
      <c r="G33" s="243">
        <v>13030.22892</v>
      </c>
      <c r="H33" s="243">
        <f t="shared" si="144"/>
        <v>15636.274703999999</v>
      </c>
      <c r="I33" s="278">
        <v>26000</v>
      </c>
      <c r="J33" s="246"/>
      <c r="K33" s="246"/>
      <c r="L33" s="246"/>
      <c r="M33" s="246"/>
      <c r="N33" s="246"/>
      <c r="O33" s="246"/>
      <c r="P33" s="243">
        <f t="shared" si="145"/>
        <v>0</v>
      </c>
      <c r="Q33" s="246"/>
      <c r="R33" s="246"/>
      <c r="S33" s="246"/>
      <c r="T33" s="246"/>
      <c r="U33" s="246"/>
      <c r="V33" s="246"/>
      <c r="W33" s="246"/>
      <c r="X33" s="243">
        <f t="shared" si="146"/>
        <v>0</v>
      </c>
      <c r="Y33" s="246"/>
      <c r="Z33" s="246"/>
      <c r="AA33" s="246"/>
      <c r="AB33" s="246"/>
      <c r="AC33" s="246"/>
      <c r="AD33" s="246"/>
      <c r="AE33" s="246"/>
      <c r="AF33" s="243">
        <f t="shared" si="147"/>
        <v>0</v>
      </c>
      <c r="AG33" s="246"/>
      <c r="AH33" s="246"/>
      <c r="AI33" s="246"/>
      <c r="AJ33" s="246"/>
      <c r="AK33" s="246"/>
      <c r="AL33" s="246"/>
      <c r="AM33" s="246"/>
      <c r="AN33" s="243">
        <f t="shared" si="148"/>
        <v>0</v>
      </c>
      <c r="AO33" s="246"/>
      <c r="AP33" s="246"/>
      <c r="AQ33" s="246"/>
      <c r="AR33" s="246"/>
      <c r="AS33" s="246"/>
      <c r="AT33" s="246"/>
      <c r="AU33" s="246"/>
      <c r="AV33" s="243">
        <f t="shared" si="149"/>
        <v>0</v>
      </c>
      <c r="AW33" s="246"/>
      <c r="AX33" s="246"/>
      <c r="AY33" s="246"/>
      <c r="AZ33" s="246"/>
      <c r="BA33" s="246"/>
      <c r="BB33" s="246"/>
      <c r="BC33" s="246"/>
      <c r="BD33" s="243">
        <f t="shared" si="150"/>
        <v>0</v>
      </c>
      <c r="BE33" s="246"/>
      <c r="BF33" s="246"/>
      <c r="BG33" s="246"/>
      <c r="BH33" s="246"/>
      <c r="BI33" s="246"/>
      <c r="BJ33" s="246"/>
      <c r="BK33" s="246"/>
      <c r="BL33" s="243">
        <f t="shared" si="151"/>
        <v>0</v>
      </c>
      <c r="BM33" s="246"/>
      <c r="BN33" s="246"/>
      <c r="BO33" s="246"/>
      <c r="BP33" s="246"/>
      <c r="BQ33" s="246"/>
      <c r="BR33" s="246"/>
      <c r="BS33" s="246"/>
      <c r="BT33" s="243">
        <f t="shared" si="152"/>
        <v>0</v>
      </c>
      <c r="BU33" s="246"/>
      <c r="BV33" s="246"/>
      <c r="BW33" s="246"/>
      <c r="BX33" s="246"/>
      <c r="BY33" s="246"/>
      <c r="BZ33" s="246"/>
      <c r="CA33" s="246"/>
      <c r="CB33" s="243">
        <f t="shared" si="153"/>
        <v>0</v>
      </c>
      <c r="CC33" s="246"/>
      <c r="CD33" s="246"/>
      <c r="CE33" s="246"/>
      <c r="CF33" s="246"/>
      <c r="CG33" s="246"/>
      <c r="CH33" s="246"/>
      <c r="CI33" s="246"/>
      <c r="CJ33" s="243">
        <f t="shared" si="154"/>
        <v>0</v>
      </c>
      <c r="CK33" s="246"/>
      <c r="CL33" s="246"/>
      <c r="CM33" s="246"/>
      <c r="CN33" s="246"/>
      <c r="CO33" s="246"/>
      <c r="CP33" s="246"/>
      <c r="CQ33" s="246"/>
      <c r="CR33" s="243">
        <f t="shared" si="155"/>
        <v>0</v>
      </c>
      <c r="CS33" s="246"/>
      <c r="CT33" s="246"/>
      <c r="CU33" s="246"/>
      <c r="CV33" s="246"/>
      <c r="CW33" s="246"/>
      <c r="CX33" s="246"/>
      <c r="CY33" s="246"/>
      <c r="CZ33" s="243">
        <f t="shared" si="156"/>
        <v>0</v>
      </c>
      <c r="DA33" s="246"/>
      <c r="DB33" s="246"/>
      <c r="DC33" s="246"/>
      <c r="DD33" s="246"/>
      <c r="DE33" s="246"/>
      <c r="DF33" s="246"/>
      <c r="DG33" s="246"/>
      <c r="DH33" s="243">
        <f t="shared" si="157"/>
        <v>0</v>
      </c>
      <c r="DI33" s="246"/>
      <c r="DJ33" s="246"/>
      <c r="DK33" s="246"/>
      <c r="DL33" s="246"/>
      <c r="DM33" s="246"/>
      <c r="DN33" s="246"/>
      <c r="DO33" s="246"/>
      <c r="DP33" s="243">
        <f t="shared" si="158"/>
        <v>0</v>
      </c>
      <c r="DQ33" s="246"/>
      <c r="DR33" s="246"/>
      <c r="DS33" s="246"/>
      <c r="DT33" s="246"/>
      <c r="DU33" s="246"/>
      <c r="DV33" s="246"/>
      <c r="DW33" s="246"/>
      <c r="DX33" s="243">
        <f t="shared" si="159"/>
        <v>0</v>
      </c>
      <c r="DY33" s="246"/>
      <c r="DZ33" s="246"/>
      <c r="EA33" s="246"/>
      <c r="EB33" s="246"/>
      <c r="EC33" s="246"/>
      <c r="ED33" s="246"/>
      <c r="EE33" s="246"/>
      <c r="EF33" s="243">
        <f t="shared" si="160"/>
        <v>0</v>
      </c>
      <c r="EG33" s="246"/>
      <c r="EH33" s="246"/>
      <c r="EI33" s="246"/>
      <c r="EJ33" s="246"/>
      <c r="EK33" s="246"/>
      <c r="EL33" s="246"/>
      <c r="EM33" s="246"/>
      <c r="EN33" s="243">
        <f t="shared" si="161"/>
        <v>0</v>
      </c>
      <c r="EO33" s="246"/>
      <c r="EP33" s="246"/>
      <c r="EQ33" s="246"/>
      <c r="ER33" s="246"/>
      <c r="ES33" s="246"/>
      <c r="ET33" s="246"/>
      <c r="EU33" s="246"/>
      <c r="EV33" s="243">
        <f t="shared" si="162"/>
        <v>0</v>
      </c>
      <c r="EW33" s="246"/>
      <c r="EX33" s="246"/>
      <c r="EY33" s="246"/>
      <c r="EZ33" s="246"/>
      <c r="FA33" s="246"/>
      <c r="FB33" s="246"/>
      <c r="FC33" s="246"/>
      <c r="FD33" s="243">
        <f t="shared" si="163"/>
        <v>0</v>
      </c>
      <c r="FE33" s="246"/>
      <c r="FF33" s="246"/>
      <c r="FG33" s="246"/>
      <c r="FH33" s="246"/>
      <c r="FI33" s="246"/>
      <c r="FJ33" s="246"/>
      <c r="FK33" s="246"/>
      <c r="FL33" s="243">
        <f t="shared" si="164"/>
        <v>0</v>
      </c>
      <c r="FM33" s="246"/>
      <c r="FN33" s="246"/>
      <c r="FO33" s="246"/>
      <c r="FP33" s="246"/>
      <c r="FQ33" s="246"/>
      <c r="FR33" s="246"/>
      <c r="FS33" s="246"/>
      <c r="FT33" s="243">
        <f t="shared" si="165"/>
        <v>0</v>
      </c>
      <c r="FU33" s="246"/>
      <c r="FV33" s="246"/>
      <c r="FW33" s="246"/>
      <c r="FX33" s="246"/>
      <c r="FY33" s="246"/>
      <c r="FZ33" s="246"/>
      <c r="GA33" s="246"/>
      <c r="GB33" s="243">
        <f t="shared" si="166"/>
        <v>0</v>
      </c>
      <c r="GC33" s="246"/>
      <c r="GD33" s="246"/>
      <c r="GE33" s="246"/>
      <c r="GF33" s="246"/>
      <c r="GG33" s="246"/>
      <c r="GH33" s="246"/>
      <c r="GI33" s="246"/>
      <c r="GJ33" s="243">
        <f t="shared" si="167"/>
        <v>0</v>
      </c>
      <c r="GK33" s="246"/>
      <c r="GL33" s="246"/>
      <c r="GM33" s="246"/>
      <c r="GN33" s="246"/>
      <c r="GO33" s="246"/>
      <c r="GP33" s="246"/>
      <c r="GQ33" s="246"/>
      <c r="GR33" s="243">
        <f t="shared" si="168"/>
        <v>0</v>
      </c>
      <c r="GS33" s="246"/>
      <c r="GT33" s="246"/>
      <c r="GU33" s="246"/>
      <c r="GV33" s="246"/>
      <c r="GW33" s="246"/>
      <c r="GX33" s="246"/>
      <c r="GY33" s="246"/>
      <c r="GZ33" s="243">
        <f t="shared" si="169"/>
        <v>0</v>
      </c>
      <c r="HA33" s="246"/>
      <c r="HB33" s="246"/>
      <c r="HC33" s="246"/>
      <c r="HD33" s="246"/>
      <c r="HE33" s="246"/>
      <c r="HF33" s="246"/>
      <c r="HG33" s="246"/>
      <c r="HH33" s="243">
        <f t="shared" si="170"/>
        <v>0</v>
      </c>
      <c r="HI33" s="246"/>
      <c r="HJ33" s="246"/>
      <c r="HK33" s="246"/>
      <c r="HL33" s="246"/>
      <c r="HM33" s="246"/>
      <c r="HN33" s="246"/>
      <c r="HO33" s="246"/>
      <c r="HP33" s="243">
        <f t="shared" si="171"/>
        <v>0</v>
      </c>
      <c r="HQ33" s="246"/>
      <c r="HR33" s="246"/>
      <c r="HS33" s="246"/>
      <c r="HT33" s="246"/>
      <c r="HU33" s="246"/>
      <c r="HV33" s="246"/>
      <c r="HW33" s="246"/>
      <c r="HX33" s="243">
        <f t="shared" si="172"/>
        <v>0</v>
      </c>
      <c r="HY33" s="246"/>
      <c r="HZ33" s="246"/>
      <c r="IA33" s="246"/>
      <c r="IB33" s="246"/>
      <c r="IC33" s="246"/>
      <c r="ID33" s="246"/>
      <c r="IE33" s="246"/>
      <c r="IF33" s="243">
        <f t="shared" si="173"/>
        <v>0</v>
      </c>
      <c r="IG33" s="246"/>
      <c r="IH33" s="246"/>
      <c r="II33" s="246"/>
      <c r="IJ33" s="246"/>
      <c r="IK33" s="246"/>
      <c r="IL33" s="246"/>
      <c r="IM33" s="246"/>
      <c r="IN33" s="243">
        <f t="shared" si="174"/>
        <v>0</v>
      </c>
      <c r="IO33" s="246"/>
      <c r="IP33" s="246"/>
      <c r="IQ33" s="246"/>
      <c r="IR33" s="246"/>
      <c r="IS33" s="246"/>
      <c r="IT33" s="246"/>
      <c r="IU33" s="246"/>
      <c r="IV33" s="243">
        <f t="shared" si="175"/>
        <v>0</v>
      </c>
      <c r="IW33" s="246"/>
      <c r="IX33" s="246"/>
      <c r="IY33" s="246"/>
      <c r="IZ33" s="246"/>
      <c r="JA33" s="246"/>
      <c r="JB33" s="246"/>
      <c r="JC33" s="246"/>
      <c r="JD33" s="243">
        <f t="shared" si="176"/>
        <v>0</v>
      </c>
      <c r="JE33" s="246"/>
      <c r="JF33" s="246"/>
      <c r="JG33" s="246"/>
      <c r="JH33" s="246"/>
      <c r="JI33" s="246"/>
      <c r="JJ33" s="246"/>
      <c r="JK33" s="246"/>
      <c r="JL33" s="243">
        <f t="shared" si="177"/>
        <v>0</v>
      </c>
      <c r="JM33" s="246"/>
      <c r="JN33" s="246"/>
      <c r="JO33" s="246"/>
      <c r="JP33" s="246"/>
      <c r="JQ33" s="246"/>
      <c r="JR33" s="246"/>
      <c r="JS33" s="246"/>
      <c r="JT33" s="243">
        <f t="shared" si="178"/>
        <v>0</v>
      </c>
      <c r="JU33" s="246"/>
      <c r="JV33" s="246"/>
      <c r="JW33" s="246"/>
      <c r="JX33" s="246"/>
      <c r="JY33" s="246"/>
      <c r="JZ33" s="246"/>
      <c r="KA33" s="246"/>
      <c r="KB33" s="243">
        <f t="shared" si="179"/>
        <v>0</v>
      </c>
      <c r="KC33" s="246"/>
      <c r="KD33" s="246"/>
      <c r="KE33" s="246"/>
      <c r="KF33" s="246"/>
      <c r="KG33" s="246"/>
      <c r="KH33" s="246"/>
      <c r="KI33" s="246"/>
      <c r="KJ33" s="243">
        <f t="shared" si="180"/>
        <v>0</v>
      </c>
      <c r="KK33" s="246"/>
      <c r="KL33" s="246"/>
      <c r="KM33" s="246"/>
      <c r="KN33" s="246"/>
      <c r="KO33" s="246"/>
      <c r="KP33" s="246"/>
      <c r="KQ33" s="246"/>
      <c r="KR33" s="243">
        <f t="shared" si="181"/>
        <v>0</v>
      </c>
      <c r="KS33" s="246"/>
      <c r="KT33" s="246"/>
      <c r="KU33" s="246"/>
      <c r="KV33" s="246"/>
      <c r="KW33" s="246"/>
      <c r="KX33" s="246"/>
      <c r="KY33" s="246"/>
      <c r="KZ33" s="243">
        <f t="shared" si="182"/>
        <v>0</v>
      </c>
      <c r="LA33" s="246"/>
      <c r="LB33" s="246"/>
      <c r="LC33" s="246"/>
      <c r="LD33" s="246"/>
      <c r="LE33" s="246"/>
      <c r="LF33" s="246"/>
      <c r="LG33" s="246"/>
      <c r="LH33" s="243">
        <f t="shared" si="183"/>
        <v>0</v>
      </c>
      <c r="LI33" s="246"/>
      <c r="LJ33" s="246"/>
      <c r="LK33" s="246"/>
      <c r="LL33" s="246"/>
      <c r="LM33" s="246"/>
      <c r="LN33" s="246"/>
      <c r="LO33" s="246"/>
      <c r="LP33" s="243">
        <f t="shared" si="184"/>
        <v>0</v>
      </c>
      <c r="LQ33" s="246"/>
      <c r="LR33" s="246"/>
      <c r="LS33" s="246"/>
      <c r="LT33" s="244">
        <f t="shared" si="185"/>
        <v>0</v>
      </c>
      <c r="LU33" s="246">
        <v>0</v>
      </c>
      <c r="LV33" s="246"/>
      <c r="LW33" s="246"/>
      <c r="LX33" s="246"/>
      <c r="LY33" s="246"/>
      <c r="LZ33" s="246"/>
      <c r="MA33" s="246"/>
      <c r="MB33" s="243">
        <f t="shared" si="186"/>
        <v>0</v>
      </c>
      <c r="MC33" s="246"/>
      <c r="MD33" s="246"/>
      <c r="ME33" s="246"/>
      <c r="MF33" s="246"/>
      <c r="MG33" s="246"/>
      <c r="MH33" s="246"/>
      <c r="MI33" s="246"/>
      <c r="MJ33" s="243">
        <f t="shared" si="187"/>
        <v>0</v>
      </c>
      <c r="MK33" s="246"/>
      <c r="ML33" s="246"/>
      <c r="MM33" s="246"/>
      <c r="MN33" s="246"/>
      <c r="MO33" s="246"/>
      <c r="MP33" s="246"/>
      <c r="MQ33" s="246"/>
      <c r="MR33" s="243">
        <f t="shared" si="188"/>
        <v>0</v>
      </c>
      <c r="MS33" s="271"/>
      <c r="MT33" s="246"/>
      <c r="MU33" s="246"/>
      <c r="MV33" s="246"/>
      <c r="MW33" s="246"/>
      <c r="MX33" s="246"/>
      <c r="MY33" s="246"/>
      <c r="MZ33" s="243">
        <f t="shared" si="189"/>
        <v>0</v>
      </c>
      <c r="NA33" s="246"/>
      <c r="NB33" s="246"/>
      <c r="NC33" s="246"/>
      <c r="ND33" s="243">
        <f t="shared" si="190"/>
        <v>0</v>
      </c>
      <c r="NE33" s="246">
        <v>0</v>
      </c>
      <c r="NF33" s="246"/>
      <c r="NG33" s="246"/>
      <c r="NH33" s="246"/>
      <c r="NI33" s="246"/>
      <c r="NJ33" s="246"/>
      <c r="NK33" s="246"/>
      <c r="NL33" s="243">
        <f t="shared" si="191"/>
        <v>0</v>
      </c>
      <c r="NM33" s="246"/>
      <c r="NN33" s="246"/>
      <c r="NO33" s="246"/>
      <c r="NP33" s="246"/>
      <c r="NQ33" s="246"/>
      <c r="NR33" s="246"/>
      <c r="NS33" s="246"/>
      <c r="NT33" s="243">
        <f t="shared" si="192"/>
        <v>0</v>
      </c>
      <c r="NU33" s="246"/>
      <c r="NV33" s="246"/>
      <c r="NW33" s="246"/>
      <c r="NX33" s="246"/>
      <c r="NY33" s="246"/>
      <c r="NZ33" s="246"/>
      <c r="OA33" s="246"/>
      <c r="OB33" s="243">
        <f t="shared" si="193"/>
        <v>0</v>
      </c>
      <c r="OC33" s="246"/>
      <c r="OD33" s="246"/>
      <c r="OE33" s="246"/>
      <c r="OF33" s="246"/>
      <c r="OG33" s="246"/>
      <c r="OH33" s="246"/>
      <c r="OI33" s="246"/>
      <c r="OJ33" s="243">
        <f t="shared" si="194"/>
        <v>0</v>
      </c>
      <c r="OK33" s="246"/>
      <c r="OL33" s="246"/>
      <c r="OM33" s="246"/>
      <c r="ON33" s="246"/>
      <c r="OO33" s="246"/>
      <c r="OP33" s="246"/>
      <c r="OQ33" s="246"/>
      <c r="OR33" s="243">
        <f t="shared" si="195"/>
        <v>0</v>
      </c>
      <c r="OS33" s="246"/>
      <c r="OT33" s="246"/>
      <c r="OU33" s="246"/>
      <c r="OV33" s="246"/>
      <c r="OW33" s="246"/>
      <c r="OX33" s="246"/>
      <c r="OY33" s="246"/>
      <c r="OZ33" s="243">
        <f t="shared" si="196"/>
        <v>0</v>
      </c>
      <c r="PA33" s="247"/>
      <c r="PB33" s="246"/>
      <c r="PC33" s="246"/>
      <c r="PD33" s="243">
        <f t="shared" si="197"/>
        <v>0</v>
      </c>
      <c r="PE33" s="247"/>
      <c r="PF33" s="246"/>
      <c r="PG33" s="246"/>
      <c r="PH33" s="246"/>
      <c r="PI33" s="246"/>
      <c r="PJ33" s="246"/>
      <c r="PK33" s="246"/>
      <c r="PL33" s="243">
        <f t="shared" si="139"/>
        <v>0</v>
      </c>
      <c r="PM33" s="247"/>
      <c r="PN33" s="246">
        <v>-1037</v>
      </c>
      <c r="PO33" s="246">
        <v>0</v>
      </c>
      <c r="PP33" s="246">
        <v>-742</v>
      </c>
      <c r="PQ33" s="246">
        <v>0</v>
      </c>
      <c r="PR33" s="246">
        <v>-16438</v>
      </c>
      <c r="PS33" s="246">
        <v>0</v>
      </c>
      <c r="PT33" s="243">
        <f t="shared" si="198"/>
        <v>0</v>
      </c>
      <c r="PU33" s="246"/>
      <c r="PV33" s="246"/>
      <c r="PW33" s="246"/>
      <c r="PX33" s="246"/>
      <c r="PY33" s="246"/>
      <c r="PZ33" s="246"/>
      <c r="QA33" s="246"/>
      <c r="QB33" s="243">
        <f t="shared" si="199"/>
        <v>0</v>
      </c>
      <c r="QC33" s="246"/>
      <c r="QD33" s="246"/>
      <c r="QE33" s="246"/>
      <c r="QF33" s="246"/>
      <c r="QG33" s="246"/>
      <c r="QH33" s="246"/>
      <c r="QI33" s="246"/>
      <c r="QJ33" s="243">
        <f t="shared" si="200"/>
        <v>0</v>
      </c>
      <c r="QK33" s="246">
        <v>0</v>
      </c>
      <c r="QL33" s="246"/>
      <c r="QM33" s="246"/>
      <c r="QN33" s="246"/>
      <c r="QO33" s="246"/>
      <c r="QP33" s="243">
        <f t="shared" si="201"/>
        <v>0</v>
      </c>
      <c r="QQ33" s="243">
        <f t="shared" si="140"/>
        <v>0</v>
      </c>
      <c r="QR33" s="246"/>
      <c r="QS33" s="246"/>
      <c r="QT33" s="246"/>
      <c r="QU33" s="246"/>
      <c r="QV33" s="243">
        <f t="shared" si="202"/>
        <v>0</v>
      </c>
      <c r="QW33" s="246"/>
      <c r="QX33" s="246"/>
      <c r="QY33" s="246"/>
      <c r="QZ33" s="246"/>
      <c r="RA33" s="246"/>
      <c r="RB33" s="246"/>
      <c r="RC33" s="246"/>
      <c r="RD33" s="243">
        <f t="shared" si="203"/>
        <v>0</v>
      </c>
      <c r="RE33" s="300"/>
      <c r="RF33" s="259">
        <f t="shared" si="101"/>
        <v>1761.8626560726007</v>
      </c>
      <c r="RG33" s="259">
        <f t="shared" si="141"/>
        <v>13030.22892</v>
      </c>
      <c r="RH33" s="259">
        <f t="shared" si="142"/>
        <v>15636.274703999999</v>
      </c>
      <c r="RI33" s="256">
        <f t="shared" si="143"/>
        <v>26000</v>
      </c>
    </row>
    <row r="34" spans="1:478">
      <c r="A34" s="5" t="s">
        <v>111</v>
      </c>
      <c r="B34" s="263"/>
      <c r="C34" s="246"/>
      <c r="D34" s="246"/>
      <c r="E34" s="246"/>
      <c r="F34" s="246"/>
      <c r="G34" s="243"/>
      <c r="H34" s="243">
        <f t="shared" si="144"/>
        <v>0</v>
      </c>
      <c r="I34" s="246"/>
      <c r="J34" s="246"/>
      <c r="K34" s="246"/>
      <c r="L34" s="246"/>
      <c r="M34" s="246"/>
      <c r="N34" s="246"/>
      <c r="O34" s="246"/>
      <c r="P34" s="243">
        <f t="shared" si="145"/>
        <v>0</v>
      </c>
      <c r="Q34" s="246"/>
      <c r="R34" s="246"/>
      <c r="S34" s="246"/>
      <c r="T34" s="246"/>
      <c r="U34" s="246"/>
      <c r="V34" s="246"/>
      <c r="W34" s="246"/>
      <c r="X34" s="243">
        <f t="shared" si="146"/>
        <v>0</v>
      </c>
      <c r="Y34" s="246"/>
      <c r="Z34" s="246"/>
      <c r="AA34" s="246"/>
      <c r="AB34" s="246"/>
      <c r="AC34" s="246"/>
      <c r="AD34" s="246"/>
      <c r="AE34" s="246"/>
      <c r="AF34" s="243">
        <f t="shared" si="147"/>
        <v>0</v>
      </c>
      <c r="AG34" s="246"/>
      <c r="AH34" s="246"/>
      <c r="AI34" s="246"/>
      <c r="AJ34" s="246"/>
      <c r="AK34" s="246"/>
      <c r="AL34" s="246"/>
      <c r="AM34" s="246"/>
      <c r="AN34" s="243">
        <f t="shared" si="148"/>
        <v>0</v>
      </c>
      <c r="AO34" s="246"/>
      <c r="AP34" s="246"/>
      <c r="AQ34" s="246"/>
      <c r="AR34" s="246"/>
      <c r="AS34" s="246"/>
      <c r="AT34" s="246"/>
      <c r="AU34" s="246"/>
      <c r="AV34" s="243">
        <f t="shared" si="149"/>
        <v>0</v>
      </c>
      <c r="AW34" s="246"/>
      <c r="AX34" s="246"/>
      <c r="AY34" s="246"/>
      <c r="AZ34" s="246"/>
      <c r="BA34" s="246"/>
      <c r="BB34" s="246"/>
      <c r="BC34" s="246"/>
      <c r="BD34" s="243">
        <f t="shared" si="150"/>
        <v>0</v>
      </c>
      <c r="BE34" s="246"/>
      <c r="BF34" s="246"/>
      <c r="BG34" s="246"/>
      <c r="BH34" s="246"/>
      <c r="BI34" s="246"/>
      <c r="BJ34" s="246"/>
      <c r="BK34" s="246"/>
      <c r="BL34" s="243">
        <f t="shared" si="151"/>
        <v>0</v>
      </c>
      <c r="BM34" s="246"/>
      <c r="BN34" s="246"/>
      <c r="BO34" s="246"/>
      <c r="BP34" s="246"/>
      <c r="BQ34" s="246"/>
      <c r="BR34" s="246"/>
      <c r="BS34" s="246"/>
      <c r="BT34" s="243">
        <f t="shared" si="152"/>
        <v>0</v>
      </c>
      <c r="BU34" s="246"/>
      <c r="BV34" s="246"/>
      <c r="BW34" s="246"/>
      <c r="BX34" s="246"/>
      <c r="BY34" s="246"/>
      <c r="BZ34" s="246"/>
      <c r="CA34" s="246"/>
      <c r="CB34" s="243">
        <f t="shared" si="153"/>
        <v>0</v>
      </c>
      <c r="CC34" s="246"/>
      <c r="CD34" s="246"/>
      <c r="CE34" s="246"/>
      <c r="CF34" s="246"/>
      <c r="CG34" s="246"/>
      <c r="CH34" s="246"/>
      <c r="CI34" s="246"/>
      <c r="CJ34" s="243">
        <f t="shared" si="154"/>
        <v>0</v>
      </c>
      <c r="CK34" s="246"/>
      <c r="CL34" s="246"/>
      <c r="CM34" s="246"/>
      <c r="CN34" s="246"/>
      <c r="CO34" s="246"/>
      <c r="CP34" s="246"/>
      <c r="CQ34" s="246"/>
      <c r="CR34" s="243">
        <f t="shared" si="155"/>
        <v>0</v>
      </c>
      <c r="CS34" s="246"/>
      <c r="CT34" s="246"/>
      <c r="CU34" s="246"/>
      <c r="CV34" s="246"/>
      <c r="CW34" s="246"/>
      <c r="CX34" s="246"/>
      <c r="CY34" s="246"/>
      <c r="CZ34" s="243">
        <f t="shared" si="156"/>
        <v>0</v>
      </c>
      <c r="DA34" s="246"/>
      <c r="DB34" s="246"/>
      <c r="DC34" s="246"/>
      <c r="DD34" s="246"/>
      <c r="DE34" s="246"/>
      <c r="DF34" s="246"/>
      <c r="DG34" s="246"/>
      <c r="DH34" s="243">
        <f t="shared" si="157"/>
        <v>0</v>
      </c>
      <c r="DI34" s="246"/>
      <c r="DJ34" s="246"/>
      <c r="DK34" s="246"/>
      <c r="DL34" s="246"/>
      <c r="DM34" s="246"/>
      <c r="DN34" s="246"/>
      <c r="DO34" s="246"/>
      <c r="DP34" s="243">
        <f t="shared" si="158"/>
        <v>0</v>
      </c>
      <c r="DQ34" s="246"/>
      <c r="DR34" s="246"/>
      <c r="DS34" s="246"/>
      <c r="DT34" s="246"/>
      <c r="DU34" s="246"/>
      <c r="DV34" s="246"/>
      <c r="DW34" s="246"/>
      <c r="DX34" s="243">
        <f t="shared" si="159"/>
        <v>0</v>
      </c>
      <c r="DY34" s="246"/>
      <c r="DZ34" s="246"/>
      <c r="EA34" s="246"/>
      <c r="EB34" s="246"/>
      <c r="EC34" s="246"/>
      <c r="ED34" s="246"/>
      <c r="EE34" s="246"/>
      <c r="EF34" s="243">
        <f t="shared" si="160"/>
        <v>0</v>
      </c>
      <c r="EG34" s="246"/>
      <c r="EH34" s="246"/>
      <c r="EI34" s="246"/>
      <c r="EJ34" s="246"/>
      <c r="EK34" s="246"/>
      <c r="EL34" s="246"/>
      <c r="EM34" s="246"/>
      <c r="EN34" s="243">
        <f t="shared" si="161"/>
        <v>0</v>
      </c>
      <c r="EO34" s="246"/>
      <c r="EP34" s="246"/>
      <c r="EQ34" s="246"/>
      <c r="ER34" s="246"/>
      <c r="ES34" s="246"/>
      <c r="ET34" s="246"/>
      <c r="EU34" s="246"/>
      <c r="EV34" s="243">
        <f t="shared" si="162"/>
        <v>0</v>
      </c>
      <c r="EW34" s="246"/>
      <c r="EX34" s="246"/>
      <c r="EY34" s="246"/>
      <c r="EZ34" s="246"/>
      <c r="FA34" s="246"/>
      <c r="FB34" s="246"/>
      <c r="FC34" s="246"/>
      <c r="FD34" s="243">
        <f t="shared" si="163"/>
        <v>0</v>
      </c>
      <c r="FE34" s="246"/>
      <c r="FF34" s="246">
        <v>20.647814971595</v>
      </c>
      <c r="FG34" s="246">
        <v>4.4515600000000006</v>
      </c>
      <c r="FH34" s="246">
        <v>4.4518056676080002</v>
      </c>
      <c r="FI34" s="246">
        <v>0</v>
      </c>
      <c r="FJ34" s="246"/>
      <c r="FK34" s="246"/>
      <c r="FL34" s="243">
        <f t="shared" si="164"/>
        <v>0</v>
      </c>
      <c r="FM34" s="246">
        <v>0</v>
      </c>
      <c r="FN34" s="246"/>
      <c r="FO34" s="246"/>
      <c r="FP34" s="246"/>
      <c r="FQ34" s="246"/>
      <c r="FR34" s="246"/>
      <c r="FS34" s="246"/>
      <c r="FT34" s="243">
        <f t="shared" si="165"/>
        <v>0</v>
      </c>
      <c r="FU34" s="246"/>
      <c r="FV34" s="246"/>
      <c r="FW34" s="246"/>
      <c r="FX34" s="246"/>
      <c r="FY34" s="246"/>
      <c r="FZ34" s="246"/>
      <c r="GA34" s="246"/>
      <c r="GB34" s="243">
        <f t="shared" si="166"/>
        <v>0</v>
      </c>
      <c r="GC34" s="246"/>
      <c r="GD34" s="246">
        <v>54.99044485476</v>
      </c>
      <c r="GE34" s="246">
        <v>21.466249999999</v>
      </c>
      <c r="GF34" s="246">
        <v>21.467434654883</v>
      </c>
      <c r="GG34" s="246">
        <v>9.9040400000000002</v>
      </c>
      <c r="GH34" s="246">
        <v>10.999999653526</v>
      </c>
      <c r="GI34" s="246">
        <v>0.94899999999999995</v>
      </c>
      <c r="GJ34" s="243">
        <f t="shared" si="167"/>
        <v>1.1388</v>
      </c>
      <c r="GK34" s="246">
        <v>9.9040400000000002</v>
      </c>
      <c r="GL34" s="246"/>
      <c r="GM34" s="246"/>
      <c r="GN34" s="246"/>
      <c r="GO34" s="246"/>
      <c r="GP34" s="246"/>
      <c r="GQ34" s="246"/>
      <c r="GR34" s="243">
        <f t="shared" si="168"/>
        <v>0</v>
      </c>
      <c r="GS34" s="246"/>
      <c r="GT34" s="246"/>
      <c r="GU34" s="246"/>
      <c r="GV34" s="246"/>
      <c r="GW34" s="246"/>
      <c r="GX34" s="246"/>
      <c r="GY34" s="246"/>
      <c r="GZ34" s="243">
        <f t="shared" si="169"/>
        <v>0</v>
      </c>
      <c r="HA34" s="246"/>
      <c r="HB34" s="246"/>
      <c r="HC34" s="246"/>
      <c r="HD34" s="246"/>
      <c r="HE34" s="246"/>
      <c r="HF34" s="246"/>
      <c r="HG34" s="246"/>
      <c r="HH34" s="243">
        <f t="shared" si="170"/>
        <v>0</v>
      </c>
      <c r="HI34" s="246"/>
      <c r="HJ34" s="246"/>
      <c r="HK34" s="246"/>
      <c r="HL34" s="246"/>
      <c r="HM34" s="246"/>
      <c r="HN34" s="246"/>
      <c r="HO34" s="246"/>
      <c r="HP34" s="243">
        <f t="shared" si="171"/>
        <v>0</v>
      </c>
      <c r="HQ34" s="246"/>
      <c r="HR34" s="246"/>
      <c r="HS34" s="246"/>
      <c r="HT34" s="246"/>
      <c r="HU34" s="246"/>
      <c r="HV34" s="246"/>
      <c r="HW34" s="246"/>
      <c r="HX34" s="243">
        <f t="shared" si="172"/>
        <v>0</v>
      </c>
      <c r="HY34" s="246"/>
      <c r="HZ34" s="246"/>
      <c r="IA34" s="246"/>
      <c r="IB34" s="246"/>
      <c r="IC34" s="246"/>
      <c r="ID34" s="246"/>
      <c r="IE34" s="246"/>
      <c r="IF34" s="243">
        <f t="shared" si="173"/>
        <v>0</v>
      </c>
      <c r="IG34" s="246"/>
      <c r="IH34" s="246"/>
      <c r="II34" s="246"/>
      <c r="IJ34" s="246"/>
      <c r="IK34" s="246"/>
      <c r="IL34" s="246"/>
      <c r="IM34" s="246"/>
      <c r="IN34" s="243">
        <f t="shared" si="174"/>
        <v>0</v>
      </c>
      <c r="IO34" s="246"/>
      <c r="IP34" s="246"/>
      <c r="IQ34" s="246"/>
      <c r="IR34" s="246"/>
      <c r="IS34" s="246"/>
      <c r="IT34" s="246"/>
      <c r="IU34" s="246"/>
      <c r="IV34" s="243">
        <f t="shared" si="175"/>
        <v>0</v>
      </c>
      <c r="IW34" s="246"/>
      <c r="IX34" s="246">
        <v>558.12845009008799</v>
      </c>
      <c r="IY34" s="246">
        <v>514.05210000000204</v>
      </c>
      <c r="IZ34" s="246">
        <v>464.08049584206299</v>
      </c>
      <c r="JA34" s="246">
        <v>0</v>
      </c>
      <c r="JB34" s="246"/>
      <c r="JC34" s="246"/>
      <c r="JD34" s="243">
        <f t="shared" si="176"/>
        <v>0</v>
      </c>
      <c r="JE34" s="246">
        <v>0</v>
      </c>
      <c r="JF34" s="246"/>
      <c r="JG34" s="246"/>
      <c r="JH34" s="246"/>
      <c r="JI34" s="246"/>
      <c r="JJ34" s="246"/>
      <c r="JK34" s="246"/>
      <c r="JL34" s="243">
        <f t="shared" si="177"/>
        <v>0</v>
      </c>
      <c r="JM34" s="246"/>
      <c r="JN34" s="246"/>
      <c r="JO34" s="246"/>
      <c r="JP34" s="246"/>
      <c r="JQ34" s="246"/>
      <c r="JR34" s="246"/>
      <c r="JS34" s="246"/>
      <c r="JT34" s="243">
        <f t="shared" si="178"/>
        <v>0</v>
      </c>
      <c r="JU34" s="246"/>
      <c r="JV34" s="246"/>
      <c r="JW34" s="246"/>
      <c r="JX34" s="246"/>
      <c r="JY34" s="246"/>
      <c r="JZ34" s="246"/>
      <c r="KA34" s="246"/>
      <c r="KB34" s="243">
        <f t="shared" si="179"/>
        <v>0</v>
      </c>
      <c r="KC34" s="246"/>
      <c r="KD34" s="246"/>
      <c r="KE34" s="246"/>
      <c r="KF34" s="246"/>
      <c r="KG34" s="246"/>
      <c r="KH34" s="246"/>
      <c r="KI34" s="246"/>
      <c r="KJ34" s="243">
        <f t="shared" si="180"/>
        <v>0</v>
      </c>
      <c r="KK34" s="246"/>
      <c r="KL34" s="246"/>
      <c r="KM34" s="246"/>
      <c r="KN34" s="246"/>
      <c r="KO34" s="246"/>
      <c r="KP34" s="246"/>
      <c r="KQ34" s="246"/>
      <c r="KR34" s="243">
        <f t="shared" si="181"/>
        <v>0</v>
      </c>
      <c r="KS34" s="246"/>
      <c r="KT34" s="246"/>
      <c r="KU34" s="246"/>
      <c r="KV34" s="246"/>
      <c r="KW34" s="246"/>
      <c r="KX34" s="246"/>
      <c r="KY34" s="246"/>
      <c r="KZ34" s="243">
        <f t="shared" si="182"/>
        <v>0</v>
      </c>
      <c r="LA34" s="246"/>
      <c r="LB34" s="246"/>
      <c r="LC34" s="246"/>
      <c r="LD34" s="246"/>
      <c r="LE34" s="246"/>
      <c r="LF34" s="246"/>
      <c r="LG34" s="246"/>
      <c r="LH34" s="243">
        <f t="shared" si="183"/>
        <v>0</v>
      </c>
      <c r="LI34" s="246"/>
      <c r="LJ34" s="246"/>
      <c r="LK34" s="246"/>
      <c r="LL34" s="246"/>
      <c r="LM34" s="246"/>
      <c r="LN34" s="246"/>
      <c r="LO34" s="246"/>
      <c r="LP34" s="243">
        <f t="shared" si="184"/>
        <v>0</v>
      </c>
      <c r="LQ34" s="246"/>
      <c r="LR34" s="246"/>
      <c r="LS34" s="246"/>
      <c r="LT34" s="244">
        <f t="shared" si="185"/>
        <v>0</v>
      </c>
      <c r="LU34" s="246">
        <v>0</v>
      </c>
      <c r="LV34" s="246"/>
      <c r="LW34" s="246"/>
      <c r="LX34" s="246"/>
      <c r="LY34" s="246"/>
      <c r="LZ34" s="246"/>
      <c r="MA34" s="246"/>
      <c r="MB34" s="243">
        <f t="shared" si="186"/>
        <v>0</v>
      </c>
      <c r="MC34" s="246"/>
      <c r="MD34" s="246"/>
      <c r="ME34" s="246"/>
      <c r="MF34" s="246"/>
      <c r="MG34" s="246"/>
      <c r="MH34" s="246"/>
      <c r="MI34" s="246"/>
      <c r="MJ34" s="243">
        <f t="shared" si="187"/>
        <v>0</v>
      </c>
      <c r="MK34" s="246"/>
      <c r="ML34" s="246"/>
      <c r="MM34" s="246"/>
      <c r="MN34" s="246"/>
      <c r="MO34" s="246"/>
      <c r="MP34" s="246"/>
      <c r="MQ34" s="246"/>
      <c r="MR34" s="243">
        <f t="shared" si="188"/>
        <v>0</v>
      </c>
      <c r="MS34" s="271"/>
      <c r="MT34" s="246"/>
      <c r="MU34" s="246"/>
      <c r="MV34" s="246"/>
      <c r="MW34" s="246"/>
      <c r="MX34" s="246"/>
      <c r="MY34" s="246"/>
      <c r="MZ34" s="243">
        <f t="shared" si="189"/>
        <v>0</v>
      </c>
      <c r="NA34" s="246"/>
      <c r="NB34" s="246"/>
      <c r="NC34" s="246"/>
      <c r="ND34" s="243">
        <f t="shared" si="190"/>
        <v>0</v>
      </c>
      <c r="NE34" s="246">
        <v>0</v>
      </c>
      <c r="NF34" s="246"/>
      <c r="NG34" s="246"/>
      <c r="NH34" s="246"/>
      <c r="NI34" s="246"/>
      <c r="NJ34" s="246"/>
      <c r="NK34" s="246"/>
      <c r="NL34" s="243">
        <f t="shared" si="191"/>
        <v>0</v>
      </c>
      <c r="NM34" s="246"/>
      <c r="NN34" s="246"/>
      <c r="NO34" s="246"/>
      <c r="NP34" s="246"/>
      <c r="NQ34" s="246"/>
      <c r="NR34" s="246"/>
      <c r="NS34" s="246"/>
      <c r="NT34" s="243">
        <f t="shared" si="192"/>
        <v>0</v>
      </c>
      <c r="NU34" s="246"/>
      <c r="NV34" s="246"/>
      <c r="NW34" s="246"/>
      <c r="NX34" s="246"/>
      <c r="NY34" s="246"/>
      <c r="NZ34" s="246"/>
      <c r="OA34" s="246"/>
      <c r="OB34" s="243">
        <f t="shared" si="193"/>
        <v>0</v>
      </c>
      <c r="OC34" s="246"/>
      <c r="OD34" s="246"/>
      <c r="OE34" s="246"/>
      <c r="OF34" s="246"/>
      <c r="OG34" s="246"/>
      <c r="OH34" s="246"/>
      <c r="OI34" s="246"/>
      <c r="OJ34" s="243">
        <f t="shared" si="194"/>
        <v>0</v>
      </c>
      <c r="OK34" s="246"/>
      <c r="OL34" s="246"/>
      <c r="OM34" s="246"/>
      <c r="ON34" s="246"/>
      <c r="OO34" s="246"/>
      <c r="OP34" s="246"/>
      <c r="OQ34" s="246"/>
      <c r="OR34" s="243">
        <f t="shared" si="195"/>
        <v>0</v>
      </c>
      <c r="OS34" s="246"/>
      <c r="OT34" s="246"/>
      <c r="OU34" s="246"/>
      <c r="OV34" s="246"/>
      <c r="OW34" s="246"/>
      <c r="OX34" s="246"/>
      <c r="OY34" s="246"/>
      <c r="OZ34" s="243">
        <f t="shared" si="196"/>
        <v>0</v>
      </c>
      <c r="PA34" s="247"/>
      <c r="PB34" s="246"/>
      <c r="PC34" s="246"/>
      <c r="PD34" s="243">
        <f t="shared" si="197"/>
        <v>0</v>
      </c>
      <c r="PE34" s="247"/>
      <c r="PF34" s="246"/>
      <c r="PG34" s="246"/>
      <c r="PH34" s="246"/>
      <c r="PI34" s="246"/>
      <c r="PJ34" s="246"/>
      <c r="PK34" s="246"/>
      <c r="PL34" s="243">
        <f t="shared" si="139"/>
        <v>0</v>
      </c>
      <c r="PM34" s="247"/>
      <c r="PN34" s="246">
        <v>-443.54060096387798</v>
      </c>
      <c r="PO34" s="246">
        <v>0</v>
      </c>
      <c r="PP34" s="246">
        <v>49.999973078015998</v>
      </c>
      <c r="PQ34" s="246">
        <v>0</v>
      </c>
      <c r="PR34" s="246"/>
      <c r="PS34" s="246"/>
      <c r="PT34" s="243">
        <f t="shared" si="198"/>
        <v>0</v>
      </c>
      <c r="PU34" s="246"/>
      <c r="PV34" s="246"/>
      <c r="PW34" s="246"/>
      <c r="PX34" s="246"/>
      <c r="PY34" s="246"/>
      <c r="PZ34" s="246"/>
      <c r="QA34" s="246"/>
      <c r="QB34" s="243">
        <f t="shared" si="199"/>
        <v>0</v>
      </c>
      <c r="QC34" s="246"/>
      <c r="QD34" s="246"/>
      <c r="QE34" s="246"/>
      <c r="QF34" s="246"/>
      <c r="QG34" s="246"/>
      <c r="QH34" s="246"/>
      <c r="QI34" s="246"/>
      <c r="QJ34" s="243">
        <f t="shared" si="200"/>
        <v>0</v>
      </c>
      <c r="QK34" s="246">
        <v>0</v>
      </c>
      <c r="QL34" s="246"/>
      <c r="QM34" s="246"/>
      <c r="QN34" s="246"/>
      <c r="QO34" s="246"/>
      <c r="QP34" s="243">
        <f t="shared" si="201"/>
        <v>0</v>
      </c>
      <c r="QQ34" s="243">
        <f t="shared" si="140"/>
        <v>0</v>
      </c>
      <c r="QR34" s="246"/>
      <c r="QS34" s="246"/>
      <c r="QT34" s="246"/>
      <c r="QU34" s="246"/>
      <c r="QV34" s="243">
        <f t="shared" si="202"/>
        <v>0</v>
      </c>
      <c r="QW34" s="246"/>
      <c r="QX34" s="246"/>
      <c r="QY34" s="246"/>
      <c r="QZ34" s="246"/>
      <c r="RA34" s="246"/>
      <c r="RB34" s="246"/>
      <c r="RC34" s="246"/>
      <c r="RD34" s="243">
        <f t="shared" si="203"/>
        <v>0</v>
      </c>
      <c r="RE34" s="300"/>
      <c r="RF34" s="259">
        <f t="shared" si="101"/>
        <v>10.999999653526</v>
      </c>
      <c r="RG34" s="259">
        <f t="shared" si="141"/>
        <v>0.94899999999999995</v>
      </c>
      <c r="RH34" s="259">
        <f t="shared" si="142"/>
        <v>1.1388</v>
      </c>
      <c r="RI34" s="256">
        <f t="shared" si="143"/>
        <v>9.9040400000000002</v>
      </c>
    </row>
    <row r="35" spans="1:478">
      <c r="A35" s="5" t="s">
        <v>77</v>
      </c>
      <c r="B35" s="263"/>
      <c r="C35" s="246"/>
      <c r="D35" s="246">
        <v>2976.9989462735321</v>
      </c>
      <c r="E35" s="246">
        <v>1923.7999999999997</v>
      </c>
      <c r="F35" s="246">
        <v>4304.9999230514204</v>
      </c>
      <c r="G35" s="243">
        <v>2261.1339699999999</v>
      </c>
      <c r="H35" s="243">
        <f t="shared" si="144"/>
        <v>2713.360764</v>
      </c>
      <c r="I35" s="246">
        <v>1923.7999999999997</v>
      </c>
      <c r="J35" s="246"/>
      <c r="K35" s="246"/>
      <c r="L35" s="246"/>
      <c r="M35" s="246"/>
      <c r="N35" s="246"/>
      <c r="O35" s="246"/>
      <c r="P35" s="243">
        <f t="shared" si="145"/>
        <v>0</v>
      </c>
      <c r="Q35" s="246"/>
      <c r="R35" s="246"/>
      <c r="S35" s="246"/>
      <c r="T35" s="246"/>
      <c r="U35" s="246"/>
      <c r="V35" s="246"/>
      <c r="W35" s="246"/>
      <c r="X35" s="243">
        <f t="shared" si="146"/>
        <v>0</v>
      </c>
      <c r="Y35" s="246"/>
      <c r="Z35" s="246"/>
      <c r="AA35" s="246"/>
      <c r="AB35" s="246">
        <v>9.9999946156030006</v>
      </c>
      <c r="AC35" s="246">
        <v>58.051519999999996</v>
      </c>
      <c r="AD35" s="246">
        <v>9.9999996850239992</v>
      </c>
      <c r="AE35" s="246">
        <v>10.709489999999999</v>
      </c>
      <c r="AF35" s="243">
        <f t="shared" si="147"/>
        <v>12.851388</v>
      </c>
      <c r="AG35" s="246">
        <v>20</v>
      </c>
      <c r="AH35" s="246"/>
      <c r="AI35" s="246"/>
      <c r="AJ35" s="246">
        <v>4831.9973982594502</v>
      </c>
      <c r="AK35" s="246">
        <v>4208.9536200000002</v>
      </c>
      <c r="AL35" s="246">
        <v>4916.9998667022501</v>
      </c>
      <c r="AM35" s="246">
        <v>4082.1514500000003</v>
      </c>
      <c r="AN35" s="243">
        <f t="shared" si="148"/>
        <v>4898.5817399999996</v>
      </c>
      <c r="AO35" s="246">
        <v>5250</v>
      </c>
      <c r="AP35" s="246"/>
      <c r="AQ35" s="246"/>
      <c r="AR35" s="246">
        <v>491.999734549236</v>
      </c>
      <c r="AS35" s="246">
        <v>2323.1187200000013</v>
      </c>
      <c r="AT35" s="246">
        <v>2399.9999244058199</v>
      </c>
      <c r="AU35" s="246">
        <v>1818.25432</v>
      </c>
      <c r="AV35" s="243">
        <f t="shared" si="149"/>
        <v>2181.9051840000002</v>
      </c>
      <c r="AW35" s="246">
        <v>2400</v>
      </c>
      <c r="AX35" s="246"/>
      <c r="AY35" s="246"/>
      <c r="AZ35" s="246"/>
      <c r="BA35" s="246"/>
      <c r="BB35" s="246"/>
      <c r="BC35" s="246"/>
      <c r="BD35" s="243">
        <f t="shared" si="150"/>
        <v>0</v>
      </c>
      <c r="BE35" s="246"/>
      <c r="BF35" s="246"/>
      <c r="BG35" s="246"/>
      <c r="BH35" s="246">
        <v>420.99992300312698</v>
      </c>
      <c r="BI35" s="246">
        <v>884.83335</v>
      </c>
      <c r="BJ35" s="246">
        <v>1646</v>
      </c>
      <c r="BK35" s="246">
        <v>1229.9756000000009</v>
      </c>
      <c r="BL35" s="243">
        <f t="shared" si="151"/>
        <v>1475.9707200000012</v>
      </c>
      <c r="BM35" s="246">
        <v>1600</v>
      </c>
      <c r="BN35" s="246"/>
      <c r="BO35" s="246"/>
      <c r="BP35" s="246"/>
      <c r="BQ35" s="246"/>
      <c r="BR35" s="246"/>
      <c r="BS35" s="246"/>
      <c r="BT35" s="243">
        <f t="shared" si="152"/>
        <v>0</v>
      </c>
      <c r="BU35" s="246"/>
      <c r="BV35" s="246"/>
      <c r="BW35" s="246"/>
      <c r="BX35" s="246"/>
      <c r="BY35" s="246"/>
      <c r="BZ35" s="246"/>
      <c r="CA35" s="246"/>
      <c r="CB35" s="243">
        <f t="shared" si="153"/>
        <v>0</v>
      </c>
      <c r="CC35" s="246"/>
      <c r="CD35" s="246"/>
      <c r="CE35" s="246"/>
      <c r="CF35" s="246">
        <v>1254.9993242582</v>
      </c>
      <c r="CG35" s="246">
        <v>286.98946000000001</v>
      </c>
      <c r="CH35" s="246">
        <v>279.99999118067899</v>
      </c>
      <c r="CI35" s="246">
        <v>280.04674999999997</v>
      </c>
      <c r="CJ35" s="243">
        <f t="shared" si="154"/>
        <v>336.05610000000001</v>
      </c>
      <c r="CK35" s="246">
        <v>286.98946000000001</v>
      </c>
      <c r="CL35" s="246"/>
      <c r="CM35" s="246"/>
      <c r="CN35" s="246">
        <v>624.49966374442795</v>
      </c>
      <c r="CO35" s="246">
        <v>796.18499999999983</v>
      </c>
      <c r="CP35" s="246">
        <v>747.99997643981203</v>
      </c>
      <c r="CQ35" s="246">
        <v>790.06815000000017</v>
      </c>
      <c r="CR35" s="243">
        <f t="shared" si="155"/>
        <v>948.08178000000021</v>
      </c>
      <c r="CS35" s="246">
        <f>747.999976439812+720</f>
        <v>1467.9999764398121</v>
      </c>
      <c r="CT35" s="246"/>
      <c r="CU35" s="246"/>
      <c r="CV35" s="246">
        <v>24.999994077162999</v>
      </c>
      <c r="CW35" s="246">
        <v>56.548259999999999</v>
      </c>
      <c r="CX35" s="246">
        <v>101.999996787247</v>
      </c>
      <c r="CY35" s="246">
        <v>51.567</v>
      </c>
      <c r="CZ35" s="243">
        <f t="shared" si="156"/>
        <v>61.880399999999995</v>
      </c>
      <c r="DA35" s="246">
        <v>80</v>
      </c>
      <c r="DB35" s="246"/>
      <c r="DC35" s="246"/>
      <c r="DD35" s="246">
        <v>4278.9983157606703</v>
      </c>
      <c r="DE35" s="246">
        <v>4348.425110000002</v>
      </c>
      <c r="DF35" s="246">
        <v>6013.8600727779303</v>
      </c>
      <c r="DG35" s="246">
        <v>4642.9890900000009</v>
      </c>
      <c r="DH35" s="243">
        <f t="shared" si="157"/>
        <v>5571.5869080000011</v>
      </c>
      <c r="DI35" s="246">
        <v>5800</v>
      </c>
      <c r="DJ35" s="246"/>
      <c r="DK35" s="246"/>
      <c r="DL35" s="246"/>
      <c r="DM35" s="246"/>
      <c r="DN35" s="246"/>
      <c r="DO35" s="246"/>
      <c r="DP35" s="243">
        <f t="shared" si="158"/>
        <v>0</v>
      </c>
      <c r="DQ35" s="246"/>
      <c r="DR35" s="246"/>
      <c r="DS35" s="246"/>
      <c r="DT35" s="246"/>
      <c r="DU35" s="246"/>
      <c r="DV35" s="246"/>
      <c r="DW35" s="246"/>
      <c r="DX35" s="243">
        <f t="shared" si="159"/>
        <v>0</v>
      </c>
      <c r="DY35" s="246"/>
      <c r="DZ35" s="246"/>
      <c r="EA35" s="246"/>
      <c r="EB35" s="246"/>
      <c r="EC35" s="246"/>
      <c r="ED35" s="246"/>
      <c r="EE35" s="246"/>
      <c r="EF35" s="243">
        <f t="shared" si="160"/>
        <v>0</v>
      </c>
      <c r="EG35" s="246"/>
      <c r="EH35" s="246"/>
      <c r="EI35" s="246"/>
      <c r="EJ35" s="246"/>
      <c r="EK35" s="246"/>
      <c r="EL35" s="246"/>
      <c r="EM35" s="246"/>
      <c r="EN35" s="243">
        <f t="shared" si="161"/>
        <v>0</v>
      </c>
      <c r="EO35" s="246"/>
      <c r="EP35" s="246"/>
      <c r="EQ35" s="246"/>
      <c r="ER35" s="246"/>
      <c r="ES35" s="246"/>
      <c r="ET35" s="246"/>
      <c r="EU35" s="246"/>
      <c r="EV35" s="243">
        <f t="shared" si="162"/>
        <v>0</v>
      </c>
      <c r="EW35" s="246"/>
      <c r="EX35" s="246"/>
      <c r="EY35" s="246"/>
      <c r="EZ35" s="246"/>
      <c r="FA35" s="246"/>
      <c r="FB35" s="246"/>
      <c r="FC35" s="246"/>
      <c r="FD35" s="243">
        <f t="shared" si="163"/>
        <v>0</v>
      </c>
      <c r="FE35" s="246"/>
      <c r="FF35" s="246"/>
      <c r="FG35" s="246"/>
      <c r="FH35" s="246"/>
      <c r="FI35" s="246"/>
      <c r="FJ35" s="246"/>
      <c r="FK35" s="246"/>
      <c r="FL35" s="243">
        <f t="shared" si="164"/>
        <v>0</v>
      </c>
      <c r="FM35" s="246"/>
      <c r="FN35" s="246"/>
      <c r="FO35" s="246"/>
      <c r="FP35" s="246"/>
      <c r="FQ35" s="246"/>
      <c r="FR35" s="246"/>
      <c r="FS35" s="246"/>
      <c r="FT35" s="243">
        <f t="shared" si="165"/>
        <v>0</v>
      </c>
      <c r="FU35" s="246"/>
      <c r="FV35" s="246"/>
      <c r="FW35" s="246"/>
      <c r="FX35" s="246"/>
      <c r="FY35" s="246"/>
      <c r="FZ35" s="246"/>
      <c r="GA35" s="246"/>
      <c r="GB35" s="243">
        <f t="shared" si="166"/>
        <v>0</v>
      </c>
      <c r="GC35" s="246"/>
      <c r="GD35" s="246"/>
      <c r="GE35" s="246"/>
      <c r="GF35" s="246">
        <v>0</v>
      </c>
      <c r="GG35" s="246">
        <v>1.5552600000000001</v>
      </c>
      <c r="GH35" s="246">
        <v>1.999999937004</v>
      </c>
      <c r="GI35" s="246">
        <v>0</v>
      </c>
      <c r="GJ35" s="243">
        <f t="shared" si="167"/>
        <v>0</v>
      </c>
      <c r="GK35" s="246">
        <v>1.5552600000000001</v>
      </c>
      <c r="GL35" s="246"/>
      <c r="GM35" s="246"/>
      <c r="GN35" s="246"/>
      <c r="GO35" s="246"/>
      <c r="GP35" s="246"/>
      <c r="GQ35" s="246"/>
      <c r="GR35" s="243">
        <f t="shared" si="168"/>
        <v>0</v>
      </c>
      <c r="GS35" s="246"/>
      <c r="GT35" s="246"/>
      <c r="GU35" s="246"/>
      <c r="GV35" s="246"/>
      <c r="GW35" s="246"/>
      <c r="GX35" s="246"/>
      <c r="GY35" s="246"/>
      <c r="GZ35" s="243">
        <f t="shared" si="169"/>
        <v>0</v>
      </c>
      <c r="HA35" s="246"/>
      <c r="HB35" s="246"/>
      <c r="HC35" s="246"/>
      <c r="HD35" s="246"/>
      <c r="HE35" s="246"/>
      <c r="HF35" s="246"/>
      <c r="HG35" s="246"/>
      <c r="HH35" s="243">
        <f t="shared" si="170"/>
        <v>0</v>
      </c>
      <c r="HI35" s="246"/>
      <c r="HJ35" s="246"/>
      <c r="HK35" s="246"/>
      <c r="HL35" s="246">
        <v>599.99982931462</v>
      </c>
      <c r="HM35" s="246">
        <v>597.67963999999995</v>
      </c>
      <c r="HN35" s="246">
        <v>499.99998267633299</v>
      </c>
      <c r="HO35" s="246">
        <v>352.49334999999996</v>
      </c>
      <c r="HP35" s="243">
        <f t="shared" si="171"/>
        <v>422.99201999999991</v>
      </c>
      <c r="HQ35" s="246">
        <v>500</v>
      </c>
      <c r="HR35" s="246"/>
      <c r="HS35" s="246"/>
      <c r="HT35" s="246"/>
      <c r="HU35" s="246"/>
      <c r="HV35" s="246"/>
      <c r="HW35" s="246"/>
      <c r="HX35" s="243">
        <f t="shared" si="172"/>
        <v>0</v>
      </c>
      <c r="HY35" s="246"/>
      <c r="HZ35" s="246"/>
      <c r="IA35" s="246"/>
      <c r="IB35" s="246">
        <v>220.99992569532401</v>
      </c>
      <c r="IC35" s="246">
        <v>254.75768000000002</v>
      </c>
      <c r="ID35" s="246">
        <v>350</v>
      </c>
      <c r="IE35" s="246">
        <v>240.15591999999998</v>
      </c>
      <c r="IF35" s="243">
        <f t="shared" si="173"/>
        <v>288.18710399999998</v>
      </c>
      <c r="IG35" s="278">
        <f>254.75768+240</f>
        <v>494.75767999999999</v>
      </c>
      <c r="IH35" s="246"/>
      <c r="II35" s="246"/>
      <c r="IJ35" s="246"/>
      <c r="IK35" s="246"/>
      <c r="IL35" s="246"/>
      <c r="IM35" s="246"/>
      <c r="IN35" s="243">
        <f t="shared" si="174"/>
        <v>0</v>
      </c>
      <c r="IO35" s="246"/>
      <c r="IP35" s="246"/>
      <c r="IQ35" s="246"/>
      <c r="IR35" s="246"/>
      <c r="IS35" s="246"/>
      <c r="IT35" s="246"/>
      <c r="IU35" s="246"/>
      <c r="IV35" s="243">
        <f t="shared" si="175"/>
        <v>0</v>
      </c>
      <c r="IW35" s="246"/>
      <c r="IX35" s="246"/>
      <c r="IY35" s="246"/>
      <c r="IZ35" s="246">
        <v>86.999953155746994</v>
      </c>
      <c r="JA35" s="246">
        <v>0</v>
      </c>
      <c r="JB35" s="246"/>
      <c r="JC35" s="246"/>
      <c r="JD35" s="243">
        <f t="shared" si="176"/>
        <v>0</v>
      </c>
      <c r="JE35" s="246">
        <v>0</v>
      </c>
      <c r="JF35" s="246"/>
      <c r="JG35" s="246"/>
      <c r="JH35" s="246"/>
      <c r="JI35" s="246"/>
      <c r="JJ35" s="246"/>
      <c r="JK35" s="246"/>
      <c r="JL35" s="243">
        <f t="shared" si="177"/>
        <v>0</v>
      </c>
      <c r="JM35" s="246"/>
      <c r="JN35" s="246"/>
      <c r="JO35" s="246"/>
      <c r="JP35" s="246"/>
      <c r="JQ35" s="246"/>
      <c r="JR35" s="246"/>
      <c r="JS35" s="246"/>
      <c r="JT35" s="243">
        <f t="shared" si="178"/>
        <v>0</v>
      </c>
      <c r="JU35" s="246"/>
      <c r="JV35" s="246"/>
      <c r="JW35" s="246"/>
      <c r="JX35" s="246"/>
      <c r="JY35" s="246"/>
      <c r="JZ35" s="246"/>
      <c r="KA35" s="246"/>
      <c r="KB35" s="243">
        <f t="shared" si="179"/>
        <v>0</v>
      </c>
      <c r="KC35" s="246"/>
      <c r="KD35" s="246"/>
      <c r="KE35" s="246"/>
      <c r="KF35" s="246"/>
      <c r="KG35" s="246"/>
      <c r="KH35" s="246"/>
      <c r="KI35" s="246"/>
      <c r="KJ35" s="243">
        <f t="shared" si="180"/>
        <v>0</v>
      </c>
      <c r="KK35" s="246"/>
      <c r="KL35" s="246"/>
      <c r="KM35" s="246"/>
      <c r="KN35" s="246"/>
      <c r="KO35" s="246"/>
      <c r="KP35" s="246"/>
      <c r="KQ35" s="246"/>
      <c r="KR35" s="243">
        <f t="shared" si="181"/>
        <v>0</v>
      </c>
      <c r="KS35" s="246"/>
      <c r="KT35" s="246"/>
      <c r="KU35" s="246"/>
      <c r="KV35" s="246"/>
      <c r="KW35" s="246"/>
      <c r="KX35" s="246"/>
      <c r="KY35" s="246"/>
      <c r="KZ35" s="243">
        <f t="shared" si="182"/>
        <v>0</v>
      </c>
      <c r="LA35" s="246"/>
      <c r="LB35" s="246"/>
      <c r="LC35" s="246"/>
      <c r="LD35" s="246"/>
      <c r="LE35" s="246"/>
      <c r="LF35" s="246"/>
      <c r="LG35" s="246"/>
      <c r="LH35" s="243">
        <f t="shared" si="183"/>
        <v>0</v>
      </c>
      <c r="LI35" s="246"/>
      <c r="LJ35" s="246"/>
      <c r="LK35" s="246"/>
      <c r="LL35" s="246"/>
      <c r="LM35" s="246"/>
      <c r="LN35" s="246"/>
      <c r="LO35" s="246"/>
      <c r="LP35" s="243">
        <f t="shared" si="184"/>
        <v>0</v>
      </c>
      <c r="LQ35" s="246"/>
      <c r="LR35" s="246"/>
      <c r="LS35" s="246"/>
      <c r="LT35" s="244">
        <f t="shared" si="185"/>
        <v>0</v>
      </c>
      <c r="LU35" s="246">
        <v>0</v>
      </c>
      <c r="LV35" s="246"/>
      <c r="LW35" s="246"/>
      <c r="LX35" s="246">
        <v>104.99994346383301</v>
      </c>
      <c r="LY35" s="246">
        <v>103.58110000000001</v>
      </c>
      <c r="LZ35" s="246">
        <v>104.999996692754</v>
      </c>
      <c r="MA35" s="246">
        <v>0</v>
      </c>
      <c r="MB35" s="243">
        <f t="shared" si="186"/>
        <v>0</v>
      </c>
      <c r="MC35" s="246">
        <v>105</v>
      </c>
      <c r="MD35" s="246"/>
      <c r="ME35" s="246"/>
      <c r="MF35" s="246"/>
      <c r="MG35" s="246"/>
      <c r="MH35" s="246"/>
      <c r="MI35" s="246"/>
      <c r="MJ35" s="243">
        <f t="shared" si="187"/>
        <v>0</v>
      </c>
      <c r="MK35" s="246"/>
      <c r="ML35" s="246"/>
      <c r="MM35" s="246"/>
      <c r="MN35" s="246"/>
      <c r="MO35" s="246"/>
      <c r="MP35" s="246"/>
      <c r="MQ35" s="246"/>
      <c r="MR35" s="243">
        <f t="shared" si="188"/>
        <v>0</v>
      </c>
      <c r="MS35" s="271"/>
      <c r="MT35" s="246"/>
      <c r="MU35" s="246"/>
      <c r="MV35" s="246">
        <v>246.99991492653001</v>
      </c>
      <c r="MW35" s="246">
        <v>539.73163999999997</v>
      </c>
      <c r="MX35" s="246">
        <v>654.99997936908699</v>
      </c>
      <c r="MY35" s="246">
        <v>1080.7901999999999</v>
      </c>
      <c r="MZ35" s="243">
        <f t="shared" si="189"/>
        <v>1296.9482399999997</v>
      </c>
      <c r="NA35" s="246">
        <v>655</v>
      </c>
      <c r="NB35" s="246"/>
      <c r="NC35" s="246"/>
      <c r="ND35" s="243">
        <f t="shared" si="190"/>
        <v>0</v>
      </c>
      <c r="NE35" s="246">
        <v>0</v>
      </c>
      <c r="NF35" s="246"/>
      <c r="NG35" s="246"/>
      <c r="NH35" s="246"/>
      <c r="NI35" s="246"/>
      <c r="NJ35" s="246"/>
      <c r="NK35" s="246"/>
      <c r="NL35" s="243">
        <f t="shared" si="191"/>
        <v>0</v>
      </c>
      <c r="NM35" s="246"/>
      <c r="NN35" s="246"/>
      <c r="NO35" s="246"/>
      <c r="NP35" s="246"/>
      <c r="NQ35" s="246"/>
      <c r="NR35" s="246"/>
      <c r="NS35" s="246"/>
      <c r="NT35" s="243">
        <f t="shared" si="192"/>
        <v>0</v>
      </c>
      <c r="NU35" s="246"/>
      <c r="NV35" s="246"/>
      <c r="NW35" s="246"/>
      <c r="NX35" s="246"/>
      <c r="NY35" s="246"/>
      <c r="NZ35" s="246"/>
      <c r="OA35" s="246"/>
      <c r="OB35" s="243">
        <f t="shared" si="193"/>
        <v>0</v>
      </c>
      <c r="OC35" s="246"/>
      <c r="OD35" s="246"/>
      <c r="OE35" s="246"/>
      <c r="OF35" s="246"/>
      <c r="OG35" s="246"/>
      <c r="OH35" s="246"/>
      <c r="OI35" s="246"/>
      <c r="OJ35" s="243">
        <f t="shared" si="194"/>
        <v>0</v>
      </c>
      <c r="OK35" s="246"/>
      <c r="OL35" s="246"/>
      <c r="OM35" s="246"/>
      <c r="ON35" s="246"/>
      <c r="OO35" s="246"/>
      <c r="OP35" s="246"/>
      <c r="OQ35" s="246"/>
      <c r="OR35" s="243">
        <f t="shared" si="195"/>
        <v>0</v>
      </c>
      <c r="OS35" s="246"/>
      <c r="OT35" s="246"/>
      <c r="OU35" s="246"/>
      <c r="OV35" s="246"/>
      <c r="OW35" s="246"/>
      <c r="OX35" s="246"/>
      <c r="OY35" s="246"/>
      <c r="OZ35" s="243">
        <f t="shared" si="196"/>
        <v>0</v>
      </c>
      <c r="PA35" s="247"/>
      <c r="PB35" s="246"/>
      <c r="PC35" s="246"/>
      <c r="PD35" s="243">
        <f t="shared" si="197"/>
        <v>0</v>
      </c>
      <c r="PE35" s="247"/>
      <c r="PF35" s="246"/>
      <c r="PG35" s="246"/>
      <c r="PH35" s="246">
        <v>0</v>
      </c>
      <c r="PI35" s="246">
        <v>529.55880000000002</v>
      </c>
      <c r="PJ35" s="246">
        <v>499.99998425121203</v>
      </c>
      <c r="PK35" s="246">
        <v>415</v>
      </c>
      <c r="PL35" s="243">
        <f t="shared" si="139"/>
        <v>498</v>
      </c>
      <c r="PM35" s="247"/>
      <c r="PN35" s="246"/>
      <c r="PO35" s="246"/>
      <c r="PP35" s="246">
        <v>-5563.99947448288</v>
      </c>
      <c r="PQ35" s="246">
        <v>0</v>
      </c>
      <c r="PR35" s="246">
        <v>-4439.52336448598</v>
      </c>
      <c r="PS35" s="246">
        <v>0</v>
      </c>
      <c r="PT35" s="243">
        <f t="shared" si="198"/>
        <v>0</v>
      </c>
      <c r="PU35" s="246"/>
      <c r="PV35" s="246"/>
      <c r="PW35" s="246"/>
      <c r="PX35" s="246"/>
      <c r="PY35" s="246"/>
      <c r="PZ35" s="246"/>
      <c r="QA35" s="246"/>
      <c r="QB35" s="243">
        <f t="shared" si="199"/>
        <v>0</v>
      </c>
      <c r="QC35" s="246"/>
      <c r="QD35" s="246"/>
      <c r="QE35" s="246"/>
      <c r="QF35" s="246"/>
      <c r="QG35" s="246"/>
      <c r="QH35" s="246"/>
      <c r="QI35" s="246"/>
      <c r="QJ35" s="243">
        <f t="shared" si="200"/>
        <v>0</v>
      </c>
      <c r="QK35" s="246">
        <v>0</v>
      </c>
      <c r="QL35" s="246"/>
      <c r="QM35" s="246"/>
      <c r="QN35" s="246"/>
      <c r="QO35" s="246"/>
      <c r="QP35" s="243">
        <f t="shared" si="201"/>
        <v>0</v>
      </c>
      <c r="QQ35" s="243">
        <f t="shared" si="140"/>
        <v>0</v>
      </c>
      <c r="QR35" s="246"/>
      <c r="QS35" s="246"/>
      <c r="QT35" s="246"/>
      <c r="QU35" s="246"/>
      <c r="QV35" s="243">
        <f t="shared" si="202"/>
        <v>0</v>
      </c>
      <c r="QW35" s="246"/>
      <c r="QX35" s="246"/>
      <c r="QY35" s="246"/>
      <c r="QZ35" s="246"/>
      <c r="RA35" s="246"/>
      <c r="RB35" s="246"/>
      <c r="RC35" s="246"/>
      <c r="RD35" s="243">
        <f t="shared" si="203"/>
        <v>0</v>
      </c>
      <c r="RE35" s="300"/>
      <c r="RF35" s="259">
        <f t="shared" si="101"/>
        <v>18094.336329470592</v>
      </c>
      <c r="RG35" s="259">
        <f t="shared" si="141"/>
        <v>17255.335290000003</v>
      </c>
      <c r="RH35" s="259">
        <f t="shared" si="142"/>
        <v>20706.402348000003</v>
      </c>
      <c r="RI35" s="256">
        <f t="shared" si="143"/>
        <v>20585.102376439812</v>
      </c>
    </row>
    <row r="36" spans="1:478">
      <c r="A36" s="5" t="s">
        <v>78</v>
      </c>
      <c r="B36" s="263"/>
      <c r="C36" s="246"/>
      <c r="D36" s="246"/>
      <c r="E36" s="246"/>
      <c r="F36" s="278">
        <v>0</v>
      </c>
      <c r="G36" s="243">
        <v>615.95999999999992</v>
      </c>
      <c r="H36" s="243">
        <f t="shared" si="144"/>
        <v>739.15199999999982</v>
      </c>
      <c r="I36" s="278">
        <v>12500</v>
      </c>
      <c r="J36" s="246"/>
      <c r="K36" s="246"/>
      <c r="L36" s="246"/>
      <c r="M36" s="246"/>
      <c r="N36" s="246"/>
      <c r="O36" s="246"/>
      <c r="P36" s="243">
        <f t="shared" si="145"/>
        <v>0</v>
      </c>
      <c r="Q36" s="246"/>
      <c r="R36" s="246"/>
      <c r="S36" s="246"/>
      <c r="T36" s="246"/>
      <c r="U36" s="246"/>
      <c r="V36" s="246"/>
      <c r="W36" s="246"/>
      <c r="X36" s="243">
        <f t="shared" si="146"/>
        <v>0</v>
      </c>
      <c r="Y36" s="246"/>
      <c r="Z36" s="246"/>
      <c r="AA36" s="246"/>
      <c r="AB36" s="246"/>
      <c r="AC36" s="246"/>
      <c r="AD36" s="246"/>
      <c r="AE36" s="246"/>
      <c r="AF36" s="243">
        <f t="shared" si="147"/>
        <v>0</v>
      </c>
      <c r="AG36" s="246"/>
      <c r="AH36" s="246"/>
      <c r="AI36" s="246"/>
      <c r="AJ36" s="246"/>
      <c r="AK36" s="246"/>
      <c r="AL36" s="246"/>
      <c r="AM36" s="246"/>
      <c r="AN36" s="243">
        <f t="shared" si="148"/>
        <v>0</v>
      </c>
      <c r="AO36" s="246"/>
      <c r="AP36" s="246"/>
      <c r="AQ36" s="246"/>
      <c r="AR36" s="246"/>
      <c r="AS36" s="246"/>
      <c r="AT36" s="246"/>
      <c r="AU36" s="246"/>
      <c r="AV36" s="243">
        <f t="shared" si="149"/>
        <v>0</v>
      </c>
      <c r="AW36" s="246"/>
      <c r="AX36" s="246"/>
      <c r="AY36" s="246"/>
      <c r="AZ36" s="246"/>
      <c r="BA36" s="246"/>
      <c r="BB36" s="246"/>
      <c r="BC36" s="246"/>
      <c r="BD36" s="243">
        <f t="shared" si="150"/>
        <v>0</v>
      </c>
      <c r="BE36" s="246"/>
      <c r="BF36" s="246"/>
      <c r="BG36" s="246"/>
      <c r="BH36" s="246"/>
      <c r="BI36" s="246"/>
      <c r="BJ36" s="246"/>
      <c r="BK36" s="246"/>
      <c r="BL36" s="243">
        <f t="shared" si="151"/>
        <v>0</v>
      </c>
      <c r="BM36" s="246"/>
      <c r="BN36" s="246"/>
      <c r="BO36" s="246"/>
      <c r="BP36" s="246"/>
      <c r="BQ36" s="246"/>
      <c r="BR36" s="246"/>
      <c r="BS36" s="246"/>
      <c r="BT36" s="243">
        <f t="shared" si="152"/>
        <v>0</v>
      </c>
      <c r="BU36" s="246"/>
      <c r="BV36" s="246"/>
      <c r="BW36" s="246"/>
      <c r="BX36" s="246"/>
      <c r="BY36" s="246"/>
      <c r="BZ36" s="246"/>
      <c r="CA36" s="246"/>
      <c r="CB36" s="243">
        <f t="shared" si="153"/>
        <v>0</v>
      </c>
      <c r="CC36" s="246"/>
      <c r="CD36" s="246"/>
      <c r="CE36" s="246"/>
      <c r="CF36" s="246"/>
      <c r="CG36" s="246"/>
      <c r="CH36" s="246"/>
      <c r="CI36" s="246"/>
      <c r="CJ36" s="243">
        <f t="shared" si="154"/>
        <v>0</v>
      </c>
      <c r="CK36" s="246"/>
      <c r="CL36" s="246"/>
      <c r="CM36" s="246"/>
      <c r="CN36" s="246"/>
      <c r="CO36" s="246"/>
      <c r="CP36" s="246"/>
      <c r="CQ36" s="246"/>
      <c r="CR36" s="243">
        <f t="shared" si="155"/>
        <v>0</v>
      </c>
      <c r="CS36" s="246"/>
      <c r="CT36" s="246"/>
      <c r="CU36" s="246"/>
      <c r="CV36" s="246"/>
      <c r="CW36" s="246"/>
      <c r="CX36" s="246"/>
      <c r="CY36" s="246"/>
      <c r="CZ36" s="243">
        <f t="shared" si="156"/>
        <v>0</v>
      </c>
      <c r="DA36" s="246"/>
      <c r="DB36" s="246"/>
      <c r="DC36" s="246"/>
      <c r="DD36" s="246"/>
      <c r="DE36" s="246"/>
      <c r="DF36" s="246"/>
      <c r="DG36" s="246"/>
      <c r="DH36" s="243">
        <f t="shared" si="157"/>
        <v>0</v>
      </c>
      <c r="DI36" s="246"/>
      <c r="DJ36" s="246"/>
      <c r="DK36" s="246"/>
      <c r="DL36" s="246"/>
      <c r="DM36" s="246"/>
      <c r="DN36" s="246"/>
      <c r="DO36" s="246"/>
      <c r="DP36" s="243">
        <f t="shared" si="158"/>
        <v>0</v>
      </c>
      <c r="DQ36" s="246"/>
      <c r="DR36" s="246"/>
      <c r="DS36" s="246"/>
      <c r="DT36" s="246"/>
      <c r="DU36" s="246"/>
      <c r="DV36" s="246"/>
      <c r="DW36" s="246"/>
      <c r="DX36" s="243">
        <f t="shared" si="159"/>
        <v>0</v>
      </c>
      <c r="DY36" s="246"/>
      <c r="DZ36" s="246"/>
      <c r="EA36" s="246"/>
      <c r="EB36" s="246"/>
      <c r="EC36" s="246"/>
      <c r="ED36" s="246"/>
      <c r="EE36" s="246"/>
      <c r="EF36" s="243">
        <f t="shared" si="160"/>
        <v>0</v>
      </c>
      <c r="EG36" s="246"/>
      <c r="EH36" s="246"/>
      <c r="EI36" s="246"/>
      <c r="EJ36" s="246"/>
      <c r="EK36" s="246"/>
      <c r="EL36" s="246"/>
      <c r="EM36" s="246"/>
      <c r="EN36" s="243">
        <f t="shared" si="161"/>
        <v>0</v>
      </c>
      <c r="EO36" s="246"/>
      <c r="EP36" s="246"/>
      <c r="EQ36" s="246"/>
      <c r="ER36" s="246"/>
      <c r="ES36" s="246"/>
      <c r="ET36" s="246"/>
      <c r="EU36" s="246"/>
      <c r="EV36" s="243">
        <f t="shared" si="162"/>
        <v>0</v>
      </c>
      <c r="EW36" s="246"/>
      <c r="EX36" s="246"/>
      <c r="EY36" s="246"/>
      <c r="EZ36" s="246"/>
      <c r="FA36" s="246"/>
      <c r="FB36" s="246"/>
      <c r="FC36" s="246"/>
      <c r="FD36" s="243">
        <f t="shared" si="163"/>
        <v>0</v>
      </c>
      <c r="FE36" s="246"/>
      <c r="FF36" s="246"/>
      <c r="FG36" s="246"/>
      <c r="FH36" s="246"/>
      <c r="FI36" s="246"/>
      <c r="FJ36" s="246"/>
      <c r="FK36" s="246"/>
      <c r="FL36" s="243">
        <f t="shared" si="164"/>
        <v>0</v>
      </c>
      <c r="FM36" s="246"/>
      <c r="FN36" s="246"/>
      <c r="FO36" s="246"/>
      <c r="FP36" s="246"/>
      <c r="FQ36" s="246"/>
      <c r="FR36" s="246"/>
      <c r="FS36" s="246"/>
      <c r="FT36" s="243">
        <f t="shared" si="165"/>
        <v>0</v>
      </c>
      <c r="FU36" s="246"/>
      <c r="FV36" s="246"/>
      <c r="FW36" s="246"/>
      <c r="FX36" s="246"/>
      <c r="FY36" s="246"/>
      <c r="FZ36" s="246"/>
      <c r="GA36" s="246"/>
      <c r="GB36" s="243">
        <f t="shared" si="166"/>
        <v>0</v>
      </c>
      <c r="GC36" s="246"/>
      <c r="GD36" s="246"/>
      <c r="GE36" s="246"/>
      <c r="GF36" s="246"/>
      <c r="GG36" s="246"/>
      <c r="GH36" s="246"/>
      <c r="GI36" s="246"/>
      <c r="GJ36" s="243">
        <f t="shared" si="167"/>
        <v>0</v>
      </c>
      <c r="GK36" s="246"/>
      <c r="GL36" s="246"/>
      <c r="GM36" s="246"/>
      <c r="GN36" s="246"/>
      <c r="GO36" s="246"/>
      <c r="GP36" s="246"/>
      <c r="GQ36" s="246"/>
      <c r="GR36" s="243">
        <f t="shared" si="168"/>
        <v>0</v>
      </c>
      <c r="GS36" s="246"/>
      <c r="GT36" s="246"/>
      <c r="GU36" s="246"/>
      <c r="GV36" s="246"/>
      <c r="GW36" s="246"/>
      <c r="GX36" s="246"/>
      <c r="GY36" s="246"/>
      <c r="GZ36" s="243">
        <f t="shared" si="169"/>
        <v>0</v>
      </c>
      <c r="HA36" s="246"/>
      <c r="HB36" s="246"/>
      <c r="HC36" s="246"/>
      <c r="HD36" s="246"/>
      <c r="HE36" s="246"/>
      <c r="HF36" s="246"/>
      <c r="HG36" s="246"/>
      <c r="HH36" s="243">
        <f t="shared" si="170"/>
        <v>0</v>
      </c>
      <c r="HI36" s="246"/>
      <c r="HJ36" s="246"/>
      <c r="HK36" s="246"/>
      <c r="HL36" s="246"/>
      <c r="HM36" s="246"/>
      <c r="HN36" s="246"/>
      <c r="HO36" s="246"/>
      <c r="HP36" s="243">
        <f t="shared" si="171"/>
        <v>0</v>
      </c>
      <c r="HQ36" s="246"/>
      <c r="HR36" s="246"/>
      <c r="HS36" s="246"/>
      <c r="HT36" s="246"/>
      <c r="HU36" s="246"/>
      <c r="HV36" s="246"/>
      <c r="HW36" s="246"/>
      <c r="HX36" s="243">
        <f t="shared" si="172"/>
        <v>0</v>
      </c>
      <c r="HY36" s="246"/>
      <c r="HZ36" s="246"/>
      <c r="IA36" s="246"/>
      <c r="IB36" s="246"/>
      <c r="IC36" s="246"/>
      <c r="ID36" s="246"/>
      <c r="IE36" s="246"/>
      <c r="IF36" s="243">
        <f t="shared" si="173"/>
        <v>0</v>
      </c>
      <c r="IG36" s="246"/>
      <c r="IH36" s="246"/>
      <c r="II36" s="246"/>
      <c r="IJ36" s="246"/>
      <c r="IK36" s="246"/>
      <c r="IL36" s="246"/>
      <c r="IM36" s="246"/>
      <c r="IN36" s="243">
        <f t="shared" si="174"/>
        <v>0</v>
      </c>
      <c r="IO36" s="246"/>
      <c r="IP36" s="246"/>
      <c r="IQ36" s="246"/>
      <c r="IR36" s="246"/>
      <c r="IS36" s="246"/>
      <c r="IT36" s="246"/>
      <c r="IU36" s="246"/>
      <c r="IV36" s="243">
        <f t="shared" si="175"/>
        <v>0</v>
      </c>
      <c r="IW36" s="246"/>
      <c r="IX36" s="246"/>
      <c r="IY36" s="246"/>
      <c r="IZ36" s="246"/>
      <c r="JA36" s="246"/>
      <c r="JB36" s="246"/>
      <c r="JC36" s="246"/>
      <c r="JD36" s="243">
        <f t="shared" si="176"/>
        <v>0</v>
      </c>
      <c r="JE36" s="246"/>
      <c r="JF36" s="246"/>
      <c r="JG36" s="246"/>
      <c r="JH36" s="246"/>
      <c r="JI36" s="246"/>
      <c r="JJ36" s="246"/>
      <c r="JK36" s="246"/>
      <c r="JL36" s="243">
        <f t="shared" si="177"/>
        <v>0</v>
      </c>
      <c r="JM36" s="246"/>
      <c r="JN36" s="246"/>
      <c r="JO36" s="246"/>
      <c r="JP36" s="246"/>
      <c r="JQ36" s="246"/>
      <c r="JR36" s="246"/>
      <c r="JS36" s="246"/>
      <c r="JT36" s="243">
        <f t="shared" si="178"/>
        <v>0</v>
      </c>
      <c r="JU36" s="246"/>
      <c r="JV36" s="246"/>
      <c r="JW36" s="246"/>
      <c r="JX36" s="246"/>
      <c r="JY36" s="246"/>
      <c r="JZ36" s="246"/>
      <c r="KA36" s="246"/>
      <c r="KB36" s="243">
        <f t="shared" si="179"/>
        <v>0</v>
      </c>
      <c r="KC36" s="246"/>
      <c r="KD36" s="246"/>
      <c r="KE36" s="246"/>
      <c r="KF36" s="246"/>
      <c r="KG36" s="246"/>
      <c r="KH36" s="246"/>
      <c r="KI36" s="246"/>
      <c r="KJ36" s="243">
        <f t="shared" si="180"/>
        <v>0</v>
      </c>
      <c r="KK36" s="246"/>
      <c r="KL36" s="246"/>
      <c r="KM36" s="246"/>
      <c r="KN36" s="246"/>
      <c r="KO36" s="246"/>
      <c r="KP36" s="246"/>
      <c r="KQ36" s="246"/>
      <c r="KR36" s="243">
        <f t="shared" si="181"/>
        <v>0</v>
      </c>
      <c r="KS36" s="246"/>
      <c r="KT36" s="246"/>
      <c r="KU36" s="246"/>
      <c r="KV36" s="246"/>
      <c r="KW36" s="246"/>
      <c r="KX36" s="246"/>
      <c r="KY36" s="246"/>
      <c r="KZ36" s="243">
        <f t="shared" si="182"/>
        <v>0</v>
      </c>
      <c r="LA36" s="246"/>
      <c r="LB36" s="246"/>
      <c r="LC36" s="246"/>
      <c r="LD36" s="246"/>
      <c r="LE36" s="246"/>
      <c r="LF36" s="246"/>
      <c r="LG36" s="246"/>
      <c r="LH36" s="243">
        <f t="shared" si="183"/>
        <v>0</v>
      </c>
      <c r="LI36" s="246"/>
      <c r="LJ36" s="246"/>
      <c r="LK36" s="246"/>
      <c r="LL36" s="246"/>
      <c r="LM36" s="246"/>
      <c r="LN36" s="246"/>
      <c r="LO36" s="246"/>
      <c r="LP36" s="243">
        <f t="shared" si="184"/>
        <v>0</v>
      </c>
      <c r="LQ36" s="246"/>
      <c r="LR36" s="246"/>
      <c r="LS36" s="246"/>
      <c r="LT36" s="244">
        <f t="shared" si="185"/>
        <v>0</v>
      </c>
      <c r="LU36" s="246">
        <v>0</v>
      </c>
      <c r="LV36" s="246"/>
      <c r="LW36" s="246"/>
      <c r="LX36" s="246"/>
      <c r="LY36" s="246"/>
      <c r="LZ36" s="246"/>
      <c r="MA36" s="246"/>
      <c r="MB36" s="243">
        <f t="shared" si="186"/>
        <v>0</v>
      </c>
      <c r="MC36" s="246"/>
      <c r="MD36" s="246"/>
      <c r="ME36" s="246"/>
      <c r="MF36" s="246"/>
      <c r="MG36" s="246"/>
      <c r="MH36" s="246"/>
      <c r="MI36" s="246"/>
      <c r="MJ36" s="243">
        <f t="shared" si="187"/>
        <v>0</v>
      </c>
      <c r="MK36" s="246"/>
      <c r="ML36" s="246"/>
      <c r="MM36" s="246"/>
      <c r="MN36" s="246"/>
      <c r="MO36" s="246"/>
      <c r="MP36" s="246"/>
      <c r="MQ36" s="246"/>
      <c r="MR36" s="243">
        <f t="shared" si="188"/>
        <v>0</v>
      </c>
      <c r="MS36" s="271"/>
      <c r="MT36" s="246"/>
      <c r="MU36" s="246"/>
      <c r="MV36" s="246"/>
      <c r="MW36" s="246"/>
      <c r="MX36" s="246"/>
      <c r="MY36" s="246"/>
      <c r="MZ36" s="243">
        <f t="shared" si="189"/>
        <v>0</v>
      </c>
      <c r="NA36" s="246"/>
      <c r="NB36" s="246"/>
      <c r="NC36" s="246"/>
      <c r="ND36" s="243">
        <f t="shared" si="190"/>
        <v>0</v>
      </c>
      <c r="NE36" s="246">
        <v>0</v>
      </c>
      <c r="NF36" s="246"/>
      <c r="NG36" s="246"/>
      <c r="NH36" s="246"/>
      <c r="NI36" s="246"/>
      <c r="NJ36" s="246"/>
      <c r="NK36" s="246"/>
      <c r="NL36" s="243">
        <f t="shared" si="191"/>
        <v>0</v>
      </c>
      <c r="NM36" s="246"/>
      <c r="NN36" s="246"/>
      <c r="NO36" s="246"/>
      <c r="NP36" s="246"/>
      <c r="NQ36" s="246"/>
      <c r="NR36" s="246"/>
      <c r="NS36" s="246"/>
      <c r="NT36" s="243">
        <f t="shared" si="192"/>
        <v>0</v>
      </c>
      <c r="NU36" s="246"/>
      <c r="NV36" s="246"/>
      <c r="NW36" s="246"/>
      <c r="NX36" s="246"/>
      <c r="NY36" s="246"/>
      <c r="NZ36" s="246"/>
      <c r="OA36" s="246"/>
      <c r="OB36" s="243">
        <f t="shared" si="193"/>
        <v>0</v>
      </c>
      <c r="OC36" s="246"/>
      <c r="OD36" s="246"/>
      <c r="OE36" s="246"/>
      <c r="OF36" s="246"/>
      <c r="OG36" s="246"/>
      <c r="OH36" s="246"/>
      <c r="OI36" s="246"/>
      <c r="OJ36" s="243">
        <f t="shared" si="194"/>
        <v>0</v>
      </c>
      <c r="OK36" s="246"/>
      <c r="OL36" s="246"/>
      <c r="OM36" s="246"/>
      <c r="ON36" s="246"/>
      <c r="OO36" s="246"/>
      <c r="OP36" s="246"/>
      <c r="OQ36" s="246"/>
      <c r="OR36" s="243">
        <f t="shared" si="195"/>
        <v>0</v>
      </c>
      <c r="OS36" s="246"/>
      <c r="OT36" s="246"/>
      <c r="OU36" s="246"/>
      <c r="OV36" s="246"/>
      <c r="OW36" s="246"/>
      <c r="OX36" s="246"/>
      <c r="OY36" s="246"/>
      <c r="OZ36" s="243">
        <f t="shared" si="196"/>
        <v>0</v>
      </c>
      <c r="PA36" s="247"/>
      <c r="PB36" s="246"/>
      <c r="PC36" s="246"/>
      <c r="PD36" s="243">
        <f t="shared" si="197"/>
        <v>0</v>
      </c>
      <c r="PE36" s="247"/>
      <c r="PF36" s="246"/>
      <c r="PG36" s="246"/>
      <c r="PH36" s="246"/>
      <c r="PI36" s="246"/>
      <c r="PJ36" s="246"/>
      <c r="PK36" s="246"/>
      <c r="PL36" s="243">
        <f t="shared" si="139"/>
        <v>0</v>
      </c>
      <c r="PM36" s="247"/>
      <c r="PN36" s="246"/>
      <c r="PO36" s="246"/>
      <c r="PP36" s="246"/>
      <c r="PQ36" s="246"/>
      <c r="PR36" s="246"/>
      <c r="PS36" s="246"/>
      <c r="PT36" s="243">
        <f t="shared" si="198"/>
        <v>0</v>
      </c>
      <c r="PU36" s="246"/>
      <c r="PV36" s="246"/>
      <c r="PW36" s="246"/>
      <c r="PX36" s="246"/>
      <c r="PY36" s="246"/>
      <c r="PZ36" s="246"/>
      <c r="QA36" s="246"/>
      <c r="QB36" s="243">
        <f t="shared" si="199"/>
        <v>0</v>
      </c>
      <c r="QC36" s="246"/>
      <c r="QD36" s="246"/>
      <c r="QE36" s="246"/>
      <c r="QF36" s="246"/>
      <c r="QG36" s="246"/>
      <c r="QH36" s="246"/>
      <c r="QI36" s="246"/>
      <c r="QJ36" s="243">
        <f t="shared" si="200"/>
        <v>0</v>
      </c>
      <c r="QK36" s="246">
        <v>0</v>
      </c>
      <c r="QL36" s="246"/>
      <c r="QM36" s="246"/>
      <c r="QN36" s="246"/>
      <c r="QO36" s="246"/>
      <c r="QP36" s="243">
        <f t="shared" si="201"/>
        <v>0</v>
      </c>
      <c r="QQ36" s="243">
        <f t="shared" si="140"/>
        <v>0</v>
      </c>
      <c r="QR36" s="246"/>
      <c r="QS36" s="246"/>
      <c r="QT36" s="246"/>
      <c r="QU36" s="246"/>
      <c r="QV36" s="243">
        <f t="shared" si="202"/>
        <v>0</v>
      </c>
      <c r="QW36" s="246"/>
      <c r="QX36" s="246"/>
      <c r="QY36" s="246"/>
      <c r="QZ36" s="246"/>
      <c r="RA36" s="246"/>
      <c r="RB36" s="246"/>
      <c r="RC36" s="246"/>
      <c r="RD36" s="243">
        <f t="shared" si="203"/>
        <v>0</v>
      </c>
      <c r="RE36" s="300"/>
      <c r="RF36" s="259">
        <f t="shared" si="101"/>
        <v>0</v>
      </c>
      <c r="RG36" s="259">
        <f t="shared" si="141"/>
        <v>615.95999999999992</v>
      </c>
      <c r="RH36" s="259">
        <f t="shared" si="142"/>
        <v>739.15199999999982</v>
      </c>
      <c r="RI36" s="256">
        <f t="shared" si="143"/>
        <v>12500</v>
      </c>
    </row>
    <row r="37" spans="1:478">
      <c r="A37" s="5" t="s">
        <v>79</v>
      </c>
      <c r="B37" s="263">
        <v>81.358640080181004</v>
      </c>
      <c r="C37" s="246">
        <v>86.467090000000013</v>
      </c>
      <c r="D37" s="246">
        <v>480.20572631930696</v>
      </c>
      <c r="E37" s="246">
        <v>377.64328999999998</v>
      </c>
      <c r="F37" s="246">
        <v>379.99998803092001</v>
      </c>
      <c r="G37" s="243">
        <v>383.00626000000005</v>
      </c>
      <c r="H37" s="243">
        <f t="shared" si="144"/>
        <v>459.6075120000001</v>
      </c>
      <c r="I37" s="246">
        <v>373</v>
      </c>
      <c r="J37" s="246">
        <v>153.18589036223199</v>
      </c>
      <c r="K37" s="246">
        <v>130.91792999999899</v>
      </c>
      <c r="L37" s="246">
        <v>154.88068057214599</v>
      </c>
      <c r="M37" s="246">
        <v>117.96201000000001</v>
      </c>
      <c r="N37" s="246">
        <v>118</v>
      </c>
      <c r="O37" s="246">
        <v>80.851050000000001</v>
      </c>
      <c r="P37" s="243">
        <f t="shared" si="145"/>
        <v>97.021260000000012</v>
      </c>
      <c r="Q37" s="246">
        <v>115</v>
      </c>
      <c r="R37" s="246">
        <v>187.37847558264099</v>
      </c>
      <c r="S37" s="246">
        <v>119.720789999999</v>
      </c>
      <c r="T37" s="246">
        <v>119.720663197505</v>
      </c>
      <c r="U37" s="246">
        <v>119.78514000000001</v>
      </c>
      <c r="V37" s="246">
        <v>120.06298621830599</v>
      </c>
      <c r="W37" s="246">
        <v>97.655450000000002</v>
      </c>
      <c r="X37" s="243">
        <f t="shared" si="146"/>
        <v>117.18653999999999</v>
      </c>
      <c r="Y37" s="246">
        <v>119.78514000000001</v>
      </c>
      <c r="Z37" s="246">
        <v>76.520753978803995</v>
      </c>
      <c r="AA37" s="246">
        <v>75.143579999999005</v>
      </c>
      <c r="AB37" s="246">
        <v>88.143502070425995</v>
      </c>
      <c r="AC37" s="246">
        <v>81.055149999999998</v>
      </c>
      <c r="AD37" s="246">
        <v>87.200716553931002</v>
      </c>
      <c r="AE37" s="246">
        <v>60.291909999999994</v>
      </c>
      <c r="AF37" s="243">
        <f t="shared" si="147"/>
        <v>72.350291999999996</v>
      </c>
      <c r="AG37" s="246">
        <v>80</v>
      </c>
      <c r="AH37" s="246">
        <v>28.592603548593999</v>
      </c>
      <c r="AI37" s="246">
        <v>5.2503399999979994</v>
      </c>
      <c r="AJ37" s="246">
        <v>6.2503344390920006</v>
      </c>
      <c r="AK37" s="246">
        <v>42.77955</v>
      </c>
      <c r="AL37" s="246">
        <v>54.999998267631</v>
      </c>
      <c r="AM37" s="246">
        <v>7.3767599999999991</v>
      </c>
      <c r="AN37" s="243">
        <f t="shared" si="148"/>
        <v>8.8521119999999982</v>
      </c>
      <c r="AO37" s="246">
        <v>40</v>
      </c>
      <c r="AP37" s="246">
        <v>18.370414194379002</v>
      </c>
      <c r="AQ37" s="246">
        <v>12.087459999999</v>
      </c>
      <c r="AR37" s="246">
        <v>12.087447197544</v>
      </c>
      <c r="AS37" s="246">
        <v>14.75806</v>
      </c>
      <c r="AT37" s="246">
        <v>11.999999622029</v>
      </c>
      <c r="AU37" s="246">
        <v>10.909640000000001</v>
      </c>
      <c r="AV37" s="243">
        <f t="shared" si="149"/>
        <v>13.091568000000001</v>
      </c>
      <c r="AW37" s="246">
        <v>14.75806</v>
      </c>
      <c r="AX37" s="246">
        <v>900.60929747946898</v>
      </c>
      <c r="AY37" s="246">
        <v>679.20750999999802</v>
      </c>
      <c r="AZ37" s="246">
        <v>849.19306463147097</v>
      </c>
      <c r="BA37" s="246">
        <v>422.58138000000099</v>
      </c>
      <c r="BB37" s="246">
        <v>448.999985857588</v>
      </c>
      <c r="BC37" s="246">
        <v>356.04295999999994</v>
      </c>
      <c r="BD37" s="243">
        <f t="shared" si="150"/>
        <v>427.25155199999989</v>
      </c>
      <c r="BE37" s="246">
        <v>422.58138000000099</v>
      </c>
      <c r="BF37" s="246">
        <v>989.56605275193988</v>
      </c>
      <c r="BG37" s="246">
        <v>988.32217999999921</v>
      </c>
      <c r="BH37" s="246">
        <v>994.32113985230603</v>
      </c>
      <c r="BI37" s="246">
        <v>1241.3594500000008</v>
      </c>
      <c r="BJ37" s="246">
        <v>1288.2277568916559</v>
      </c>
      <c r="BK37" s="246">
        <v>1091.3443000000002</v>
      </c>
      <c r="BL37" s="243">
        <f t="shared" si="151"/>
        <v>1309.6131600000003</v>
      </c>
      <c r="BM37" s="246">
        <v>1300</v>
      </c>
      <c r="BN37" s="246">
        <v>381.54791872101299</v>
      </c>
      <c r="BO37" s="246">
        <v>331.07950999999997</v>
      </c>
      <c r="BP37" s="246">
        <v>538.07915933653101</v>
      </c>
      <c r="BQ37" s="246">
        <v>457.00738999999999</v>
      </c>
      <c r="BR37" s="246">
        <v>505.99998721198301</v>
      </c>
      <c r="BS37" s="246">
        <v>369.99451999999997</v>
      </c>
      <c r="BT37" s="243">
        <f t="shared" si="152"/>
        <v>443.993424</v>
      </c>
      <c r="BU37" s="246">
        <v>410</v>
      </c>
      <c r="BV37" s="246">
        <v>405.43484796186203</v>
      </c>
      <c r="BW37" s="246">
        <v>447.70508999999902</v>
      </c>
      <c r="BX37" s="246">
        <v>713.70462576566092</v>
      </c>
      <c r="BY37" s="246">
        <v>440.72635999999994</v>
      </c>
      <c r="BZ37" s="246">
        <v>997.112230302439</v>
      </c>
      <c r="CA37" s="246">
        <v>608.86276999999893</v>
      </c>
      <c r="CB37" s="243">
        <f t="shared" si="153"/>
        <v>730.63532399999872</v>
      </c>
      <c r="CC37" s="246">
        <v>850</v>
      </c>
      <c r="CD37" s="246">
        <v>20.909089401054</v>
      </c>
      <c r="CE37" s="246">
        <v>16.233809999999</v>
      </c>
      <c r="CF37" s="246">
        <v>16.233792805928001</v>
      </c>
      <c r="CG37" s="246">
        <v>11.174060000000001</v>
      </c>
      <c r="CH37" s="246">
        <v>15.999999496036999</v>
      </c>
      <c r="CI37" s="246">
        <v>10.363610000000001</v>
      </c>
      <c r="CJ37" s="243">
        <f t="shared" si="154"/>
        <v>12.436332</v>
      </c>
      <c r="CK37" s="246">
        <v>13</v>
      </c>
      <c r="CL37" s="246">
        <v>10.324066985249999</v>
      </c>
      <c r="CM37" s="246">
        <v>4.8883999999989998</v>
      </c>
      <c r="CN37" s="246">
        <v>5.8883948224410005</v>
      </c>
      <c r="CO37" s="246">
        <v>8.8496300000000012</v>
      </c>
      <c r="CP37" s="246">
        <v>4.9999998425119996</v>
      </c>
      <c r="CQ37" s="246">
        <v>2.2637400000000003</v>
      </c>
      <c r="CR37" s="243">
        <f t="shared" si="155"/>
        <v>2.716488</v>
      </c>
      <c r="CS37" s="246">
        <v>5</v>
      </c>
      <c r="CT37" s="246">
        <v>4.592603548594</v>
      </c>
      <c r="CU37" s="246">
        <v>1.2679599999989999</v>
      </c>
      <c r="CV37" s="246">
        <v>1.2679586570370001</v>
      </c>
      <c r="CW37" s="246">
        <v>3.4934599999999998</v>
      </c>
      <c r="CX37" s="246">
        <v>3.4934598899639999</v>
      </c>
      <c r="CY37" s="246">
        <v>1.81606</v>
      </c>
      <c r="CZ37" s="243">
        <f t="shared" si="156"/>
        <v>2.1792720000000001</v>
      </c>
      <c r="DA37" s="246">
        <v>3.4934599999999998</v>
      </c>
      <c r="DB37" s="246">
        <v>19.446365088623999</v>
      </c>
      <c r="DC37" s="246">
        <v>9.9211599999990003</v>
      </c>
      <c r="DD37" s="246">
        <v>9.921149491984</v>
      </c>
      <c r="DE37" s="246">
        <v>2.1671299999999998</v>
      </c>
      <c r="DF37" s="246">
        <v>9.9999996850229991</v>
      </c>
      <c r="DG37" s="246">
        <v>0</v>
      </c>
      <c r="DH37" s="243">
        <f t="shared" si="157"/>
        <v>0</v>
      </c>
      <c r="DI37" s="246">
        <v>0</v>
      </c>
      <c r="DJ37" s="246">
        <v>0</v>
      </c>
      <c r="DK37" s="246">
        <v>7.8089999999000001E-2</v>
      </c>
      <c r="DL37" s="246">
        <v>7.8089917290000005E-2</v>
      </c>
      <c r="DM37" s="246">
        <v>0</v>
      </c>
      <c r="DN37" s="246"/>
      <c r="DO37" s="246"/>
      <c r="DP37" s="243">
        <f t="shared" si="158"/>
        <v>0</v>
      </c>
      <c r="DQ37" s="246">
        <v>0</v>
      </c>
      <c r="DR37" s="246">
        <v>78.406842246870994</v>
      </c>
      <c r="DS37" s="246">
        <v>71.610799999999003</v>
      </c>
      <c r="DT37" s="246">
        <v>76.610732447729006</v>
      </c>
      <c r="DU37" s="246">
        <v>75.71023000000001</v>
      </c>
      <c r="DV37" s="246">
        <v>121.999997732173</v>
      </c>
      <c r="DW37" s="246">
        <v>83.124079999999992</v>
      </c>
      <c r="DX37" s="243">
        <f t="shared" si="159"/>
        <v>99.748896000000002</v>
      </c>
      <c r="DY37" s="246">
        <v>120</v>
      </c>
      <c r="DZ37" s="246">
        <v>30.311229020719001</v>
      </c>
      <c r="EA37" s="246">
        <v>39.645910000000001</v>
      </c>
      <c r="EB37" s="246">
        <v>39.645868008958999</v>
      </c>
      <c r="EC37" s="246">
        <v>41.23124</v>
      </c>
      <c r="ED37" s="246">
        <v>39.999998740095002</v>
      </c>
      <c r="EE37" s="246">
        <v>37.490940000000002</v>
      </c>
      <c r="EF37" s="243">
        <f t="shared" si="160"/>
        <v>44.989128000000008</v>
      </c>
      <c r="EG37" s="246">
        <v>40</v>
      </c>
      <c r="EH37" s="246">
        <v>4.6892899390910001</v>
      </c>
      <c r="EI37" s="246">
        <v>0.10800999999999999</v>
      </c>
      <c r="EJ37" s="246">
        <v>0.108009885601</v>
      </c>
      <c r="EK37" s="246">
        <v>0.27888000000000002</v>
      </c>
      <c r="EL37" s="246">
        <v>0.27887999121500001</v>
      </c>
      <c r="EM37" s="246">
        <v>0</v>
      </c>
      <c r="EN37" s="243">
        <f t="shared" si="161"/>
        <v>0</v>
      </c>
      <c r="EO37" s="246">
        <v>0.27888000000000002</v>
      </c>
      <c r="EP37" s="246">
        <v>7</v>
      </c>
      <c r="EQ37" s="246">
        <v>11.908609999998998</v>
      </c>
      <c r="ER37" s="246">
        <v>12.908599045862001</v>
      </c>
      <c r="ES37" s="246">
        <v>15.786849999999998</v>
      </c>
      <c r="ET37" s="246">
        <v>17.903139436094001</v>
      </c>
      <c r="EU37" s="246">
        <v>14.84939</v>
      </c>
      <c r="EV37" s="243">
        <f t="shared" si="162"/>
        <v>17.819268000000001</v>
      </c>
      <c r="EW37" s="246">
        <v>18</v>
      </c>
      <c r="EX37" s="246">
        <v>37.600105171801999</v>
      </c>
      <c r="EY37" s="246">
        <v>48.732749999999001</v>
      </c>
      <c r="EZ37" s="246">
        <v>49.732705020170002</v>
      </c>
      <c r="FA37" s="246">
        <v>32.348379999999999</v>
      </c>
      <c r="FB37" s="246">
        <v>45.999999055072003</v>
      </c>
      <c r="FC37" s="246">
        <v>32.021979999999999</v>
      </c>
      <c r="FD37" s="243">
        <f t="shared" si="163"/>
        <v>38.426376000000005</v>
      </c>
      <c r="FE37" s="246">
        <v>40</v>
      </c>
      <c r="FF37" s="246">
        <v>19.106320922045999</v>
      </c>
      <c r="FG37" s="246">
        <v>41.220089999999999</v>
      </c>
      <c r="FH37" s="246">
        <v>41.220046341665004</v>
      </c>
      <c r="FI37" s="246">
        <v>115.64540999999998</v>
      </c>
      <c r="FJ37" s="246">
        <v>121.99999615729399</v>
      </c>
      <c r="FK37" s="246">
        <v>20.457509999999999</v>
      </c>
      <c r="FL37" s="243">
        <f t="shared" si="164"/>
        <v>24.549012000000001</v>
      </c>
      <c r="FM37" s="246">
        <v>80</v>
      </c>
      <c r="FN37" s="246">
        <v>18.370414194492</v>
      </c>
      <c r="FO37" s="246">
        <v>0.29160999999999998</v>
      </c>
      <c r="FP37" s="246">
        <v>0.29160969114000002</v>
      </c>
      <c r="FQ37" s="246">
        <v>0.99486999999999992</v>
      </c>
      <c r="FR37" s="246">
        <v>0.99999996850200001</v>
      </c>
      <c r="FS37" s="246">
        <v>0</v>
      </c>
      <c r="FT37" s="243">
        <f t="shared" si="165"/>
        <v>0</v>
      </c>
      <c r="FU37" s="246">
        <v>0.99486999999999992</v>
      </c>
      <c r="FV37" s="246">
        <v>0.91849790972099998</v>
      </c>
      <c r="FW37" s="246">
        <v>0.22645999999999999</v>
      </c>
      <c r="FX37" s="246">
        <v>0.22645976014399999</v>
      </c>
      <c r="FY37" s="246">
        <v>0</v>
      </c>
      <c r="FZ37" s="246"/>
      <c r="GA37" s="246"/>
      <c r="GB37" s="243">
        <f t="shared" si="166"/>
        <v>0</v>
      </c>
      <c r="GC37" s="246">
        <v>0</v>
      </c>
      <c r="GD37" s="246">
        <v>0.91849790972099998</v>
      </c>
      <c r="GE37" s="246">
        <v>0.48019000000000001</v>
      </c>
      <c r="GF37" s="246">
        <v>1.480189491405</v>
      </c>
      <c r="GG37" s="246">
        <v>0.72424000000000011</v>
      </c>
      <c r="GH37" s="246">
        <v>1.28195995962</v>
      </c>
      <c r="GI37" s="246">
        <v>0.27888000000000002</v>
      </c>
      <c r="GJ37" s="243">
        <f t="shared" si="167"/>
        <v>0.33465600000000006</v>
      </c>
      <c r="GK37" s="246">
        <v>0.72424000000000011</v>
      </c>
      <c r="GL37" s="246">
        <v>3</v>
      </c>
      <c r="GM37" s="246">
        <v>2.5098799999989998</v>
      </c>
      <c r="GN37" s="246">
        <v>2.5098773416559998</v>
      </c>
      <c r="GO37" s="246">
        <v>1.39436</v>
      </c>
      <c r="GP37" s="246">
        <v>2.9999999055069999</v>
      </c>
      <c r="GQ37" s="246">
        <v>1.67327</v>
      </c>
      <c r="GR37" s="243">
        <f t="shared" si="168"/>
        <v>2.007924</v>
      </c>
      <c r="GS37" s="246">
        <f>3+1</f>
        <v>4</v>
      </c>
      <c r="GT37" s="246">
        <v>2.755607729152</v>
      </c>
      <c r="GU37" s="246">
        <v>1.576009999999</v>
      </c>
      <c r="GV37" s="246">
        <v>1.576008330766</v>
      </c>
      <c r="GW37" s="246">
        <v>4.3874599999999999</v>
      </c>
      <c r="GX37" s="246">
        <v>10</v>
      </c>
      <c r="GY37" s="246">
        <v>4.2688799999999993</v>
      </c>
      <c r="GZ37" s="243">
        <f t="shared" si="169"/>
        <v>5.1226559999999992</v>
      </c>
      <c r="HA37" s="246">
        <v>5</v>
      </c>
      <c r="HB37" s="246">
        <v>1881.5816728465909</v>
      </c>
      <c r="HC37" s="246">
        <v>2117.5948500000018</v>
      </c>
      <c r="HD37" s="246">
        <v>3917.8563265389103</v>
      </c>
      <c r="HE37" s="246">
        <v>4101.7459200000012</v>
      </c>
      <c r="HF37" s="246">
        <v>4217.9998671432204</v>
      </c>
      <c r="HG37" s="246">
        <v>2481.6458799999996</v>
      </c>
      <c r="HH37" s="243">
        <f t="shared" si="170"/>
        <v>2977.9750559999993</v>
      </c>
      <c r="HI37" s="246">
        <v>4218</v>
      </c>
      <c r="HJ37" s="246"/>
      <c r="HK37" s="246"/>
      <c r="HL37" s="246"/>
      <c r="HM37" s="246"/>
      <c r="HN37" s="246"/>
      <c r="HO37" s="246"/>
      <c r="HP37" s="243">
        <f t="shared" si="171"/>
        <v>0</v>
      </c>
      <c r="HQ37" s="246"/>
      <c r="HR37" s="246">
        <v>16.370278495316001</v>
      </c>
      <c r="HS37" s="246">
        <v>7.7480499999989991</v>
      </c>
      <c r="HT37" s="246">
        <v>9.7480434525259998</v>
      </c>
      <c r="HU37" s="246">
        <v>6.8714899999999997</v>
      </c>
      <c r="HV37" s="246">
        <v>7.9999997480190004</v>
      </c>
      <c r="HW37" s="246">
        <v>7.9972500000000002</v>
      </c>
      <c r="HX37" s="243">
        <f t="shared" si="172"/>
        <v>9.5967000000000002</v>
      </c>
      <c r="HY37" s="246">
        <v>8</v>
      </c>
      <c r="HZ37" s="246">
        <v>14.624184562593999</v>
      </c>
      <c r="IA37" s="246">
        <v>7.3499499999990006</v>
      </c>
      <c r="IB37" s="246">
        <v>8.3499422152859992</v>
      </c>
      <c r="IC37" s="246">
        <v>5.9904200000000003</v>
      </c>
      <c r="ID37" s="246">
        <v>8.631225361748001</v>
      </c>
      <c r="IE37" s="246">
        <v>8.4882299999999997</v>
      </c>
      <c r="IF37" s="243">
        <f t="shared" si="173"/>
        <v>10.185876</v>
      </c>
      <c r="IG37" s="246">
        <v>10</v>
      </c>
      <c r="IH37" s="246">
        <v>16455.782009457751</v>
      </c>
      <c r="II37" s="246">
        <v>19310.51154000001</v>
      </c>
      <c r="IJ37" s="246">
        <v>21810.494021809405</v>
      </c>
      <c r="IK37" s="246">
        <v>20563.133800000011</v>
      </c>
      <c r="IL37" s="246">
        <v>21576.783345225689</v>
      </c>
      <c r="IM37" s="246">
        <v>16272.818830000006</v>
      </c>
      <c r="IN37" s="243">
        <f t="shared" si="174"/>
        <v>19527.382596000007</v>
      </c>
      <c r="IO37" s="246">
        <v>21500</v>
      </c>
      <c r="IP37" s="246">
        <v>53999.951314979779</v>
      </c>
      <c r="IQ37" s="246">
        <v>52563.649500000029</v>
      </c>
      <c r="IR37" s="246">
        <v>57303.94870313783</v>
      </c>
      <c r="IS37" s="246">
        <v>58945.064110000014</v>
      </c>
      <c r="IT37" s="246">
        <v>58261.86077155864</v>
      </c>
      <c r="IU37" s="246">
        <v>52348.088190000017</v>
      </c>
      <c r="IV37" s="243">
        <f t="shared" si="175"/>
        <v>62817.70582800002</v>
      </c>
      <c r="IW37" s="246">
        <v>58300</v>
      </c>
      <c r="IX37" s="246"/>
      <c r="IY37" s="246"/>
      <c r="IZ37" s="246"/>
      <c r="JA37" s="246"/>
      <c r="JB37" s="246"/>
      <c r="JC37" s="246"/>
      <c r="JD37" s="243">
        <f t="shared" si="176"/>
        <v>0</v>
      </c>
      <c r="JE37" s="246"/>
      <c r="JF37" s="246">
        <v>18960.881695857592</v>
      </c>
      <c r="JG37" s="246">
        <v>18707.046430000006</v>
      </c>
      <c r="JH37" s="246">
        <v>18632.031803740461</v>
      </c>
      <c r="JI37" s="246">
        <v>18115.115720000013</v>
      </c>
      <c r="JJ37" s="246">
        <v>17232.999457202211</v>
      </c>
      <c r="JK37" s="246">
        <v>13331.456920000002</v>
      </c>
      <c r="JL37" s="243">
        <f t="shared" si="177"/>
        <v>15997.748304000004</v>
      </c>
      <c r="JM37" s="246">
        <v>17200</v>
      </c>
      <c r="JN37" s="246"/>
      <c r="JO37" s="246"/>
      <c r="JP37" s="246"/>
      <c r="JQ37" s="246"/>
      <c r="JR37" s="246"/>
      <c r="JS37" s="246"/>
      <c r="JT37" s="243">
        <f t="shared" si="178"/>
        <v>0</v>
      </c>
      <c r="JU37" s="246"/>
      <c r="JV37" s="246">
        <v>3606.743538460958</v>
      </c>
      <c r="JW37" s="246">
        <v>3687.2382600000014</v>
      </c>
      <c r="JX37" s="246">
        <v>3722.298462975557</v>
      </c>
      <c r="JY37" s="246">
        <v>3742.5642500000008</v>
      </c>
      <c r="JZ37" s="246">
        <v>3085.9999027984818</v>
      </c>
      <c r="KA37" s="246">
        <v>2557.2557100000004</v>
      </c>
      <c r="KB37" s="243">
        <f t="shared" si="179"/>
        <v>3068.7068520000003</v>
      </c>
      <c r="KC37" s="246">
        <v>3075</v>
      </c>
      <c r="KD37" s="246">
        <v>970.64038025406296</v>
      </c>
      <c r="KE37" s="246">
        <v>965.7765700000009</v>
      </c>
      <c r="KF37" s="246">
        <v>956.77569307812905</v>
      </c>
      <c r="KG37" s="246">
        <v>859.67827</v>
      </c>
      <c r="KH37" s="246">
        <v>1024.9999677149799</v>
      </c>
      <c r="KI37" s="246">
        <v>481.59068000000002</v>
      </c>
      <c r="KJ37" s="243">
        <f t="shared" si="180"/>
        <v>577.90881600000012</v>
      </c>
      <c r="KK37" s="246">
        <v>900</v>
      </c>
      <c r="KL37" s="246"/>
      <c r="KM37" s="246"/>
      <c r="KN37" s="246"/>
      <c r="KO37" s="246"/>
      <c r="KP37" s="246"/>
      <c r="KQ37" s="246"/>
      <c r="KR37" s="243">
        <f t="shared" si="181"/>
        <v>0</v>
      </c>
      <c r="KS37" s="246"/>
      <c r="KT37" s="246">
        <v>14004.409454037799</v>
      </c>
      <c r="KU37" s="246">
        <v>16473.505820000009</v>
      </c>
      <c r="KV37" s="246">
        <v>17069.991120591501</v>
      </c>
      <c r="KW37" s="246">
        <v>17143.07002000001</v>
      </c>
      <c r="KX37" s="246">
        <v>18699.999551159501</v>
      </c>
      <c r="KY37" s="246">
        <v>14934.067369999999</v>
      </c>
      <c r="KZ37" s="243">
        <f t="shared" si="182"/>
        <v>17920.880843999999</v>
      </c>
      <c r="LA37" s="246">
        <v>18700</v>
      </c>
      <c r="LB37" s="246">
        <v>19790</v>
      </c>
      <c r="LC37" s="246">
        <v>20537.825470000011</v>
      </c>
      <c r="LD37" s="246">
        <v>24037.8124911835</v>
      </c>
      <c r="LE37" s="246">
        <v>24102.12243000001</v>
      </c>
      <c r="LF37" s="246">
        <v>23987.999244436101</v>
      </c>
      <c r="LG37" s="246">
        <v>19504.608740000011</v>
      </c>
      <c r="LH37" s="243">
        <f t="shared" si="183"/>
        <v>23405.530488000011</v>
      </c>
      <c r="LI37" s="246">
        <v>23984</v>
      </c>
      <c r="LJ37" s="246">
        <v>3312.2534287511967</v>
      </c>
      <c r="LK37" s="246">
        <v>3446.2171900000026</v>
      </c>
      <c r="LL37" s="246">
        <v>5128.3060018231663</v>
      </c>
      <c r="LM37" s="246">
        <v>5265.1256400000002</v>
      </c>
      <c r="LN37" s="246">
        <v>5795.0380259999029</v>
      </c>
      <c r="LO37" s="246">
        <v>4951.2273600000017</v>
      </c>
      <c r="LP37" s="243">
        <f t="shared" si="184"/>
        <v>5941.4728320000013</v>
      </c>
      <c r="LQ37" s="247">
        <v>5800</v>
      </c>
      <c r="LR37" s="246"/>
      <c r="LS37" s="246"/>
      <c r="LT37" s="244">
        <f t="shared" si="185"/>
        <v>0</v>
      </c>
      <c r="LU37" s="246">
        <v>0</v>
      </c>
      <c r="LV37" s="246"/>
      <c r="LW37" s="246"/>
      <c r="LX37" s="246"/>
      <c r="LY37" s="246"/>
      <c r="LZ37" s="246"/>
      <c r="MA37" s="246"/>
      <c r="MB37" s="243">
        <f t="shared" si="186"/>
        <v>0</v>
      </c>
      <c r="MC37" s="246"/>
      <c r="MD37" s="246"/>
      <c r="ME37" s="246"/>
      <c r="MF37" s="246"/>
      <c r="MG37" s="246"/>
      <c r="MH37" s="246"/>
      <c r="MI37" s="246"/>
      <c r="MJ37" s="243">
        <f t="shared" si="187"/>
        <v>0</v>
      </c>
      <c r="MK37" s="246"/>
      <c r="ML37" s="246">
        <v>16.533418374936002</v>
      </c>
      <c r="MM37" s="246">
        <v>3.0923199999999995</v>
      </c>
      <c r="MN37" s="246">
        <v>2.9999950233349999</v>
      </c>
      <c r="MO37" s="246">
        <v>48.112270000000002</v>
      </c>
      <c r="MP37" s="246">
        <v>54.999998267633003</v>
      </c>
      <c r="MQ37" s="246">
        <v>9.5224599999999988</v>
      </c>
      <c r="MR37" s="243">
        <f t="shared" si="188"/>
        <v>11.426952</v>
      </c>
      <c r="MS37" s="271">
        <v>48.112270000000002</v>
      </c>
      <c r="MT37" s="246">
        <v>1312.123180418419</v>
      </c>
      <c r="MU37" s="246">
        <v>1017.81011</v>
      </c>
      <c r="MV37" s="246">
        <v>1183.0203441229469</v>
      </c>
      <c r="MW37" s="246">
        <v>1188.2052600000002</v>
      </c>
      <c r="MX37" s="246">
        <v>1117.999964785708</v>
      </c>
      <c r="MY37" s="246">
        <v>786.60818000000006</v>
      </c>
      <c r="MZ37" s="243">
        <f t="shared" si="189"/>
        <v>943.92981600000007</v>
      </c>
      <c r="NA37" s="246">
        <v>1000</v>
      </c>
      <c r="NB37" s="246"/>
      <c r="NC37" s="246"/>
      <c r="ND37" s="243">
        <f t="shared" si="190"/>
        <v>0</v>
      </c>
      <c r="NE37" s="246">
        <v>0</v>
      </c>
      <c r="NF37" s="246">
        <v>0</v>
      </c>
      <c r="NG37" s="246">
        <v>40.366330000000005</v>
      </c>
      <c r="NH37" s="246">
        <v>58.999903784494002</v>
      </c>
      <c r="NI37" s="246">
        <v>62.280280000000005</v>
      </c>
      <c r="NJ37" s="246">
        <v>62.999998015651997</v>
      </c>
      <c r="NK37" s="246">
        <v>42.66872</v>
      </c>
      <c r="NL37" s="243">
        <f t="shared" si="191"/>
        <v>51.202464000000006</v>
      </c>
      <c r="NM37" s="246">
        <v>63</v>
      </c>
      <c r="NN37" s="246"/>
      <c r="NO37" s="246"/>
      <c r="NP37" s="246"/>
      <c r="NQ37" s="246"/>
      <c r="NR37" s="246"/>
      <c r="NS37" s="246"/>
      <c r="NT37" s="243">
        <f t="shared" si="192"/>
        <v>0</v>
      </c>
      <c r="NU37" s="246"/>
      <c r="NV37" s="246"/>
      <c r="NW37" s="246"/>
      <c r="NX37" s="246"/>
      <c r="NY37" s="246"/>
      <c r="NZ37" s="246"/>
      <c r="OA37" s="246"/>
      <c r="OB37" s="243">
        <f t="shared" si="193"/>
        <v>0</v>
      </c>
      <c r="OC37" s="246"/>
      <c r="OD37" s="246">
        <v>372.49998328630301</v>
      </c>
      <c r="OE37" s="246">
        <v>284.96645000000001</v>
      </c>
      <c r="OF37" s="246">
        <v>509.96614817726402</v>
      </c>
      <c r="OG37" s="246">
        <v>343.69386999999995</v>
      </c>
      <c r="OH37" s="246">
        <v>629.99998658203197</v>
      </c>
      <c r="OI37" s="246">
        <v>454.49401999999992</v>
      </c>
      <c r="OJ37" s="243">
        <f t="shared" si="194"/>
        <v>545.39282399999991</v>
      </c>
      <c r="OK37" s="246">
        <v>600</v>
      </c>
      <c r="OL37" s="246">
        <v>175.60059119323199</v>
      </c>
      <c r="OM37" s="246">
        <v>157.94327999999899</v>
      </c>
      <c r="ON37" s="246">
        <v>301.09431411703105</v>
      </c>
      <c r="OO37" s="246">
        <v>289.87054000000001</v>
      </c>
      <c r="OP37" s="246">
        <v>461.99999099169202</v>
      </c>
      <c r="OQ37" s="246">
        <v>273.21451000000002</v>
      </c>
      <c r="OR37" s="243">
        <f t="shared" si="195"/>
        <v>327.85741200000007</v>
      </c>
      <c r="OS37" s="246">
        <v>430</v>
      </c>
      <c r="OT37" s="246">
        <v>0</v>
      </c>
      <c r="OU37" s="246">
        <v>100</v>
      </c>
      <c r="OV37" s="246"/>
      <c r="OW37" s="246"/>
      <c r="OX37" s="246">
        <v>0</v>
      </c>
      <c r="OY37" s="246">
        <v>4.5668099999999994</v>
      </c>
      <c r="OZ37" s="243">
        <f t="shared" si="196"/>
        <v>5.4801719999999996</v>
      </c>
      <c r="PA37" s="247">
        <v>0</v>
      </c>
      <c r="PB37" s="246">
        <v>0</v>
      </c>
      <c r="PC37" s="246">
        <v>418.38112000000001</v>
      </c>
      <c r="PD37" s="243">
        <f t="shared" si="197"/>
        <v>502.05734400000006</v>
      </c>
      <c r="PE37" s="247">
        <v>700</v>
      </c>
      <c r="PF37" s="246">
        <v>0</v>
      </c>
      <c r="PG37" s="246">
        <v>5254.9677999999949</v>
      </c>
      <c r="PH37" s="246">
        <v>0</v>
      </c>
      <c r="PI37" s="246">
        <v>5886.4927999999991</v>
      </c>
      <c r="PJ37" s="246">
        <v>6999.9997795169602</v>
      </c>
      <c r="PK37" s="246">
        <v>3552.9342100000003</v>
      </c>
      <c r="PL37" s="243">
        <f t="shared" si="139"/>
        <v>4263.5210520000001</v>
      </c>
      <c r="PM37" s="247">
        <v>780</v>
      </c>
      <c r="PN37" s="246">
        <v>13622.7178807163</v>
      </c>
      <c r="PO37" s="246">
        <v>737.968200000004</v>
      </c>
      <c r="PP37" s="246">
        <v>-6870.2942497556896</v>
      </c>
      <c r="PQ37" s="246">
        <v>-737.968200000004</v>
      </c>
      <c r="PR37" s="246">
        <v>576.54217662111398</v>
      </c>
      <c r="PS37" s="246">
        <v>0</v>
      </c>
      <c r="PT37" s="243">
        <f t="shared" si="198"/>
        <v>0</v>
      </c>
      <c r="PU37" s="246">
        <v>5000</v>
      </c>
      <c r="PV37" s="246">
        <v>0</v>
      </c>
      <c r="PW37" s="246">
        <v>23.286449999999</v>
      </c>
      <c r="PX37" s="246"/>
      <c r="PY37" s="246"/>
      <c r="PZ37" s="246"/>
      <c r="QA37" s="246"/>
      <c r="QB37" s="243">
        <f t="shared" si="199"/>
        <v>0</v>
      </c>
      <c r="QC37" s="246"/>
      <c r="QD37" s="246"/>
      <c r="QE37" s="246"/>
      <c r="QF37" s="246"/>
      <c r="QG37" s="246"/>
      <c r="QH37" s="246"/>
      <c r="QI37" s="246"/>
      <c r="QJ37" s="243">
        <f t="shared" si="200"/>
        <v>0</v>
      </c>
      <c r="QK37" s="246">
        <v>0</v>
      </c>
      <c r="QL37" s="246">
        <v>0</v>
      </c>
      <c r="QM37" s="246">
        <v>0</v>
      </c>
      <c r="QN37" s="246"/>
      <c r="QO37" s="246"/>
      <c r="QP37" s="243">
        <f t="shared" si="201"/>
        <v>0</v>
      </c>
      <c r="QQ37" s="243">
        <f t="shared" si="140"/>
        <v>0</v>
      </c>
      <c r="QR37" s="246"/>
      <c r="QS37" s="246"/>
      <c r="QT37" s="246"/>
      <c r="QU37" s="246"/>
      <c r="QV37" s="243">
        <f t="shared" si="202"/>
        <v>0</v>
      </c>
      <c r="QW37" s="246"/>
      <c r="QX37" s="246"/>
      <c r="QY37" s="246"/>
      <c r="QZ37" s="246"/>
      <c r="RA37" s="246"/>
      <c r="RB37" s="246"/>
      <c r="RC37" s="246"/>
      <c r="RD37" s="243">
        <f t="shared" si="203"/>
        <v>0</v>
      </c>
      <c r="RE37" s="300"/>
      <c r="RF37" s="259">
        <f t="shared" si="101"/>
        <v>168215.41433194492</v>
      </c>
      <c r="RG37" s="259">
        <f t="shared" si="141"/>
        <v>135696.57915000001</v>
      </c>
      <c r="RH37" s="259">
        <f t="shared" si="142"/>
        <v>162835.89498000001</v>
      </c>
      <c r="RI37" s="256">
        <f t="shared" si="143"/>
        <v>166371.72829999996</v>
      </c>
    </row>
    <row r="38" spans="1:478">
      <c r="A38" s="5" t="s">
        <v>100</v>
      </c>
      <c r="B38" s="263"/>
      <c r="C38" s="246"/>
      <c r="D38" s="246"/>
      <c r="E38" s="246"/>
      <c r="F38" s="246"/>
      <c r="G38" s="243"/>
      <c r="H38" s="243">
        <f t="shared" si="144"/>
        <v>0</v>
      </c>
      <c r="I38" s="246"/>
      <c r="J38" s="246"/>
      <c r="K38" s="246"/>
      <c r="L38" s="246"/>
      <c r="M38" s="246"/>
      <c r="N38" s="246"/>
      <c r="O38" s="246"/>
      <c r="P38" s="243">
        <f t="shared" si="145"/>
        <v>0</v>
      </c>
      <c r="Q38" s="246"/>
      <c r="R38" s="246">
        <v>1235.08120349512</v>
      </c>
      <c r="S38" s="246">
        <v>840.39428999999905</v>
      </c>
      <c r="T38" s="246">
        <v>911.585975732272</v>
      </c>
      <c r="U38" s="246">
        <v>828.52740000000006</v>
      </c>
      <c r="V38" s="246">
        <v>960</v>
      </c>
      <c r="W38" s="246">
        <v>751.28779999999995</v>
      </c>
      <c r="X38" s="243">
        <f t="shared" si="146"/>
        <v>901.54535999999985</v>
      </c>
      <c r="Y38" s="246">
        <v>940</v>
      </c>
      <c r="Z38" s="246"/>
      <c r="AA38" s="246"/>
      <c r="AB38" s="246"/>
      <c r="AC38" s="246"/>
      <c r="AD38" s="246"/>
      <c r="AE38" s="246"/>
      <c r="AF38" s="243">
        <f t="shared" si="147"/>
        <v>0</v>
      </c>
      <c r="AG38" s="246"/>
      <c r="AH38" s="246">
        <v>503.08739576376098</v>
      </c>
      <c r="AI38" s="246">
        <v>173.69900000000001</v>
      </c>
      <c r="AJ38" s="246">
        <v>327.41341690776397</v>
      </c>
      <c r="AK38" s="246">
        <v>362.06252000000006</v>
      </c>
      <c r="AL38" s="246">
        <v>373.99998821990602</v>
      </c>
      <c r="AM38" s="246">
        <v>140.97131999999999</v>
      </c>
      <c r="AN38" s="243">
        <f t="shared" si="148"/>
        <v>169.16558399999997</v>
      </c>
      <c r="AO38" s="246">
        <v>350</v>
      </c>
      <c r="AP38" s="246"/>
      <c r="AQ38" s="246"/>
      <c r="AR38" s="246"/>
      <c r="AS38" s="246"/>
      <c r="AT38" s="246"/>
      <c r="AU38" s="246"/>
      <c r="AV38" s="243">
        <f t="shared" si="149"/>
        <v>0</v>
      </c>
      <c r="AW38" s="246"/>
      <c r="AX38" s="246"/>
      <c r="AY38" s="246"/>
      <c r="AZ38" s="246"/>
      <c r="BA38" s="246"/>
      <c r="BB38" s="246"/>
      <c r="BC38" s="246"/>
      <c r="BD38" s="243">
        <f t="shared" si="150"/>
        <v>0</v>
      </c>
      <c r="BE38" s="246"/>
      <c r="BF38" s="246"/>
      <c r="BG38" s="246"/>
      <c r="BH38" s="246"/>
      <c r="BI38" s="246"/>
      <c r="BJ38" s="246"/>
      <c r="BK38" s="246"/>
      <c r="BL38" s="243">
        <f t="shared" si="151"/>
        <v>0</v>
      </c>
      <c r="BM38" s="246"/>
      <c r="BN38" s="246"/>
      <c r="BO38" s="246"/>
      <c r="BP38" s="246"/>
      <c r="BQ38" s="246"/>
      <c r="BR38" s="246"/>
      <c r="BS38" s="246"/>
      <c r="BT38" s="243">
        <f t="shared" si="152"/>
        <v>0</v>
      </c>
      <c r="BU38" s="246"/>
      <c r="BV38" s="246">
        <v>1.900162989419</v>
      </c>
      <c r="BW38" s="246">
        <v>0</v>
      </c>
      <c r="BX38" s="246"/>
      <c r="BY38" s="246"/>
      <c r="BZ38" s="246"/>
      <c r="CA38" s="246"/>
      <c r="CB38" s="243">
        <f t="shared" si="153"/>
        <v>0</v>
      </c>
      <c r="CC38" s="246"/>
      <c r="CD38" s="246"/>
      <c r="CE38" s="246"/>
      <c r="CF38" s="246"/>
      <c r="CG38" s="246"/>
      <c r="CH38" s="246"/>
      <c r="CI38" s="246"/>
      <c r="CJ38" s="243">
        <f t="shared" si="154"/>
        <v>0</v>
      </c>
      <c r="CK38" s="246"/>
      <c r="CL38" s="246"/>
      <c r="CM38" s="246"/>
      <c r="CN38" s="246"/>
      <c r="CO38" s="246"/>
      <c r="CP38" s="246"/>
      <c r="CQ38" s="246"/>
      <c r="CR38" s="243">
        <f t="shared" si="155"/>
        <v>0</v>
      </c>
      <c r="CS38" s="246"/>
      <c r="CT38" s="246"/>
      <c r="CU38" s="246"/>
      <c r="CV38" s="246"/>
      <c r="CW38" s="246"/>
      <c r="CX38" s="246"/>
      <c r="CY38" s="246"/>
      <c r="CZ38" s="243">
        <f t="shared" si="156"/>
        <v>0</v>
      </c>
      <c r="DA38" s="246"/>
      <c r="DB38" s="246"/>
      <c r="DC38" s="246"/>
      <c r="DD38" s="246"/>
      <c r="DE38" s="246"/>
      <c r="DF38" s="246"/>
      <c r="DG38" s="246"/>
      <c r="DH38" s="243">
        <f t="shared" si="157"/>
        <v>0</v>
      </c>
      <c r="DI38" s="246"/>
      <c r="DJ38" s="246"/>
      <c r="DK38" s="246"/>
      <c r="DL38" s="246"/>
      <c r="DM38" s="246"/>
      <c r="DN38" s="246"/>
      <c r="DO38" s="246"/>
      <c r="DP38" s="243">
        <f t="shared" si="158"/>
        <v>0</v>
      </c>
      <c r="DQ38" s="246"/>
      <c r="DR38" s="246"/>
      <c r="DS38" s="246"/>
      <c r="DT38" s="246"/>
      <c r="DU38" s="246"/>
      <c r="DV38" s="246"/>
      <c r="DW38" s="246"/>
      <c r="DX38" s="243">
        <f t="shared" si="159"/>
        <v>0</v>
      </c>
      <c r="DY38" s="246"/>
      <c r="DZ38" s="246"/>
      <c r="EA38" s="246"/>
      <c r="EB38" s="246"/>
      <c r="EC38" s="246"/>
      <c r="ED38" s="246"/>
      <c r="EE38" s="246"/>
      <c r="EF38" s="243">
        <f t="shared" si="160"/>
        <v>0</v>
      </c>
      <c r="EG38" s="246"/>
      <c r="EH38" s="246"/>
      <c r="EI38" s="246"/>
      <c r="EJ38" s="246"/>
      <c r="EK38" s="246"/>
      <c r="EL38" s="246"/>
      <c r="EM38" s="246"/>
      <c r="EN38" s="243">
        <f t="shared" si="161"/>
        <v>0</v>
      </c>
      <c r="EO38" s="246"/>
      <c r="EP38" s="246"/>
      <c r="EQ38" s="246"/>
      <c r="ER38" s="246"/>
      <c r="ES38" s="246"/>
      <c r="ET38" s="246"/>
      <c r="EU38" s="246"/>
      <c r="EV38" s="243">
        <f t="shared" si="162"/>
        <v>0</v>
      </c>
      <c r="EW38" s="246"/>
      <c r="EX38" s="246"/>
      <c r="EY38" s="246"/>
      <c r="EZ38" s="246"/>
      <c r="FA38" s="246"/>
      <c r="FB38" s="246"/>
      <c r="FC38" s="246"/>
      <c r="FD38" s="243">
        <f t="shared" si="163"/>
        <v>0</v>
      </c>
      <c r="FE38" s="246"/>
      <c r="FF38" s="246"/>
      <c r="FG38" s="246"/>
      <c r="FH38" s="246"/>
      <c r="FI38" s="246"/>
      <c r="FJ38" s="246"/>
      <c r="FK38" s="246"/>
      <c r="FL38" s="243">
        <f t="shared" si="164"/>
        <v>0</v>
      </c>
      <c r="FM38" s="246"/>
      <c r="FN38" s="246"/>
      <c r="FO38" s="246"/>
      <c r="FP38" s="246"/>
      <c r="FQ38" s="246"/>
      <c r="FR38" s="246"/>
      <c r="FS38" s="246"/>
      <c r="FT38" s="243">
        <f t="shared" si="165"/>
        <v>0</v>
      </c>
      <c r="FU38" s="246"/>
      <c r="FV38" s="246"/>
      <c r="FW38" s="246"/>
      <c r="FX38" s="246"/>
      <c r="FY38" s="246"/>
      <c r="FZ38" s="246"/>
      <c r="GA38" s="246"/>
      <c r="GB38" s="243">
        <f t="shared" si="166"/>
        <v>0</v>
      </c>
      <c r="GC38" s="246"/>
      <c r="GD38" s="246"/>
      <c r="GE38" s="246"/>
      <c r="GF38" s="246"/>
      <c r="GG38" s="246"/>
      <c r="GH38" s="246"/>
      <c r="GI38" s="246"/>
      <c r="GJ38" s="243">
        <f t="shared" si="167"/>
        <v>0</v>
      </c>
      <c r="GK38" s="246"/>
      <c r="GL38" s="246"/>
      <c r="GM38" s="246"/>
      <c r="GN38" s="246"/>
      <c r="GO38" s="246"/>
      <c r="GP38" s="246"/>
      <c r="GQ38" s="246"/>
      <c r="GR38" s="243">
        <f t="shared" si="168"/>
        <v>0</v>
      </c>
      <c r="GS38" s="246"/>
      <c r="GT38" s="246"/>
      <c r="GU38" s="246"/>
      <c r="GV38" s="246"/>
      <c r="GW38" s="246"/>
      <c r="GX38" s="246"/>
      <c r="GY38" s="246"/>
      <c r="GZ38" s="243">
        <f t="shared" si="169"/>
        <v>0</v>
      </c>
      <c r="HA38" s="246"/>
      <c r="HB38" s="246"/>
      <c r="HC38" s="246"/>
      <c r="HD38" s="246"/>
      <c r="HE38" s="246"/>
      <c r="HF38" s="246"/>
      <c r="HG38" s="246"/>
      <c r="HH38" s="243">
        <f t="shared" si="170"/>
        <v>0</v>
      </c>
      <c r="HI38" s="246"/>
      <c r="HJ38" s="246"/>
      <c r="HK38" s="246"/>
      <c r="HL38" s="246"/>
      <c r="HM38" s="246"/>
      <c r="HN38" s="246"/>
      <c r="HO38" s="246"/>
      <c r="HP38" s="243">
        <f t="shared" si="171"/>
        <v>0</v>
      </c>
      <c r="HQ38" s="246"/>
      <c r="HR38" s="246"/>
      <c r="HS38" s="246"/>
      <c r="HT38" s="246"/>
      <c r="HU38" s="246"/>
      <c r="HV38" s="246"/>
      <c r="HW38" s="246"/>
      <c r="HX38" s="243">
        <f t="shared" si="172"/>
        <v>0</v>
      </c>
      <c r="HY38" s="246"/>
      <c r="HZ38" s="246"/>
      <c r="IA38" s="246"/>
      <c r="IB38" s="246"/>
      <c r="IC38" s="246"/>
      <c r="ID38" s="246"/>
      <c r="IE38" s="246"/>
      <c r="IF38" s="243">
        <f t="shared" si="173"/>
        <v>0</v>
      </c>
      <c r="IG38" s="246"/>
      <c r="IH38" s="246"/>
      <c r="II38" s="246"/>
      <c r="IJ38" s="246"/>
      <c r="IK38" s="246"/>
      <c r="IL38" s="246"/>
      <c r="IM38" s="246"/>
      <c r="IN38" s="243">
        <f t="shared" si="174"/>
        <v>0</v>
      </c>
      <c r="IO38" s="246"/>
      <c r="IP38" s="246"/>
      <c r="IQ38" s="246"/>
      <c r="IR38" s="246"/>
      <c r="IS38" s="246"/>
      <c r="IT38" s="246"/>
      <c r="IU38" s="246"/>
      <c r="IV38" s="243">
        <f t="shared" si="175"/>
        <v>0</v>
      </c>
      <c r="IW38" s="246"/>
      <c r="IX38" s="246"/>
      <c r="IY38" s="246"/>
      <c r="IZ38" s="246"/>
      <c r="JA38" s="246"/>
      <c r="JB38" s="246"/>
      <c r="JC38" s="246"/>
      <c r="JD38" s="243">
        <f t="shared" si="176"/>
        <v>0</v>
      </c>
      <c r="JE38" s="246"/>
      <c r="JF38" s="246"/>
      <c r="JG38" s="246"/>
      <c r="JH38" s="246"/>
      <c r="JI38" s="246"/>
      <c r="JJ38" s="246"/>
      <c r="JK38" s="246"/>
      <c r="JL38" s="243">
        <f t="shared" si="177"/>
        <v>0</v>
      </c>
      <c r="JM38" s="246"/>
      <c r="JN38" s="246"/>
      <c r="JO38" s="246"/>
      <c r="JP38" s="246"/>
      <c r="JQ38" s="246"/>
      <c r="JR38" s="246"/>
      <c r="JS38" s="246"/>
      <c r="JT38" s="243">
        <f t="shared" si="178"/>
        <v>0</v>
      </c>
      <c r="JU38" s="246"/>
      <c r="JV38" s="246"/>
      <c r="JW38" s="246"/>
      <c r="JX38" s="246"/>
      <c r="JY38" s="246"/>
      <c r="JZ38" s="246"/>
      <c r="KA38" s="246"/>
      <c r="KB38" s="243">
        <f t="shared" si="179"/>
        <v>0</v>
      </c>
      <c r="KC38" s="246"/>
      <c r="KD38" s="246"/>
      <c r="KE38" s="246"/>
      <c r="KF38" s="246"/>
      <c r="KG38" s="246"/>
      <c r="KH38" s="246"/>
      <c r="KI38" s="246"/>
      <c r="KJ38" s="243">
        <f t="shared" si="180"/>
        <v>0</v>
      </c>
      <c r="KK38" s="246"/>
      <c r="KL38" s="246"/>
      <c r="KM38" s="246"/>
      <c r="KN38" s="246"/>
      <c r="KO38" s="246"/>
      <c r="KP38" s="246"/>
      <c r="KQ38" s="246"/>
      <c r="KR38" s="243">
        <f t="shared" si="181"/>
        <v>0</v>
      </c>
      <c r="KS38" s="246"/>
      <c r="KT38" s="246"/>
      <c r="KU38" s="246"/>
      <c r="KV38" s="246"/>
      <c r="KW38" s="246"/>
      <c r="KX38" s="246"/>
      <c r="KY38" s="246"/>
      <c r="KZ38" s="243">
        <f t="shared" si="182"/>
        <v>0</v>
      </c>
      <c r="LA38" s="246"/>
      <c r="LB38" s="246"/>
      <c r="LC38" s="246"/>
      <c r="LD38" s="246"/>
      <c r="LE38" s="246"/>
      <c r="LF38" s="246"/>
      <c r="LG38" s="246"/>
      <c r="LH38" s="243">
        <f t="shared" si="183"/>
        <v>0</v>
      </c>
      <c r="LI38" s="246"/>
      <c r="LJ38" s="246"/>
      <c r="LK38" s="246"/>
      <c r="LL38" s="246"/>
      <c r="LM38" s="246"/>
      <c r="LN38" s="246"/>
      <c r="LO38" s="246"/>
      <c r="LP38" s="243">
        <f t="shared" si="184"/>
        <v>0</v>
      </c>
      <c r="LQ38" s="246"/>
      <c r="LR38" s="246"/>
      <c r="LS38" s="246"/>
      <c r="LT38" s="244">
        <f t="shared" si="185"/>
        <v>0</v>
      </c>
      <c r="LU38" s="246">
        <v>0</v>
      </c>
      <c r="LV38" s="246"/>
      <c r="LW38" s="246"/>
      <c r="LX38" s="246"/>
      <c r="LY38" s="246"/>
      <c r="LZ38" s="246"/>
      <c r="MA38" s="246"/>
      <c r="MB38" s="243">
        <f t="shared" si="186"/>
        <v>0</v>
      </c>
      <c r="MC38" s="246"/>
      <c r="MD38" s="246"/>
      <c r="ME38" s="246"/>
      <c r="MF38" s="246"/>
      <c r="MG38" s="246"/>
      <c r="MH38" s="246"/>
      <c r="MI38" s="246"/>
      <c r="MJ38" s="243">
        <f t="shared" si="187"/>
        <v>0</v>
      </c>
      <c r="MK38" s="246"/>
      <c r="ML38" s="246"/>
      <c r="MM38" s="246"/>
      <c r="MN38" s="246"/>
      <c r="MO38" s="246"/>
      <c r="MP38" s="246"/>
      <c r="MQ38" s="246"/>
      <c r="MR38" s="243">
        <f t="shared" si="188"/>
        <v>0</v>
      </c>
      <c r="MS38" s="271"/>
      <c r="MT38" s="246"/>
      <c r="MU38" s="246"/>
      <c r="MV38" s="246"/>
      <c r="MW38" s="246"/>
      <c r="MX38" s="246"/>
      <c r="MY38" s="246"/>
      <c r="MZ38" s="243">
        <f t="shared" si="189"/>
        <v>0</v>
      </c>
      <c r="NA38" s="246"/>
      <c r="NB38" s="246"/>
      <c r="NC38" s="246"/>
      <c r="ND38" s="243">
        <f t="shared" si="190"/>
        <v>0</v>
      </c>
      <c r="NE38" s="246">
        <v>0</v>
      </c>
      <c r="NF38" s="246"/>
      <c r="NG38" s="246"/>
      <c r="NH38" s="246"/>
      <c r="NI38" s="246"/>
      <c r="NJ38" s="246"/>
      <c r="NK38" s="246"/>
      <c r="NL38" s="243">
        <f t="shared" si="191"/>
        <v>0</v>
      </c>
      <c r="NM38" s="246"/>
      <c r="NN38" s="246"/>
      <c r="NO38" s="246"/>
      <c r="NP38" s="246"/>
      <c r="NQ38" s="246"/>
      <c r="NR38" s="246"/>
      <c r="NS38" s="246"/>
      <c r="NT38" s="243">
        <f t="shared" si="192"/>
        <v>0</v>
      </c>
      <c r="NU38" s="246"/>
      <c r="NV38" s="246"/>
      <c r="NW38" s="246"/>
      <c r="NX38" s="246"/>
      <c r="NY38" s="246"/>
      <c r="NZ38" s="246"/>
      <c r="OA38" s="246"/>
      <c r="OB38" s="243">
        <f t="shared" si="193"/>
        <v>0</v>
      </c>
      <c r="OC38" s="246"/>
      <c r="OD38" s="246"/>
      <c r="OE38" s="246"/>
      <c r="OF38" s="246"/>
      <c r="OG38" s="246"/>
      <c r="OH38" s="246"/>
      <c r="OI38" s="246"/>
      <c r="OJ38" s="243">
        <f t="shared" si="194"/>
        <v>0</v>
      </c>
      <c r="OK38" s="246"/>
      <c r="OL38" s="246"/>
      <c r="OM38" s="246"/>
      <c r="ON38" s="246"/>
      <c r="OO38" s="246"/>
      <c r="OP38" s="246"/>
      <c r="OQ38" s="246"/>
      <c r="OR38" s="243">
        <f t="shared" si="195"/>
        <v>0</v>
      </c>
      <c r="OS38" s="246"/>
      <c r="OT38" s="246"/>
      <c r="OU38" s="246"/>
      <c r="OV38" s="246"/>
      <c r="OW38" s="246"/>
      <c r="OX38" s="246"/>
      <c r="OY38" s="246"/>
      <c r="OZ38" s="243">
        <f t="shared" si="196"/>
        <v>0</v>
      </c>
      <c r="PA38" s="247"/>
      <c r="PB38" s="246"/>
      <c r="PC38" s="246"/>
      <c r="PD38" s="243">
        <f t="shared" si="197"/>
        <v>0</v>
      </c>
      <c r="PE38" s="247"/>
      <c r="PF38" s="246">
        <v>0</v>
      </c>
      <c r="PG38" s="246">
        <v>40</v>
      </c>
      <c r="PH38" s="246">
        <v>0</v>
      </c>
      <c r="PI38" s="246">
        <v>35.86</v>
      </c>
      <c r="PJ38" s="246">
        <v>0</v>
      </c>
      <c r="PK38" s="246">
        <v>40</v>
      </c>
      <c r="PL38" s="243">
        <f t="shared" si="139"/>
        <v>48</v>
      </c>
      <c r="PM38" s="247"/>
      <c r="PN38" s="246">
        <v>-220.000142859021</v>
      </c>
      <c r="PO38" s="246">
        <v>0</v>
      </c>
      <c r="PP38" s="246">
        <v>-138.999975770215</v>
      </c>
      <c r="PQ38" s="246">
        <v>0</v>
      </c>
      <c r="PR38" s="246">
        <v>-120</v>
      </c>
      <c r="PS38" s="246">
        <v>0</v>
      </c>
      <c r="PT38" s="243">
        <f t="shared" si="198"/>
        <v>0</v>
      </c>
      <c r="PU38" s="246"/>
      <c r="PV38" s="246"/>
      <c r="PW38" s="246"/>
      <c r="PX38" s="246"/>
      <c r="PY38" s="246"/>
      <c r="PZ38" s="246"/>
      <c r="QA38" s="246"/>
      <c r="QB38" s="243">
        <f t="shared" si="199"/>
        <v>0</v>
      </c>
      <c r="QC38" s="246"/>
      <c r="QD38" s="246"/>
      <c r="QE38" s="246"/>
      <c r="QF38" s="246"/>
      <c r="QG38" s="246"/>
      <c r="QH38" s="246"/>
      <c r="QI38" s="246"/>
      <c r="QJ38" s="243">
        <f t="shared" si="200"/>
        <v>0</v>
      </c>
      <c r="QK38" s="246">
        <v>0</v>
      </c>
      <c r="QL38" s="246"/>
      <c r="QM38" s="246"/>
      <c r="QN38" s="246"/>
      <c r="QO38" s="246"/>
      <c r="QP38" s="243">
        <f t="shared" si="201"/>
        <v>0</v>
      </c>
      <c r="QQ38" s="243">
        <f t="shared" si="140"/>
        <v>0</v>
      </c>
      <c r="QR38" s="246"/>
      <c r="QS38" s="246"/>
      <c r="QT38" s="246"/>
      <c r="QU38" s="246"/>
      <c r="QV38" s="243">
        <f t="shared" si="202"/>
        <v>0</v>
      </c>
      <c r="QW38" s="246"/>
      <c r="QX38" s="246"/>
      <c r="QY38" s="246"/>
      <c r="QZ38" s="246"/>
      <c r="RA38" s="246"/>
      <c r="RB38" s="246"/>
      <c r="RC38" s="246"/>
      <c r="RD38" s="243">
        <f t="shared" si="203"/>
        <v>0</v>
      </c>
      <c r="RE38" s="300"/>
      <c r="RF38" s="259">
        <f t="shared" si="101"/>
        <v>1213.9999882199061</v>
      </c>
      <c r="RG38" s="259">
        <f t="shared" si="141"/>
        <v>932.25911999999994</v>
      </c>
      <c r="RH38" s="259">
        <f t="shared" si="142"/>
        <v>1118.7109439999999</v>
      </c>
      <c r="RI38" s="256">
        <f t="shared" si="143"/>
        <v>1290</v>
      </c>
    </row>
    <row r="39" spans="1:478">
      <c r="A39" s="5" t="s">
        <v>80</v>
      </c>
      <c r="B39" s="263">
        <v>6.024576592941</v>
      </c>
      <c r="C39" s="246">
        <v>23.884499999999999</v>
      </c>
      <c r="D39" s="246">
        <v>89.883333276198996</v>
      </c>
      <c r="E39" s="246">
        <v>151.73400000000001</v>
      </c>
      <c r="F39" s="246">
        <v>149.999995275364</v>
      </c>
      <c r="G39" s="243">
        <v>84.518500000000003</v>
      </c>
      <c r="H39" s="243">
        <f t="shared" si="144"/>
        <v>101.4222</v>
      </c>
      <c r="I39" s="246">
        <v>150</v>
      </c>
      <c r="J39" s="246">
        <v>6.7497991583030004</v>
      </c>
      <c r="K39" s="246">
        <v>8.2941999999979998</v>
      </c>
      <c r="L39" s="246">
        <v>8.3089700325929989</v>
      </c>
      <c r="M39" s="246">
        <v>7.7021700000000006</v>
      </c>
      <c r="N39" s="246">
        <v>8.3798697360529992</v>
      </c>
      <c r="O39" s="246">
        <v>3.0877499999999998</v>
      </c>
      <c r="P39" s="243">
        <f t="shared" si="145"/>
        <v>3.7052999999999994</v>
      </c>
      <c r="Q39" s="246">
        <v>7.7021700000000006</v>
      </c>
      <c r="R39" s="246">
        <v>8.549526881508001</v>
      </c>
      <c r="S39" s="246">
        <v>8.3312600000000003</v>
      </c>
      <c r="T39" s="246">
        <v>8.3317866874449997</v>
      </c>
      <c r="U39" s="246">
        <v>3.8010600000000005</v>
      </c>
      <c r="V39" s="246">
        <v>7.9999997480169993</v>
      </c>
      <c r="W39" s="246">
        <v>3.7256999999999998</v>
      </c>
      <c r="X39" s="243">
        <f t="shared" si="146"/>
        <v>4.470839999999999</v>
      </c>
      <c r="Y39" s="246">
        <v>5</v>
      </c>
      <c r="Z39" s="246">
        <v>5.6996845876729996</v>
      </c>
      <c r="AA39" s="246">
        <v>3.6581299999999994</v>
      </c>
      <c r="AB39" s="246">
        <v>3.6583612604739999</v>
      </c>
      <c r="AC39" s="246">
        <v>2.2260499999999999</v>
      </c>
      <c r="AD39" s="246">
        <v>3.9999998740090001</v>
      </c>
      <c r="AE39" s="246">
        <v>2.9399500000000001</v>
      </c>
      <c r="AF39" s="243">
        <f t="shared" si="147"/>
        <v>3.5279400000000001</v>
      </c>
      <c r="AG39" s="246">
        <v>5</v>
      </c>
      <c r="AH39" s="246">
        <v>1.9499784322329998</v>
      </c>
      <c r="AI39" s="246">
        <v>1.7420999999989999</v>
      </c>
      <c r="AJ39" s="246">
        <v>1.742210132464</v>
      </c>
      <c r="AK39" s="246">
        <v>2.8365900000000002</v>
      </c>
      <c r="AL39" s="246">
        <v>2.249319929151</v>
      </c>
      <c r="AM39" s="246">
        <v>0.58372000000000002</v>
      </c>
      <c r="AN39" s="243">
        <f t="shared" si="148"/>
        <v>0.70046399999999998</v>
      </c>
      <c r="AO39" s="246">
        <v>2.8365900000000002</v>
      </c>
      <c r="AP39" s="246">
        <v>1.899932860454</v>
      </c>
      <c r="AQ39" s="246">
        <v>1.6200600000000001</v>
      </c>
      <c r="AR39" s="246">
        <v>1.620162417313</v>
      </c>
      <c r="AS39" s="246">
        <v>1.6990499999999999</v>
      </c>
      <c r="AT39" s="246">
        <v>1.699049946483</v>
      </c>
      <c r="AU39" s="246">
        <v>0</v>
      </c>
      <c r="AV39" s="243">
        <f t="shared" si="149"/>
        <v>0</v>
      </c>
      <c r="AW39" s="246">
        <v>1.6990499999999999</v>
      </c>
      <c r="AX39" s="246">
        <v>4.7497751542910001</v>
      </c>
      <c r="AY39" s="246">
        <v>2.8090199999989993</v>
      </c>
      <c r="AZ39" s="246">
        <v>2.8091975812499999</v>
      </c>
      <c r="BA39" s="246">
        <v>2.3058000000000001</v>
      </c>
      <c r="BB39" s="246">
        <v>2.8037699116880002</v>
      </c>
      <c r="BC39" s="246">
        <v>2.9117600000000001</v>
      </c>
      <c r="BD39" s="243">
        <f t="shared" si="150"/>
        <v>3.4941119999999999</v>
      </c>
      <c r="BE39" s="246">
        <v>3</v>
      </c>
      <c r="BF39" s="246">
        <v>643.07270108835496</v>
      </c>
      <c r="BG39" s="246">
        <v>585.07976999999903</v>
      </c>
      <c r="BH39" s="246">
        <v>561.03078727422997</v>
      </c>
      <c r="BI39" s="246">
        <v>369.35375999999997</v>
      </c>
      <c r="BJ39" s="246">
        <v>584.99998157391701</v>
      </c>
      <c r="BK39" s="246">
        <v>392.57348999999994</v>
      </c>
      <c r="BL39" s="243">
        <f t="shared" si="151"/>
        <v>471.08818799999989</v>
      </c>
      <c r="BM39" s="246">
        <v>500</v>
      </c>
      <c r="BN39" s="246">
        <v>14.249097475489</v>
      </c>
      <c r="BO39" s="246">
        <v>5.3289399999999993</v>
      </c>
      <c r="BP39" s="246">
        <v>5.3292768861109998</v>
      </c>
      <c r="BQ39" s="246">
        <v>3.8418799999999997</v>
      </c>
      <c r="BR39" s="246">
        <v>4.9999998425119996</v>
      </c>
      <c r="BS39" s="246">
        <v>0.8236</v>
      </c>
      <c r="BT39" s="243">
        <f t="shared" si="152"/>
        <v>0.98832000000000009</v>
      </c>
      <c r="BU39" s="246">
        <v>2</v>
      </c>
      <c r="BV39" s="246">
        <v>19.649939015312</v>
      </c>
      <c r="BW39" s="246">
        <v>29.205549999999</v>
      </c>
      <c r="BX39" s="246">
        <v>31.355971431692005</v>
      </c>
      <c r="BY39" s="246">
        <v>3.0689299999999999</v>
      </c>
      <c r="BZ39" s="246">
        <v>3.9999998740080001</v>
      </c>
      <c r="CA39" s="246">
        <v>5.34368</v>
      </c>
      <c r="CB39" s="243">
        <f t="shared" si="153"/>
        <v>6.4124159999999994</v>
      </c>
      <c r="CC39" s="246">
        <v>5</v>
      </c>
      <c r="CD39" s="246"/>
      <c r="CE39" s="246"/>
      <c r="CF39" s="246"/>
      <c r="CG39" s="246"/>
      <c r="CH39" s="246">
        <v>0</v>
      </c>
      <c r="CI39" s="246">
        <v>0.12705</v>
      </c>
      <c r="CJ39" s="243">
        <f t="shared" si="154"/>
        <v>0.15245999999999998</v>
      </c>
      <c r="CK39" s="246"/>
      <c r="CL39" s="246">
        <v>0.94990943338099998</v>
      </c>
      <c r="CM39" s="246">
        <v>1.1637500000000001</v>
      </c>
      <c r="CN39" s="246">
        <v>1.1638235702049999</v>
      </c>
      <c r="CO39" s="246">
        <v>0.71174999999999999</v>
      </c>
      <c r="CP39" s="246">
        <v>0.99999996850200001</v>
      </c>
      <c r="CQ39" s="246">
        <v>0.94425000000000003</v>
      </c>
      <c r="CR39" s="243">
        <f t="shared" si="155"/>
        <v>1.1331000000000002</v>
      </c>
      <c r="CS39" s="246">
        <v>0.71174999999999999</v>
      </c>
      <c r="CT39" s="246">
        <v>1.899932860454</v>
      </c>
      <c r="CU39" s="246">
        <v>0.97439999999999993</v>
      </c>
      <c r="CV39" s="246">
        <v>-2.5538400163999997E-2</v>
      </c>
      <c r="CW39" s="246">
        <v>3.3312199999999996</v>
      </c>
      <c r="CX39" s="246">
        <v>2.9999999055059998</v>
      </c>
      <c r="CY39" s="246">
        <v>3.0842900000000002</v>
      </c>
      <c r="CZ39" s="243">
        <f t="shared" si="156"/>
        <v>3.7011479999999999</v>
      </c>
      <c r="DA39" s="246">
        <v>3.3312199999999996</v>
      </c>
      <c r="DB39" s="246">
        <v>0</v>
      </c>
      <c r="DC39" s="246">
        <v>2.3077999999999999</v>
      </c>
      <c r="DD39" s="246">
        <v>3.3079458950119998</v>
      </c>
      <c r="DE39" s="246">
        <v>3.2735000000000007</v>
      </c>
      <c r="DF39" s="246">
        <v>1.9999999370029999</v>
      </c>
      <c r="DG39" s="246">
        <v>2.6438800000000002</v>
      </c>
      <c r="DH39" s="243">
        <f t="shared" si="157"/>
        <v>3.1726559999999999</v>
      </c>
      <c r="DI39" s="246">
        <v>3.2735000000000007</v>
      </c>
      <c r="DJ39" s="246"/>
      <c r="DK39" s="246"/>
      <c r="DL39" s="246"/>
      <c r="DM39" s="246"/>
      <c r="DN39" s="246"/>
      <c r="DO39" s="246"/>
      <c r="DP39" s="243">
        <f t="shared" si="158"/>
        <v>0</v>
      </c>
      <c r="DQ39" s="246"/>
      <c r="DR39" s="246">
        <v>8.5705728993070007</v>
      </c>
      <c r="DS39" s="246">
        <v>9.5640699999980008</v>
      </c>
      <c r="DT39" s="246">
        <v>13.564611405279001</v>
      </c>
      <c r="DU39" s="246">
        <v>13.991499999999998</v>
      </c>
      <c r="DV39" s="246">
        <v>22.057052419710999</v>
      </c>
      <c r="DW39" s="246">
        <v>9.6746400000000001</v>
      </c>
      <c r="DX39" s="243">
        <f t="shared" si="159"/>
        <v>11.609567999999999</v>
      </c>
      <c r="DY39" s="246">
        <v>20</v>
      </c>
      <c r="DZ39" s="246">
        <v>10.950599421902</v>
      </c>
      <c r="EA39" s="246">
        <v>6.8998699999999999</v>
      </c>
      <c r="EB39" s="246">
        <v>6.9003061975139994</v>
      </c>
      <c r="EC39" s="246">
        <v>1.8087900000000001</v>
      </c>
      <c r="ED39" s="246">
        <v>6.9999997795160001</v>
      </c>
      <c r="EE39" s="246">
        <v>4.0318100000000001</v>
      </c>
      <c r="EF39" s="243">
        <f t="shared" si="160"/>
        <v>4.8381720000000001</v>
      </c>
      <c r="EG39" s="246">
        <v>7</v>
      </c>
      <c r="EH39" s="246">
        <v>0</v>
      </c>
      <c r="EI39" s="246">
        <v>2.24E-2</v>
      </c>
      <c r="EJ39" s="246">
        <v>2.2401416088E-2</v>
      </c>
      <c r="EK39" s="246">
        <v>0</v>
      </c>
      <c r="EL39" s="246"/>
      <c r="EM39" s="246"/>
      <c r="EN39" s="243">
        <f t="shared" si="161"/>
        <v>0</v>
      </c>
      <c r="EO39" s="246">
        <v>0</v>
      </c>
      <c r="EP39" s="246"/>
      <c r="EQ39" s="246"/>
      <c r="ER39" s="246"/>
      <c r="ES39" s="246"/>
      <c r="ET39" s="246"/>
      <c r="EU39" s="246"/>
      <c r="EV39" s="243">
        <f t="shared" si="162"/>
        <v>0</v>
      </c>
      <c r="EW39" s="246"/>
      <c r="EX39" s="246">
        <v>1.000068998852</v>
      </c>
      <c r="EY39" s="246">
        <v>0.76167999999999991</v>
      </c>
      <c r="EZ39" s="246">
        <v>0.761728152055</v>
      </c>
      <c r="FA39" s="246">
        <v>0.37515999999999999</v>
      </c>
      <c r="FB39" s="246">
        <v>0.15515999511199999</v>
      </c>
      <c r="FC39" s="246">
        <v>0.28225999999999996</v>
      </c>
      <c r="FD39" s="243">
        <f t="shared" si="163"/>
        <v>0.3387119999999999</v>
      </c>
      <c r="FE39" s="246">
        <v>0.37515999999999999</v>
      </c>
      <c r="FF39" s="246">
        <v>1.93981505343</v>
      </c>
      <c r="FG39" s="246">
        <v>0.55164000000000002</v>
      </c>
      <c r="FH39" s="246">
        <v>0.55167487369900003</v>
      </c>
      <c r="FI39" s="246">
        <v>0</v>
      </c>
      <c r="FJ39" s="246">
        <v>0</v>
      </c>
      <c r="FK39" s="246">
        <v>0.20328000000000002</v>
      </c>
      <c r="FL39" s="243">
        <f t="shared" si="164"/>
        <v>0.24393600000000004</v>
      </c>
      <c r="FM39" s="246">
        <v>0</v>
      </c>
      <c r="FN39" s="246"/>
      <c r="FO39" s="246"/>
      <c r="FP39" s="246">
        <v>1</v>
      </c>
      <c r="FQ39" s="246">
        <v>0.76122999999999996</v>
      </c>
      <c r="FR39" s="246">
        <v>0.76122997602300002</v>
      </c>
      <c r="FS39" s="246">
        <v>0.55901999999999996</v>
      </c>
      <c r="FT39" s="243">
        <f t="shared" si="165"/>
        <v>0.67082399999999986</v>
      </c>
      <c r="FU39" s="246">
        <v>0.76122999999999996</v>
      </c>
      <c r="FV39" s="246">
        <v>3.3538915592479999</v>
      </c>
      <c r="FW39" s="246">
        <v>0.38769999999999999</v>
      </c>
      <c r="FX39" s="246">
        <v>1.3877245097040001</v>
      </c>
      <c r="FY39" s="246">
        <v>0.77522999999999997</v>
      </c>
      <c r="FZ39" s="246">
        <v>0.77522997558200002</v>
      </c>
      <c r="GA39" s="246">
        <v>1.2523500000000001</v>
      </c>
      <c r="GB39" s="243">
        <f t="shared" si="166"/>
        <v>1.5028200000000003</v>
      </c>
      <c r="GC39" s="246">
        <v>0.77522999999999997</v>
      </c>
      <c r="GD39" s="246"/>
      <c r="GE39" s="246"/>
      <c r="GF39" s="246"/>
      <c r="GG39" s="246"/>
      <c r="GH39" s="246"/>
      <c r="GI39" s="246"/>
      <c r="GJ39" s="243">
        <f t="shared" si="167"/>
        <v>0</v>
      </c>
      <c r="GK39" s="246"/>
      <c r="GL39" s="246">
        <v>0</v>
      </c>
      <c r="GM39" s="246">
        <v>0.45577999999899999</v>
      </c>
      <c r="GN39" s="246">
        <v>0.45580881360100001</v>
      </c>
      <c r="GO39" s="246">
        <v>0</v>
      </c>
      <c r="GP39" s="246"/>
      <c r="GQ39" s="246"/>
      <c r="GR39" s="243">
        <f t="shared" si="168"/>
        <v>0</v>
      </c>
      <c r="GS39" s="246">
        <v>0</v>
      </c>
      <c r="GT39" s="246"/>
      <c r="GU39" s="246"/>
      <c r="GV39" s="246"/>
      <c r="GW39" s="246"/>
      <c r="GX39" s="246"/>
      <c r="GY39" s="246"/>
      <c r="GZ39" s="243">
        <f t="shared" si="169"/>
        <v>0</v>
      </c>
      <c r="HA39" s="246"/>
      <c r="HB39" s="246">
        <v>101.80173990303101</v>
      </c>
      <c r="HC39" s="246">
        <v>94.560779999999994</v>
      </c>
      <c r="HD39" s="246">
        <v>122.889438850548</v>
      </c>
      <c r="HE39" s="246">
        <v>168.77742999999998</v>
      </c>
      <c r="HF39" s="246">
        <v>244.999994487924</v>
      </c>
      <c r="HG39" s="246">
        <v>234.89974000000001</v>
      </c>
      <c r="HH39" s="243">
        <f t="shared" si="170"/>
        <v>281.87968799999999</v>
      </c>
      <c r="HI39" s="246">
        <v>250</v>
      </c>
      <c r="HJ39" s="246"/>
      <c r="HK39" s="246"/>
      <c r="HL39" s="246"/>
      <c r="HM39" s="246"/>
      <c r="HN39" s="246">
        <v>45</v>
      </c>
      <c r="HO39" s="246">
        <v>26.209900000000001</v>
      </c>
      <c r="HP39" s="243">
        <f t="shared" si="171"/>
        <v>31.451879999999999</v>
      </c>
      <c r="HQ39" s="246">
        <v>45</v>
      </c>
      <c r="HR39" s="246">
        <v>1.000068998852</v>
      </c>
      <c r="HS39" s="246">
        <v>1.29864</v>
      </c>
      <c r="HT39" s="246">
        <v>1.298722097712</v>
      </c>
      <c r="HU39" s="246">
        <v>0.47916000000000003</v>
      </c>
      <c r="HV39" s="246">
        <v>0.99999996850200001</v>
      </c>
      <c r="HW39" s="246">
        <v>0.79089000000000009</v>
      </c>
      <c r="HX39" s="243">
        <f t="shared" si="172"/>
        <v>0.94906800000000002</v>
      </c>
      <c r="HY39" s="246">
        <v>1</v>
      </c>
      <c r="HZ39" s="246">
        <v>0.94990943338099998</v>
      </c>
      <c r="IA39" s="246">
        <v>1.4084999999999999</v>
      </c>
      <c r="IB39" s="246">
        <v>1.408589042866</v>
      </c>
      <c r="IC39" s="246">
        <v>0.94200000000000006</v>
      </c>
      <c r="ID39" s="246">
        <v>0.70424997781700005</v>
      </c>
      <c r="IE39" s="246">
        <v>0.6552</v>
      </c>
      <c r="IF39" s="243">
        <f t="shared" si="173"/>
        <v>0.78623999999999994</v>
      </c>
      <c r="IG39" s="246">
        <v>0.94200000000000006</v>
      </c>
      <c r="IH39" s="246">
        <v>205.620671887546</v>
      </c>
      <c r="II39" s="246">
        <v>405.89338000000004</v>
      </c>
      <c r="IJ39" s="246">
        <v>492.01640604671996</v>
      </c>
      <c r="IK39" s="246">
        <v>586.61484000000007</v>
      </c>
      <c r="IL39" s="246">
        <v>626.48021082282298</v>
      </c>
      <c r="IM39" s="246">
        <v>625.90882999999997</v>
      </c>
      <c r="IN39" s="243">
        <f t="shared" si="174"/>
        <v>751.09059600000001</v>
      </c>
      <c r="IO39" s="246">
        <v>700</v>
      </c>
      <c r="IP39" s="246">
        <v>446.73775030204803</v>
      </c>
      <c r="IQ39" s="246">
        <v>838.17429000000095</v>
      </c>
      <c r="IR39" s="246">
        <v>843.05329296134801</v>
      </c>
      <c r="IS39" s="246">
        <v>1001.6093000000001</v>
      </c>
      <c r="IT39" s="246">
        <v>874.8024221405359</v>
      </c>
      <c r="IU39" s="246">
        <v>624.54779000000008</v>
      </c>
      <c r="IV39" s="243">
        <f t="shared" si="175"/>
        <v>749.45734800000014</v>
      </c>
      <c r="IW39" s="246">
        <v>839.5</v>
      </c>
      <c r="IX39" s="246">
        <v>2.400165597245</v>
      </c>
      <c r="IY39" s="246">
        <v>1.452</v>
      </c>
      <c r="IZ39" s="246">
        <v>1.4520917928579999</v>
      </c>
      <c r="JA39" s="246">
        <v>1.1512</v>
      </c>
      <c r="JB39" s="246">
        <v>0.86079997288599996</v>
      </c>
      <c r="JC39" s="246">
        <v>0.64596000000000009</v>
      </c>
      <c r="JD39" s="243">
        <f t="shared" si="176"/>
        <v>0.77515200000000017</v>
      </c>
      <c r="JE39" s="246">
        <v>1.1512</v>
      </c>
      <c r="JF39" s="246">
        <v>283.513351277879</v>
      </c>
      <c r="JG39" s="246">
        <v>356.73751999999905</v>
      </c>
      <c r="JH39" s="246">
        <v>413.01883903022701</v>
      </c>
      <c r="JI39" s="246">
        <v>483.24504999999999</v>
      </c>
      <c r="JJ39" s="246">
        <v>446.99998592058301</v>
      </c>
      <c r="JK39" s="246">
        <v>391.73379999999997</v>
      </c>
      <c r="JL39" s="243">
        <f t="shared" si="177"/>
        <v>470.08055999999993</v>
      </c>
      <c r="JM39" s="246">
        <v>460</v>
      </c>
      <c r="JN39" s="246">
        <v>0.99990466671699996</v>
      </c>
      <c r="JO39" s="246">
        <v>0</v>
      </c>
      <c r="JP39" s="246"/>
      <c r="JQ39" s="246"/>
      <c r="JR39" s="246"/>
      <c r="JS39" s="246"/>
      <c r="JT39" s="243">
        <f t="shared" si="178"/>
        <v>0</v>
      </c>
      <c r="JU39" s="246"/>
      <c r="JV39" s="246">
        <v>512.68348447116898</v>
      </c>
      <c r="JW39" s="246">
        <v>511.88050999999894</v>
      </c>
      <c r="JX39" s="246">
        <v>528.02459188845103</v>
      </c>
      <c r="JY39" s="246">
        <v>565.97784000000001</v>
      </c>
      <c r="JZ39" s="246">
        <v>506.99998560560698</v>
      </c>
      <c r="KA39" s="246">
        <v>533.31585000000007</v>
      </c>
      <c r="KB39" s="243">
        <f t="shared" si="179"/>
        <v>639.97901999999999</v>
      </c>
      <c r="KC39" s="246">
        <v>550</v>
      </c>
      <c r="KD39" s="246">
        <v>35.997721255552001</v>
      </c>
      <c r="KE39" s="246">
        <v>32.321579999999997</v>
      </c>
      <c r="KF39" s="246">
        <v>34.001896546666998</v>
      </c>
      <c r="KG39" s="246">
        <v>49.971360000000004</v>
      </c>
      <c r="KH39" s="246">
        <v>61.999998047150001</v>
      </c>
      <c r="KI39" s="246">
        <v>75.115499999999997</v>
      </c>
      <c r="KJ39" s="243">
        <f t="shared" si="180"/>
        <v>90.138599999999997</v>
      </c>
      <c r="KK39" s="246">
        <v>80</v>
      </c>
      <c r="KL39" s="246"/>
      <c r="KM39" s="246"/>
      <c r="KN39" s="246"/>
      <c r="KO39" s="246"/>
      <c r="KP39" s="246"/>
      <c r="KQ39" s="246"/>
      <c r="KR39" s="243">
        <f t="shared" si="181"/>
        <v>0</v>
      </c>
      <c r="KS39" s="246"/>
      <c r="KT39" s="246">
        <v>47.277730391394002</v>
      </c>
      <c r="KU39" s="246">
        <v>93.008799999999994</v>
      </c>
      <c r="KV39" s="246">
        <v>99.005436767112002</v>
      </c>
      <c r="KW39" s="246">
        <v>98.239589999999978</v>
      </c>
      <c r="KX39" s="246">
        <v>102.99999675575</v>
      </c>
      <c r="KY39" s="246">
        <v>109.40839</v>
      </c>
      <c r="KZ39" s="243">
        <f t="shared" si="182"/>
        <v>131.29006800000002</v>
      </c>
      <c r="LA39" s="246">
        <v>100</v>
      </c>
      <c r="LB39" s="246">
        <v>163.50728103632099</v>
      </c>
      <c r="LC39" s="246">
        <v>162.24052999999998</v>
      </c>
      <c r="LD39" s="246">
        <v>190.008391870368</v>
      </c>
      <c r="LE39" s="246">
        <v>176.65608999999998</v>
      </c>
      <c r="LF39" s="246">
        <v>206.99999348000199</v>
      </c>
      <c r="LG39" s="246">
        <v>186.67286999999999</v>
      </c>
      <c r="LH39" s="243">
        <f t="shared" si="183"/>
        <v>224.00744399999996</v>
      </c>
      <c r="LI39" s="246">
        <v>207</v>
      </c>
      <c r="LJ39" s="246">
        <v>408.261309686517</v>
      </c>
      <c r="LK39" s="246">
        <v>505.07661000000002</v>
      </c>
      <c r="LL39" s="246">
        <v>1107.67532158831</v>
      </c>
      <c r="LM39" s="246">
        <v>975.44633999999996</v>
      </c>
      <c r="LN39" s="246">
        <v>1160.027832630627</v>
      </c>
      <c r="LO39" s="246">
        <v>1008.1681999999997</v>
      </c>
      <c r="LP39" s="243">
        <f t="shared" si="184"/>
        <v>1209.8018399999996</v>
      </c>
      <c r="LQ39" s="247">
        <v>1160</v>
      </c>
      <c r="LR39" s="246"/>
      <c r="LS39" s="246"/>
      <c r="LT39" s="244">
        <f t="shared" si="185"/>
        <v>0</v>
      </c>
      <c r="LU39" s="246">
        <v>0</v>
      </c>
      <c r="LV39" s="246"/>
      <c r="LW39" s="246"/>
      <c r="LX39" s="246"/>
      <c r="LY39" s="246"/>
      <c r="LZ39" s="246"/>
      <c r="MA39" s="246"/>
      <c r="MB39" s="243">
        <f t="shared" si="186"/>
        <v>0</v>
      </c>
      <c r="MC39" s="246"/>
      <c r="MD39" s="246"/>
      <c r="ME39" s="246"/>
      <c r="MF39" s="246"/>
      <c r="MG39" s="246"/>
      <c r="MH39" s="246"/>
      <c r="MI39" s="246"/>
      <c r="MJ39" s="243">
        <f t="shared" si="187"/>
        <v>0</v>
      </c>
      <c r="MK39" s="246"/>
      <c r="ML39" s="246">
        <v>22.349373885152005</v>
      </c>
      <c r="MM39" s="246">
        <v>4.4870000000000001</v>
      </c>
      <c r="MN39" s="246">
        <v>5.0003160911109994</v>
      </c>
      <c r="MO39" s="246">
        <v>6.21591</v>
      </c>
      <c r="MP39" s="246">
        <v>7.9999997480190004</v>
      </c>
      <c r="MQ39" s="246">
        <v>5.3902000000000001</v>
      </c>
      <c r="MR39" s="243">
        <f t="shared" si="188"/>
        <v>6.4682400000000007</v>
      </c>
      <c r="MS39" s="271">
        <v>6.21591</v>
      </c>
      <c r="MT39" s="246">
        <v>10.950599421901</v>
      </c>
      <c r="MU39" s="246">
        <v>1.54573</v>
      </c>
      <c r="MV39" s="246">
        <v>2.5458277183010001</v>
      </c>
      <c r="MW39" s="246">
        <v>1.02559</v>
      </c>
      <c r="MX39" s="246">
        <v>1.999999937004</v>
      </c>
      <c r="MY39" s="246">
        <v>0.63941000000000003</v>
      </c>
      <c r="MZ39" s="243">
        <f t="shared" si="189"/>
        <v>0.76729199999999997</v>
      </c>
      <c r="NA39" s="246">
        <v>1.02559</v>
      </c>
      <c r="NB39" s="246"/>
      <c r="NC39" s="246"/>
      <c r="ND39" s="243">
        <f t="shared" si="190"/>
        <v>0</v>
      </c>
      <c r="NE39" s="246">
        <v>0</v>
      </c>
      <c r="NF39" s="246"/>
      <c r="NG39" s="246"/>
      <c r="NH39" s="246"/>
      <c r="NI39" s="246"/>
      <c r="NJ39" s="246"/>
      <c r="NK39" s="246"/>
      <c r="NL39" s="243">
        <f t="shared" si="191"/>
        <v>0</v>
      </c>
      <c r="NM39" s="246"/>
      <c r="NN39" s="246"/>
      <c r="NO39" s="246"/>
      <c r="NP39" s="246"/>
      <c r="NQ39" s="246"/>
      <c r="NR39" s="246"/>
      <c r="NS39" s="246"/>
      <c r="NT39" s="243">
        <f t="shared" si="192"/>
        <v>0</v>
      </c>
      <c r="NU39" s="246"/>
      <c r="NV39" s="246"/>
      <c r="NW39" s="246"/>
      <c r="NX39" s="246"/>
      <c r="NY39" s="246"/>
      <c r="NZ39" s="246"/>
      <c r="OA39" s="246"/>
      <c r="OB39" s="243">
        <f t="shared" si="193"/>
        <v>0</v>
      </c>
      <c r="OC39" s="246"/>
      <c r="OD39" s="246">
        <v>0.94990943338099998</v>
      </c>
      <c r="OE39" s="246">
        <v>0.73479000000000005</v>
      </c>
      <c r="OF39" s="246">
        <v>0.73483645211699999</v>
      </c>
      <c r="OG39" s="246">
        <v>0.36951999999999996</v>
      </c>
      <c r="OH39" s="246">
        <v>0.36951998836099997</v>
      </c>
      <c r="OI39" s="246">
        <v>1.1046899999999999</v>
      </c>
      <c r="OJ39" s="243">
        <f t="shared" si="194"/>
        <v>1.325628</v>
      </c>
      <c r="OK39" s="246">
        <v>1</v>
      </c>
      <c r="OL39" s="246"/>
      <c r="OM39" s="246"/>
      <c r="ON39" s="246"/>
      <c r="OO39" s="246"/>
      <c r="OP39" s="246"/>
      <c r="OQ39" s="246"/>
      <c r="OR39" s="243">
        <f t="shared" si="195"/>
        <v>0</v>
      </c>
      <c r="OS39" s="246"/>
      <c r="OT39" s="246"/>
      <c r="OU39" s="246"/>
      <c r="OV39" s="246">
        <v>0</v>
      </c>
      <c r="OW39" s="246">
        <v>24.960830000000001</v>
      </c>
      <c r="OX39" s="246">
        <v>0</v>
      </c>
      <c r="OY39" s="246">
        <v>27.26444</v>
      </c>
      <c r="OZ39" s="243">
        <f t="shared" si="196"/>
        <v>32.717327999999995</v>
      </c>
      <c r="PA39" s="247">
        <v>0</v>
      </c>
      <c r="PB39" s="246">
        <v>0</v>
      </c>
      <c r="PC39" s="246">
        <v>21.622229999999998</v>
      </c>
      <c r="PD39" s="243">
        <f t="shared" si="197"/>
        <v>25.946676</v>
      </c>
      <c r="PE39" s="247">
        <v>40</v>
      </c>
      <c r="PF39" s="246">
        <v>0</v>
      </c>
      <c r="PG39" s="246">
        <v>471.31610999999998</v>
      </c>
      <c r="PH39" s="246">
        <v>0</v>
      </c>
      <c r="PI39" s="246">
        <v>490.50280999999995</v>
      </c>
      <c r="PJ39" s="246">
        <v>499.99998425121203</v>
      </c>
      <c r="PK39" s="246">
        <v>148.85159000000002</v>
      </c>
      <c r="PL39" s="243">
        <f t="shared" si="139"/>
        <v>178.62190800000002</v>
      </c>
      <c r="PM39" s="247">
        <v>210</v>
      </c>
      <c r="PN39" s="246">
        <v>-1187.0970933579399</v>
      </c>
      <c r="PO39" s="246">
        <v>0</v>
      </c>
      <c r="PP39" s="246">
        <v>-784.86065705032695</v>
      </c>
      <c r="PQ39" s="246">
        <v>0</v>
      </c>
      <c r="PR39" s="246">
        <v>-317</v>
      </c>
      <c r="PS39" s="246">
        <v>0</v>
      </c>
      <c r="PT39" s="243">
        <f t="shared" si="198"/>
        <v>0</v>
      </c>
      <c r="PU39" s="246"/>
      <c r="PV39" s="246"/>
      <c r="PW39" s="246"/>
      <c r="PX39" s="246"/>
      <c r="PY39" s="246"/>
      <c r="PZ39" s="246"/>
      <c r="QA39" s="246"/>
      <c r="QB39" s="243">
        <f t="shared" si="199"/>
        <v>0</v>
      </c>
      <c r="QC39" s="246"/>
      <c r="QD39" s="246"/>
      <c r="QE39" s="246"/>
      <c r="QF39" s="246"/>
      <c r="QG39" s="246"/>
      <c r="QH39" s="246"/>
      <c r="QI39" s="246"/>
      <c r="QJ39" s="243">
        <f t="shared" si="200"/>
        <v>0</v>
      </c>
      <c r="QK39" s="246">
        <v>0</v>
      </c>
      <c r="QL39" s="246"/>
      <c r="QM39" s="246"/>
      <c r="QN39" s="246"/>
      <c r="QO39" s="246"/>
      <c r="QP39" s="243">
        <f t="shared" si="201"/>
        <v>0</v>
      </c>
      <c r="QQ39" s="243">
        <f t="shared" si="140"/>
        <v>0</v>
      </c>
      <c r="QR39" s="246"/>
      <c r="QS39" s="246"/>
      <c r="QT39" s="246"/>
      <c r="QU39" s="246"/>
      <c r="QV39" s="243">
        <f t="shared" si="202"/>
        <v>0</v>
      </c>
      <c r="QW39" s="246"/>
      <c r="QX39" s="246"/>
      <c r="QY39" s="246"/>
      <c r="QZ39" s="246"/>
      <c r="RA39" s="246"/>
      <c r="RB39" s="246"/>
      <c r="RC39" s="246"/>
      <c r="RD39" s="243">
        <f t="shared" si="203"/>
        <v>0</v>
      </c>
      <c r="RE39" s="300"/>
      <c r="RF39" s="259">
        <f t="shared" si="101"/>
        <v>5281.1256314029597</v>
      </c>
      <c r="RG39" s="259">
        <f t="shared" si="141"/>
        <v>4542.2564599999996</v>
      </c>
      <c r="RH39" s="259">
        <f t="shared" si="142"/>
        <v>5450.7077519999984</v>
      </c>
      <c r="RI39" s="256">
        <f t="shared" si="143"/>
        <v>5371.3006000000005</v>
      </c>
    </row>
    <row r="40" spans="1:478">
      <c r="A40" s="5" t="s">
        <v>81</v>
      </c>
      <c r="B40" s="263">
        <v>398.75799806598599</v>
      </c>
      <c r="C40" s="246">
        <v>386.99755999999894</v>
      </c>
      <c r="D40" s="246">
        <v>405.79875090366397</v>
      </c>
      <c r="E40" s="246">
        <v>489.95100000000002</v>
      </c>
      <c r="F40" s="246">
        <v>449.99998582608998</v>
      </c>
      <c r="G40" s="243">
        <v>375.76076999999998</v>
      </c>
      <c r="H40" s="243">
        <f t="shared" si="144"/>
        <v>450.91292399999998</v>
      </c>
      <c r="I40" s="246">
        <v>489.95100000000002</v>
      </c>
      <c r="J40" s="246">
        <v>260.48579638787999</v>
      </c>
      <c r="K40" s="246">
        <v>271.10201999999902</v>
      </c>
      <c r="L40" s="246">
        <v>273.75362782757594</v>
      </c>
      <c r="M40" s="246">
        <v>250.82475000000002</v>
      </c>
      <c r="N40" s="246">
        <v>254.36101720173798</v>
      </c>
      <c r="O40" s="246">
        <v>241.04990000000001</v>
      </c>
      <c r="P40" s="243">
        <f t="shared" si="145"/>
        <v>289.25988000000001</v>
      </c>
      <c r="Q40" s="246">
        <v>270</v>
      </c>
      <c r="R40" s="246">
        <v>487.970019795094</v>
      </c>
      <c r="S40" s="246">
        <v>629.88904999999693</v>
      </c>
      <c r="T40" s="246">
        <v>635.32146088470495</v>
      </c>
      <c r="U40" s="246">
        <v>621.17962</v>
      </c>
      <c r="V40" s="246">
        <v>629.99998015652409</v>
      </c>
      <c r="W40" s="246">
        <v>553.5091900000001</v>
      </c>
      <c r="X40" s="243">
        <f t="shared" si="146"/>
        <v>664.21102800000017</v>
      </c>
      <c r="Y40" s="246">
        <v>650</v>
      </c>
      <c r="Z40" s="246">
        <v>815.47051613613905</v>
      </c>
      <c r="AA40" s="246">
        <v>898.30140999999799</v>
      </c>
      <c r="AB40" s="246">
        <v>897.34421625042114</v>
      </c>
      <c r="AC40" s="246">
        <v>797.86924999999997</v>
      </c>
      <c r="AD40" s="246">
        <v>835.09069278921413</v>
      </c>
      <c r="AE40" s="246">
        <v>650.20904000000007</v>
      </c>
      <c r="AF40" s="243">
        <f t="shared" si="147"/>
        <v>780.25084800000002</v>
      </c>
      <c r="AG40" s="246">
        <v>800</v>
      </c>
      <c r="AH40" s="246">
        <v>383.82699614677898</v>
      </c>
      <c r="AI40" s="246">
        <v>363.50039999999694</v>
      </c>
      <c r="AJ40" s="246">
        <v>361.32702184719096</v>
      </c>
      <c r="AK40" s="246">
        <v>352.23221000000001</v>
      </c>
      <c r="AL40" s="246">
        <v>314.99999007826199</v>
      </c>
      <c r="AM40" s="246">
        <v>256.40931</v>
      </c>
      <c r="AN40" s="243">
        <f t="shared" si="148"/>
        <v>307.69117200000005</v>
      </c>
      <c r="AO40" s="246">
        <v>320</v>
      </c>
      <c r="AP40" s="246">
        <v>728.03896267996492</v>
      </c>
      <c r="AQ40" s="246">
        <v>757.46900999999707</v>
      </c>
      <c r="AR40" s="246">
        <v>901.1916142765981</v>
      </c>
      <c r="AS40" s="246">
        <v>1268.6600099999998</v>
      </c>
      <c r="AT40" s="246">
        <v>1279.999959683101</v>
      </c>
      <c r="AU40" s="246">
        <v>1085.84645</v>
      </c>
      <c r="AV40" s="243">
        <f t="shared" si="149"/>
        <v>1303.0157399999998</v>
      </c>
      <c r="AW40" s="246">
        <v>1350</v>
      </c>
      <c r="AX40" s="246">
        <v>862.4882348840631</v>
      </c>
      <c r="AY40" s="246">
        <v>781.34565999999791</v>
      </c>
      <c r="AZ40" s="246">
        <v>854.14199860669498</v>
      </c>
      <c r="BA40" s="246">
        <v>862.45240000000013</v>
      </c>
      <c r="BB40" s="246">
        <v>836.26899419389099</v>
      </c>
      <c r="BC40" s="246">
        <v>772.26719000000014</v>
      </c>
      <c r="BD40" s="243">
        <f t="shared" si="150"/>
        <v>926.72062800000026</v>
      </c>
      <c r="BE40" s="246">
        <v>862.45240000000013</v>
      </c>
      <c r="BF40" s="246">
        <v>366.55201147941403</v>
      </c>
      <c r="BG40" s="246">
        <v>397.32401999999502</v>
      </c>
      <c r="BH40" s="246">
        <v>392.2275714223</v>
      </c>
      <c r="BI40" s="246">
        <v>449.15289000000007</v>
      </c>
      <c r="BJ40" s="246">
        <v>487.34239886944499</v>
      </c>
      <c r="BK40" s="246">
        <v>387.39220999999998</v>
      </c>
      <c r="BL40" s="243">
        <f t="shared" si="151"/>
        <v>464.87065200000001</v>
      </c>
      <c r="BM40" s="246">
        <v>480</v>
      </c>
      <c r="BN40" s="246">
        <v>226.225111541991</v>
      </c>
      <c r="BO40" s="246">
        <v>154.47793999999902</v>
      </c>
      <c r="BP40" s="246">
        <v>161.82924209274699</v>
      </c>
      <c r="BQ40" s="246">
        <v>165.79262</v>
      </c>
      <c r="BR40" s="246">
        <v>163.999994834397</v>
      </c>
      <c r="BS40" s="246">
        <v>134.74664999999999</v>
      </c>
      <c r="BT40" s="243">
        <f t="shared" si="152"/>
        <v>161.69597999999996</v>
      </c>
      <c r="BU40" s="246">
        <v>165</v>
      </c>
      <c r="BV40" s="246">
        <v>374.30393619872495</v>
      </c>
      <c r="BW40" s="246">
        <v>340.60383999999402</v>
      </c>
      <c r="BX40" s="246">
        <v>391.378415967443</v>
      </c>
      <c r="BY40" s="246">
        <v>509.64839000000001</v>
      </c>
      <c r="BZ40" s="246">
        <v>563.32709348479102</v>
      </c>
      <c r="CA40" s="246">
        <v>559.60137999999995</v>
      </c>
      <c r="CB40" s="243">
        <f t="shared" si="153"/>
        <v>671.52165599999989</v>
      </c>
      <c r="CC40" s="246">
        <v>680</v>
      </c>
      <c r="CD40" s="246">
        <v>1090.140786255203</v>
      </c>
      <c r="CE40" s="246">
        <v>1096.6225899999981</v>
      </c>
      <c r="CF40" s="246">
        <v>977.11639581973395</v>
      </c>
      <c r="CG40" s="246">
        <v>1003.6373599999999</v>
      </c>
      <c r="CH40" s="246">
        <v>1045.999967053534</v>
      </c>
      <c r="CI40" s="246">
        <v>672.51639999999998</v>
      </c>
      <c r="CJ40" s="243">
        <f t="shared" si="154"/>
        <v>807.01967999999988</v>
      </c>
      <c r="CK40" s="246">
        <v>1000</v>
      </c>
      <c r="CL40" s="246">
        <v>126.968429421015</v>
      </c>
      <c r="CM40" s="246">
        <v>128.923699999999</v>
      </c>
      <c r="CN40" s="246">
        <v>129.21687912864701</v>
      </c>
      <c r="CO40" s="246">
        <v>142.65965</v>
      </c>
      <c r="CP40" s="246">
        <v>128.99999593681099</v>
      </c>
      <c r="CQ40" s="246">
        <v>126.8069</v>
      </c>
      <c r="CR40" s="243">
        <f t="shared" si="155"/>
        <v>152.16828000000001</v>
      </c>
      <c r="CS40" s="246">
        <v>140</v>
      </c>
      <c r="CT40" s="246">
        <v>302.85586189087098</v>
      </c>
      <c r="CU40" s="246">
        <v>332.12343999999905</v>
      </c>
      <c r="CV40" s="246">
        <v>360.87874240864903</v>
      </c>
      <c r="CW40" s="246">
        <v>459.05103999999994</v>
      </c>
      <c r="CX40" s="246">
        <v>441.99998607807004</v>
      </c>
      <c r="CY40" s="246">
        <v>414.14039000000002</v>
      </c>
      <c r="CZ40" s="243">
        <f t="shared" si="156"/>
        <v>496.96846800000003</v>
      </c>
      <c r="DA40" s="246">
        <v>450</v>
      </c>
      <c r="DB40" s="246">
        <v>99.577040290193992</v>
      </c>
      <c r="DC40" s="246">
        <v>80.29947999999699</v>
      </c>
      <c r="DD40" s="246">
        <v>73.482089457518001</v>
      </c>
      <c r="DE40" s="246">
        <v>40.730149999999995</v>
      </c>
      <c r="DF40" s="246">
        <v>39.999998740096004</v>
      </c>
      <c r="DG40" s="246">
        <v>33.244020000000006</v>
      </c>
      <c r="DH40" s="243">
        <f t="shared" si="157"/>
        <v>39.892824000000005</v>
      </c>
      <c r="DI40" s="246">
        <v>40</v>
      </c>
      <c r="DJ40" s="246">
        <v>8.3957019455089998</v>
      </c>
      <c r="DK40" s="246">
        <v>5.9293500000000003</v>
      </c>
      <c r="DL40" s="246">
        <v>5.942833647044</v>
      </c>
      <c r="DM40" s="246">
        <v>6.6524300000000007</v>
      </c>
      <c r="DN40" s="246">
        <v>5.9999998110139998</v>
      </c>
      <c r="DO40" s="246">
        <v>4.9404300000000001</v>
      </c>
      <c r="DP40" s="243">
        <f t="shared" si="158"/>
        <v>5.9285160000000001</v>
      </c>
      <c r="DQ40" s="246">
        <v>6</v>
      </c>
      <c r="DR40" s="246">
        <v>70.148630573782</v>
      </c>
      <c r="DS40" s="246">
        <v>66.263989999996994</v>
      </c>
      <c r="DT40" s="246">
        <v>74.414679877185009</v>
      </c>
      <c r="DU40" s="246">
        <v>180.78627000000003</v>
      </c>
      <c r="DV40" s="246">
        <v>112.93151392095299</v>
      </c>
      <c r="DW40" s="246">
        <v>132.14830999999901</v>
      </c>
      <c r="DX40" s="243">
        <f t="shared" si="159"/>
        <v>158.57797199999879</v>
      </c>
      <c r="DY40" s="246">
        <v>160</v>
      </c>
      <c r="DZ40" s="246">
        <v>94.452188398065999</v>
      </c>
      <c r="EA40" s="246">
        <v>109.006249999998</v>
      </c>
      <c r="EB40" s="246">
        <v>109.25413582232602</v>
      </c>
      <c r="EC40" s="246">
        <v>176.85182000000003</v>
      </c>
      <c r="ED40" s="246">
        <v>168.99999467690702</v>
      </c>
      <c r="EE40" s="246">
        <v>130.17437999999999</v>
      </c>
      <c r="EF40" s="243">
        <f t="shared" si="160"/>
        <v>156.20925599999998</v>
      </c>
      <c r="EG40" s="246">
        <v>160</v>
      </c>
      <c r="EH40" s="246">
        <v>10.309196534225</v>
      </c>
      <c r="EI40" s="246">
        <v>6.6962899999989993</v>
      </c>
      <c r="EJ40" s="246">
        <v>6.7115177080710007</v>
      </c>
      <c r="EK40" s="246">
        <v>9.0189200000000014</v>
      </c>
      <c r="EL40" s="246">
        <v>8.9999997165199996</v>
      </c>
      <c r="EM40" s="246">
        <v>5.4631999999999996</v>
      </c>
      <c r="EN40" s="243">
        <f t="shared" si="161"/>
        <v>6.555839999999999</v>
      </c>
      <c r="EO40" s="246">
        <v>9.0189200000000014</v>
      </c>
      <c r="EP40" s="246">
        <v>3.0494912279399999</v>
      </c>
      <c r="EQ40" s="246">
        <v>2.3810899999999999</v>
      </c>
      <c r="ER40" s="246">
        <v>2.3865047211979999</v>
      </c>
      <c r="ES40" s="246">
        <v>3.50739</v>
      </c>
      <c r="ET40" s="246">
        <v>1.999999937004</v>
      </c>
      <c r="EU40" s="246">
        <v>1.5691700000000002</v>
      </c>
      <c r="EV40" s="243">
        <f t="shared" si="162"/>
        <v>1.8830040000000003</v>
      </c>
      <c r="EW40" s="246">
        <v>2</v>
      </c>
      <c r="EX40" s="246">
        <v>144.072928014345</v>
      </c>
      <c r="EY40" s="246">
        <v>126.54946999999801</v>
      </c>
      <c r="EZ40" s="246">
        <v>125.83725539183899</v>
      </c>
      <c r="FA40" s="246">
        <v>128.39649999999997</v>
      </c>
      <c r="FB40" s="246">
        <v>191.99999612579799</v>
      </c>
      <c r="FC40" s="246">
        <v>138.66848999999999</v>
      </c>
      <c r="FD40" s="243">
        <f t="shared" si="163"/>
        <v>166.40218799999997</v>
      </c>
      <c r="FE40" s="247">
        <v>190</v>
      </c>
      <c r="FF40" s="246">
        <v>178.78372572535199</v>
      </c>
      <c r="FG40" s="246">
        <v>172.99750999999901</v>
      </c>
      <c r="FH40" s="246">
        <v>168.39091900984999</v>
      </c>
      <c r="FI40" s="246">
        <v>176.45568</v>
      </c>
      <c r="FJ40" s="246">
        <v>176.99999455091799</v>
      </c>
      <c r="FK40" s="246">
        <v>161.33408999999997</v>
      </c>
      <c r="FL40" s="243">
        <f t="shared" si="164"/>
        <v>193.60090799999995</v>
      </c>
      <c r="FM40" s="246">
        <v>180</v>
      </c>
      <c r="FN40" s="246">
        <v>27.804848366213001</v>
      </c>
      <c r="FO40" s="246">
        <v>26.319679999999003</v>
      </c>
      <c r="FP40" s="246">
        <v>26.379532306818</v>
      </c>
      <c r="FQ40" s="246">
        <v>20.084609999999998</v>
      </c>
      <c r="FR40" s="246">
        <v>25.999999181061998</v>
      </c>
      <c r="FS40" s="246">
        <v>23.262129999999999</v>
      </c>
      <c r="FT40" s="243">
        <f t="shared" si="165"/>
        <v>27.914556000000001</v>
      </c>
      <c r="FU40" s="246">
        <v>23</v>
      </c>
      <c r="FV40" s="246">
        <v>51.353321477169999</v>
      </c>
      <c r="FW40" s="246">
        <v>53.079820000000005</v>
      </c>
      <c r="FX40" s="246">
        <v>54.200525703906003</v>
      </c>
      <c r="FY40" s="246">
        <v>58.391559999999998</v>
      </c>
      <c r="FZ40" s="246">
        <v>60.999998078647003</v>
      </c>
      <c r="GA40" s="246">
        <v>56.458899999998991</v>
      </c>
      <c r="GB40" s="243">
        <f t="shared" si="166"/>
        <v>67.750679999998795</v>
      </c>
      <c r="GC40" s="246">
        <v>60</v>
      </c>
      <c r="GD40" s="246">
        <v>268.43454764061198</v>
      </c>
      <c r="GE40" s="246">
        <v>256.392529999999</v>
      </c>
      <c r="GF40" s="246">
        <v>261.97558519243802</v>
      </c>
      <c r="GG40" s="246">
        <v>289.79903999999999</v>
      </c>
      <c r="GH40" s="246">
        <v>261.69790501247701</v>
      </c>
      <c r="GI40" s="246">
        <v>216.83267999999998</v>
      </c>
      <c r="GJ40" s="243">
        <f t="shared" si="167"/>
        <v>260.19921599999998</v>
      </c>
      <c r="GK40" s="246">
        <v>265</v>
      </c>
      <c r="GL40" s="246">
        <v>46.041163431722005</v>
      </c>
      <c r="GM40" s="246">
        <v>55.215649999997993</v>
      </c>
      <c r="GN40" s="246">
        <v>55.341213229682999</v>
      </c>
      <c r="GO40" s="246">
        <v>57.140590000000003</v>
      </c>
      <c r="GP40" s="246">
        <v>61.999998299129999</v>
      </c>
      <c r="GQ40" s="246">
        <v>55.246869999999987</v>
      </c>
      <c r="GR40" s="243">
        <f t="shared" si="168"/>
        <v>66.296243999999973</v>
      </c>
      <c r="GS40" s="246">
        <f>65+44</f>
        <v>109</v>
      </c>
      <c r="GT40" s="246">
        <v>0</v>
      </c>
      <c r="GU40" s="246">
        <v>9.7289999999999988E-2</v>
      </c>
      <c r="GV40" s="246">
        <v>9.7511242466E-2</v>
      </c>
      <c r="GW40" s="246">
        <v>0.18228</v>
      </c>
      <c r="GX40" s="246">
        <v>0.417359986854</v>
      </c>
      <c r="GY40" s="246">
        <v>2.2109999999999998E-2</v>
      </c>
      <c r="GZ40" s="243">
        <f t="shared" si="169"/>
        <v>2.6532E-2</v>
      </c>
      <c r="HA40" s="246">
        <v>0.18228</v>
      </c>
      <c r="HB40" s="246">
        <v>47.244154737791</v>
      </c>
      <c r="HC40" s="246">
        <v>23.703459999999001</v>
      </c>
      <c r="HD40" s="246">
        <v>29.757362349459001</v>
      </c>
      <c r="HE40" s="246">
        <v>11.84942</v>
      </c>
      <c r="HF40" s="246">
        <v>23.999999244057001</v>
      </c>
      <c r="HG40" s="246">
        <v>6.7715300000000003</v>
      </c>
      <c r="HH40" s="243">
        <f t="shared" si="170"/>
        <v>8.1258359999999996</v>
      </c>
      <c r="HI40" s="246">
        <v>20</v>
      </c>
      <c r="HJ40" s="246">
        <v>119.26145249707</v>
      </c>
      <c r="HK40" s="246">
        <v>171.62941999999998</v>
      </c>
      <c r="HL40" s="246">
        <v>264.01972221030297</v>
      </c>
      <c r="HM40" s="246">
        <v>256.24878999999999</v>
      </c>
      <c r="HN40" s="246">
        <v>354.92981404305698</v>
      </c>
      <c r="HO40" s="246">
        <v>184.16436999999999</v>
      </c>
      <c r="HP40" s="243">
        <f t="shared" si="171"/>
        <v>220.99724399999997</v>
      </c>
      <c r="HQ40" s="246">
        <f>400-50</f>
        <v>350</v>
      </c>
      <c r="HR40" s="246">
        <v>234.36341287002901</v>
      </c>
      <c r="HS40" s="246">
        <v>234.79848999999899</v>
      </c>
      <c r="HT40" s="246">
        <v>249.33245323360998</v>
      </c>
      <c r="HU40" s="246">
        <v>251.68278000000004</v>
      </c>
      <c r="HV40" s="246">
        <v>255.122051964273</v>
      </c>
      <c r="HW40" s="246">
        <v>214.12723</v>
      </c>
      <c r="HX40" s="243">
        <f t="shared" si="172"/>
        <v>256.952676</v>
      </c>
      <c r="HY40" s="246">
        <v>251</v>
      </c>
      <c r="HZ40" s="246">
        <v>932.36092647025202</v>
      </c>
      <c r="IA40" s="246">
        <v>1015.715049999998</v>
      </c>
      <c r="IB40" s="246">
        <v>1013.024875986596</v>
      </c>
      <c r="IC40" s="246">
        <v>899.32891000000006</v>
      </c>
      <c r="ID40" s="246">
        <v>1000.374835101244</v>
      </c>
      <c r="IE40" s="246">
        <v>727.20005999999989</v>
      </c>
      <c r="IF40" s="243">
        <f t="shared" si="173"/>
        <v>872.6400719999998</v>
      </c>
      <c r="IG40" s="246">
        <v>900</v>
      </c>
      <c r="IH40" s="246">
        <v>515.38149183454198</v>
      </c>
      <c r="II40" s="246">
        <v>564.89261999999599</v>
      </c>
      <c r="IJ40" s="246">
        <v>553.17725688745202</v>
      </c>
      <c r="IK40" s="246">
        <v>738.8983199999999</v>
      </c>
      <c r="IL40" s="246">
        <v>851.99997316406393</v>
      </c>
      <c r="IM40" s="246">
        <v>737.71096</v>
      </c>
      <c r="IN40" s="243">
        <f t="shared" si="174"/>
        <v>885.253152</v>
      </c>
      <c r="IO40" s="246">
        <v>860</v>
      </c>
      <c r="IP40" s="246">
        <v>20.791786382621002</v>
      </c>
      <c r="IQ40" s="246">
        <v>9.8903400000000019</v>
      </c>
      <c r="IR40" s="246">
        <v>9.912831142148999</v>
      </c>
      <c r="IS40" s="246">
        <v>9.7318699999999989</v>
      </c>
      <c r="IT40" s="246">
        <v>9.9999996850229991</v>
      </c>
      <c r="IU40" s="246">
        <v>4.6202499999999995</v>
      </c>
      <c r="IV40" s="243">
        <f t="shared" si="175"/>
        <v>5.5442999999999998</v>
      </c>
      <c r="IW40" s="246">
        <v>9.7318699999999989</v>
      </c>
      <c r="IX40" s="246">
        <v>88.901197910929</v>
      </c>
      <c r="IY40" s="246">
        <v>67.908159999999995</v>
      </c>
      <c r="IZ40" s="246">
        <v>68.062586650621</v>
      </c>
      <c r="JA40" s="246">
        <v>67.516279999999995</v>
      </c>
      <c r="JB40" s="246">
        <v>67.999997858163994</v>
      </c>
      <c r="JC40" s="246">
        <v>64.849130000000002</v>
      </c>
      <c r="JD40" s="243">
        <f t="shared" si="176"/>
        <v>77.818956000000014</v>
      </c>
      <c r="JE40" s="246">
        <v>67.516279999999995</v>
      </c>
      <c r="JF40" s="246">
        <v>192.92283506681599</v>
      </c>
      <c r="JG40" s="246">
        <v>186.74610000000001</v>
      </c>
      <c r="JH40" s="246">
        <v>205.17078101077701</v>
      </c>
      <c r="JI40" s="246">
        <v>258.23910999999998</v>
      </c>
      <c r="JJ40" s="246">
        <v>206.999993480001</v>
      </c>
      <c r="JK40" s="246">
        <v>143.16895000000002</v>
      </c>
      <c r="JL40" s="243">
        <f t="shared" si="177"/>
        <v>171.80274000000003</v>
      </c>
      <c r="JM40" s="246">
        <v>210</v>
      </c>
      <c r="JN40" s="246"/>
      <c r="JO40" s="246"/>
      <c r="JP40" s="246"/>
      <c r="JQ40" s="246"/>
      <c r="JR40" s="246">
        <v>0</v>
      </c>
      <c r="JS40" s="246">
        <v>0.28936000000000001</v>
      </c>
      <c r="JT40" s="243">
        <f t="shared" si="178"/>
        <v>0.34723199999999999</v>
      </c>
      <c r="JU40" s="246"/>
      <c r="JV40" s="246">
        <v>24.950920790903002</v>
      </c>
      <c r="JW40" s="246">
        <v>25.10736</v>
      </c>
      <c r="JX40" s="246">
        <v>20.164457582506998</v>
      </c>
      <c r="JY40" s="246">
        <v>16.68862</v>
      </c>
      <c r="JZ40" s="246">
        <v>24.999999212559999</v>
      </c>
      <c r="KA40" s="246">
        <v>13.76357</v>
      </c>
      <c r="KB40" s="243">
        <f t="shared" si="179"/>
        <v>16.516283999999999</v>
      </c>
      <c r="KC40" s="246">
        <v>16.68862</v>
      </c>
      <c r="KD40" s="246">
        <v>30.236678500842</v>
      </c>
      <c r="KE40" s="246">
        <v>33.004460000000002</v>
      </c>
      <c r="KF40" s="246">
        <v>32.079515455878997</v>
      </c>
      <c r="KG40" s="246">
        <v>36.336419999999997</v>
      </c>
      <c r="KH40" s="246">
        <v>32.999998960580001</v>
      </c>
      <c r="KI40" s="246">
        <v>27.689720000000001</v>
      </c>
      <c r="KJ40" s="243">
        <f t="shared" si="180"/>
        <v>33.227664000000004</v>
      </c>
      <c r="KK40" s="246">
        <v>36.336419999999997</v>
      </c>
      <c r="KL40" s="246">
        <v>0</v>
      </c>
      <c r="KM40" s="246">
        <v>0.18515999999999999</v>
      </c>
      <c r="KN40" s="246">
        <v>0.18558106336800001</v>
      </c>
      <c r="KO40" s="246">
        <v>0</v>
      </c>
      <c r="KP40" s="246"/>
      <c r="KQ40" s="246"/>
      <c r="KR40" s="243">
        <f t="shared" si="181"/>
        <v>0</v>
      </c>
      <c r="KS40" s="246">
        <v>0</v>
      </c>
      <c r="KT40" s="246">
        <v>20.677497167609999</v>
      </c>
      <c r="KU40" s="246">
        <v>16.310189999999995</v>
      </c>
      <c r="KV40" s="246">
        <v>16.347280211436999</v>
      </c>
      <c r="KW40" s="246">
        <v>12.639319999999998</v>
      </c>
      <c r="KX40" s="246">
        <v>15.999999496038001</v>
      </c>
      <c r="KY40" s="246">
        <v>12.49203</v>
      </c>
      <c r="KZ40" s="243">
        <f t="shared" si="182"/>
        <v>14.990436000000001</v>
      </c>
      <c r="LA40" s="246">
        <v>18</v>
      </c>
      <c r="LB40" s="246">
        <v>19.995590312931</v>
      </c>
      <c r="LC40" s="246">
        <v>19.982999999999997</v>
      </c>
      <c r="LD40" s="246">
        <v>20.028442370392</v>
      </c>
      <c r="LE40" s="246">
        <v>19.979389999999999</v>
      </c>
      <c r="LF40" s="246">
        <v>19.999999370047998</v>
      </c>
      <c r="LG40" s="246">
        <v>14.555210000000002</v>
      </c>
      <c r="LH40" s="243">
        <f t="shared" si="183"/>
        <v>17.466252000000004</v>
      </c>
      <c r="LI40" s="246">
        <v>19.979389999999999</v>
      </c>
      <c r="LJ40" s="246">
        <v>21.400456806360999</v>
      </c>
      <c r="LK40" s="246">
        <v>8.9311999999999987</v>
      </c>
      <c r="LL40" s="246">
        <v>8.9515100084280004</v>
      </c>
      <c r="LM40" s="246">
        <v>9.9499800000000018</v>
      </c>
      <c r="LN40" s="246">
        <v>8.9999997165209997</v>
      </c>
      <c r="LO40" s="246">
        <v>5.9756099999999988</v>
      </c>
      <c r="LP40" s="243">
        <f t="shared" si="184"/>
        <v>7.1707319999999992</v>
      </c>
      <c r="LQ40" s="246">
        <v>9.9499800000000018</v>
      </c>
      <c r="LR40" s="246">
        <v>0</v>
      </c>
      <c r="LS40" s="246">
        <v>9.5390000000000003E-2</v>
      </c>
      <c r="LT40" s="244">
        <f t="shared" si="185"/>
        <v>0.11446800000000001</v>
      </c>
      <c r="LU40" s="246">
        <v>0.24173333333333333</v>
      </c>
      <c r="LV40" s="246"/>
      <c r="LW40" s="246"/>
      <c r="LX40" s="246"/>
      <c r="LY40" s="246"/>
      <c r="LZ40" s="246"/>
      <c r="MA40" s="246"/>
      <c r="MB40" s="243">
        <f t="shared" si="186"/>
        <v>0</v>
      </c>
      <c r="MC40" s="246"/>
      <c r="MD40" s="246">
        <v>1547.0317157657582</v>
      </c>
      <c r="ME40" s="246">
        <v>1550.5245699999998</v>
      </c>
      <c r="MF40" s="246">
        <v>1554.0505426673999</v>
      </c>
      <c r="MG40" s="246">
        <v>1587.8419799999999</v>
      </c>
      <c r="MH40" s="246">
        <v>5489.9998270783099</v>
      </c>
      <c r="MI40" s="246">
        <v>2860.5373500000001</v>
      </c>
      <c r="MJ40" s="243">
        <f t="shared" si="187"/>
        <v>3432.6448200000004</v>
      </c>
      <c r="MK40" s="247">
        <v>5362</v>
      </c>
      <c r="ML40" s="246">
        <v>26.236839335258999</v>
      </c>
      <c r="MM40" s="246">
        <v>21.957809999999004</v>
      </c>
      <c r="MN40" s="246">
        <v>25.00774426684</v>
      </c>
      <c r="MO40" s="246">
        <v>27.488739999999002</v>
      </c>
      <c r="MP40" s="246">
        <v>27.697307207306</v>
      </c>
      <c r="MQ40" s="246">
        <v>19.27617</v>
      </c>
      <c r="MR40" s="243">
        <f t="shared" si="188"/>
        <v>23.131404000000003</v>
      </c>
      <c r="MS40" s="271">
        <v>27.488739999999002</v>
      </c>
      <c r="MT40" s="246">
        <v>1081.8896391748549</v>
      </c>
      <c r="MU40" s="246">
        <v>1023.1868399999989</v>
      </c>
      <c r="MV40" s="246">
        <v>1008.5136889895209</v>
      </c>
      <c r="MW40" s="246">
        <v>938.61281000000008</v>
      </c>
      <c r="MX40" s="246">
        <v>1021.9999678094761</v>
      </c>
      <c r="MY40" s="246">
        <v>904.2223899999999</v>
      </c>
      <c r="MZ40" s="243">
        <f t="shared" si="189"/>
        <v>1085.0668679999999</v>
      </c>
      <c r="NA40" s="246">
        <v>1020</v>
      </c>
      <c r="NB40" s="246">
        <v>0</v>
      </c>
      <c r="NC40" s="246">
        <v>9.5390000000000003E-2</v>
      </c>
      <c r="ND40" s="243">
        <f t="shared" si="190"/>
        <v>0.11446800000000001</v>
      </c>
      <c r="NE40" s="246">
        <v>0.12718666666666667</v>
      </c>
      <c r="NF40" s="246">
        <v>0</v>
      </c>
      <c r="NG40" s="246">
        <v>2.7119999999999997</v>
      </c>
      <c r="NH40" s="246">
        <v>6.7181672275680002</v>
      </c>
      <c r="NI40" s="246">
        <v>2.6619999999999999</v>
      </c>
      <c r="NJ40" s="246">
        <v>3.6619999161529999</v>
      </c>
      <c r="NK40" s="246">
        <v>2.6520999999999999</v>
      </c>
      <c r="NL40" s="243">
        <f t="shared" si="191"/>
        <v>3.1825200000000002</v>
      </c>
      <c r="NM40" s="246">
        <v>4</v>
      </c>
      <c r="NN40" s="246"/>
      <c r="NO40" s="246"/>
      <c r="NP40" s="246"/>
      <c r="NQ40" s="246"/>
      <c r="NR40" s="246"/>
      <c r="NS40" s="246"/>
      <c r="NT40" s="243">
        <f t="shared" si="192"/>
        <v>0</v>
      </c>
      <c r="NU40" s="246"/>
      <c r="NV40" s="246">
        <v>5</v>
      </c>
      <c r="NW40" s="246">
        <v>13.41173</v>
      </c>
      <c r="NX40" s="246">
        <v>23.442229502671999</v>
      </c>
      <c r="NY40" s="246">
        <v>21.391209999999997</v>
      </c>
      <c r="NZ40" s="246">
        <v>27.999999338550001</v>
      </c>
      <c r="OA40" s="246">
        <v>27.076299999999001</v>
      </c>
      <c r="OB40" s="243">
        <f t="shared" si="193"/>
        <v>32.491559999998799</v>
      </c>
      <c r="OC40" s="246">
        <v>30</v>
      </c>
      <c r="OD40" s="246">
        <v>361.672213054054</v>
      </c>
      <c r="OE40" s="246">
        <v>359.50360999999896</v>
      </c>
      <c r="OF40" s="246">
        <v>360.32113971040701</v>
      </c>
      <c r="OG40" s="246">
        <v>374.51211999999992</v>
      </c>
      <c r="OH40" s="246">
        <v>382.999987936428</v>
      </c>
      <c r="OI40" s="246">
        <v>303.53258999999991</v>
      </c>
      <c r="OJ40" s="243">
        <f t="shared" si="194"/>
        <v>364.23910799999987</v>
      </c>
      <c r="OK40" s="246">
        <v>380</v>
      </c>
      <c r="OL40" s="246">
        <v>533.04762797815499</v>
      </c>
      <c r="OM40" s="246">
        <v>519.57904000000008</v>
      </c>
      <c r="ON40" s="246">
        <v>514.76061262915198</v>
      </c>
      <c r="OO40" s="246">
        <v>496.21653000000003</v>
      </c>
      <c r="OP40" s="246">
        <v>514.99998541662092</v>
      </c>
      <c r="OQ40" s="246">
        <v>445.90273000000008</v>
      </c>
      <c r="OR40" s="243">
        <f t="shared" si="195"/>
        <v>535.08327600000007</v>
      </c>
      <c r="OS40" s="246">
        <v>515</v>
      </c>
      <c r="OT40" s="246"/>
      <c r="OU40" s="246"/>
      <c r="OV40" s="246"/>
      <c r="OW40" s="246"/>
      <c r="OX40" s="246"/>
      <c r="OY40" s="246"/>
      <c r="OZ40" s="243">
        <f t="shared" si="196"/>
        <v>0</v>
      </c>
      <c r="PA40" s="247"/>
      <c r="PB40" s="246"/>
      <c r="PC40" s="246">
        <v>1.3795200000000001</v>
      </c>
      <c r="PD40" s="243">
        <f t="shared" si="197"/>
        <v>1.6554240000000002</v>
      </c>
      <c r="PE40" s="247"/>
      <c r="PF40" s="246">
        <v>0</v>
      </c>
      <c r="PG40" s="246">
        <v>25.115539999999001</v>
      </c>
      <c r="PH40" s="246">
        <v>0</v>
      </c>
      <c r="PI40" s="246">
        <v>39.653370000000002</v>
      </c>
      <c r="PJ40" s="246">
        <v>0</v>
      </c>
      <c r="PK40" s="246">
        <v>55.516190000000009</v>
      </c>
      <c r="PL40" s="243">
        <f t="shared" si="139"/>
        <v>66.619427999999999</v>
      </c>
      <c r="PM40" s="247"/>
      <c r="PN40" s="246">
        <v>-437.30755352461398</v>
      </c>
      <c r="PO40" s="246">
        <v>0</v>
      </c>
      <c r="PP40" s="246">
        <v>311.05827253105798</v>
      </c>
      <c r="PQ40" s="246">
        <v>0</v>
      </c>
      <c r="PR40" s="246">
        <v>1274.7520117044601</v>
      </c>
      <c r="PS40" s="246">
        <v>0</v>
      </c>
      <c r="PT40" s="243">
        <f t="shared" si="198"/>
        <v>0</v>
      </c>
      <c r="PU40" s="246"/>
      <c r="PV40" s="246">
        <v>0</v>
      </c>
      <c r="PW40" s="246">
        <v>0</v>
      </c>
      <c r="PX40" s="246">
        <v>0</v>
      </c>
      <c r="PY40" s="246">
        <v>6.1330000000000003E-2</v>
      </c>
      <c r="PZ40" s="246">
        <v>3.4109998925000003E-2</v>
      </c>
      <c r="QA40" s="246">
        <v>0</v>
      </c>
      <c r="QB40" s="243">
        <f t="shared" si="199"/>
        <v>0</v>
      </c>
      <c r="QC40" s="246">
        <v>6.1330000000000003E-2</v>
      </c>
      <c r="QD40" s="246">
        <v>0</v>
      </c>
      <c r="QE40" s="246">
        <v>0</v>
      </c>
      <c r="QF40" s="246"/>
      <c r="QG40" s="246"/>
      <c r="QH40" s="246"/>
      <c r="QI40" s="246"/>
      <c r="QJ40" s="243">
        <f t="shared" si="200"/>
        <v>0</v>
      </c>
      <c r="QK40" s="246">
        <v>0</v>
      </c>
      <c r="QL40" s="246">
        <v>0</v>
      </c>
      <c r="QM40" s="246">
        <v>1.0000828290501751E-12</v>
      </c>
      <c r="QN40" s="246"/>
      <c r="QO40" s="246"/>
      <c r="QP40" s="243">
        <f t="shared" si="201"/>
        <v>0</v>
      </c>
      <c r="QQ40" s="243">
        <f t="shared" si="140"/>
        <v>0</v>
      </c>
      <c r="QR40" s="246"/>
      <c r="QS40" s="246"/>
      <c r="QT40" s="246"/>
      <c r="QU40" s="246"/>
      <c r="QV40" s="243">
        <f t="shared" si="202"/>
        <v>0</v>
      </c>
      <c r="QW40" s="246"/>
      <c r="QX40" s="246"/>
      <c r="QY40" s="246"/>
      <c r="QZ40" s="246">
        <v>0</v>
      </c>
      <c r="RA40" s="246">
        <v>5.9352299999999998</v>
      </c>
      <c r="RB40" s="246">
        <v>30</v>
      </c>
      <c r="RC40" s="246">
        <v>19.92399</v>
      </c>
      <c r="RD40" s="243">
        <f t="shared" si="203"/>
        <v>23.908788000000001</v>
      </c>
      <c r="RE40" s="300">
        <v>10</v>
      </c>
      <c r="RF40" s="259">
        <f t="shared" si="101"/>
        <v>20200.008671925109</v>
      </c>
      <c r="RG40" s="259">
        <f t="shared" si="141"/>
        <v>13987.20865</v>
      </c>
      <c r="RH40" s="259">
        <f t="shared" si="142"/>
        <v>16784.650379999999</v>
      </c>
      <c r="RI40" s="256">
        <f t="shared" si="143"/>
        <v>18979.726150000002</v>
      </c>
      <c r="RJ40" s="281"/>
    </row>
    <row r="41" spans="1:478">
      <c r="A41" s="5" t="s">
        <v>110</v>
      </c>
      <c r="B41" s="263"/>
      <c r="C41" s="246"/>
      <c r="D41" s="246"/>
      <c r="E41" s="246"/>
      <c r="F41" s="246"/>
      <c r="G41" s="243"/>
      <c r="H41" s="243">
        <f t="shared" si="144"/>
        <v>0</v>
      </c>
      <c r="I41" s="246"/>
      <c r="J41" s="246"/>
      <c r="K41" s="246"/>
      <c r="L41" s="246"/>
      <c r="M41" s="246"/>
      <c r="N41" s="246"/>
      <c r="O41" s="246"/>
      <c r="P41" s="243">
        <f t="shared" si="145"/>
        <v>0</v>
      </c>
      <c r="Q41" s="246"/>
      <c r="R41" s="246"/>
      <c r="S41" s="246"/>
      <c r="T41" s="246"/>
      <c r="U41" s="246"/>
      <c r="V41" s="246"/>
      <c r="W41" s="246"/>
      <c r="X41" s="243">
        <f t="shared" si="146"/>
        <v>0</v>
      </c>
      <c r="Y41" s="246"/>
      <c r="Z41" s="246"/>
      <c r="AA41" s="246"/>
      <c r="AB41" s="246"/>
      <c r="AC41" s="246"/>
      <c r="AD41" s="246"/>
      <c r="AE41" s="246"/>
      <c r="AF41" s="243">
        <f t="shared" si="147"/>
        <v>0</v>
      </c>
      <c r="AG41" s="246"/>
      <c r="AH41" s="246"/>
      <c r="AI41" s="246"/>
      <c r="AJ41" s="246"/>
      <c r="AK41" s="246"/>
      <c r="AL41" s="246"/>
      <c r="AM41" s="246"/>
      <c r="AN41" s="243">
        <f t="shared" si="148"/>
        <v>0</v>
      </c>
      <c r="AO41" s="246"/>
      <c r="AP41" s="246"/>
      <c r="AQ41" s="246"/>
      <c r="AR41" s="246"/>
      <c r="AS41" s="246"/>
      <c r="AT41" s="246"/>
      <c r="AU41" s="246"/>
      <c r="AV41" s="243">
        <f t="shared" si="149"/>
        <v>0</v>
      </c>
      <c r="AW41" s="246"/>
      <c r="AX41" s="246"/>
      <c r="AY41" s="246"/>
      <c r="AZ41" s="246"/>
      <c r="BA41" s="246"/>
      <c r="BB41" s="246"/>
      <c r="BC41" s="246"/>
      <c r="BD41" s="243">
        <f t="shared" si="150"/>
        <v>0</v>
      </c>
      <c r="BE41" s="246"/>
      <c r="BF41" s="246"/>
      <c r="BG41" s="246"/>
      <c r="BH41" s="246"/>
      <c r="BI41" s="246"/>
      <c r="BJ41" s="246"/>
      <c r="BK41" s="246"/>
      <c r="BL41" s="243">
        <f t="shared" si="151"/>
        <v>0</v>
      </c>
      <c r="BM41" s="246"/>
      <c r="BN41" s="246"/>
      <c r="BO41" s="246"/>
      <c r="BP41" s="246"/>
      <c r="BQ41" s="246"/>
      <c r="BR41" s="246"/>
      <c r="BS41" s="246"/>
      <c r="BT41" s="243">
        <f t="shared" si="152"/>
        <v>0</v>
      </c>
      <c r="BU41" s="246"/>
      <c r="BV41" s="246"/>
      <c r="BW41" s="246"/>
      <c r="BX41" s="246"/>
      <c r="BY41" s="246"/>
      <c r="BZ41" s="246"/>
      <c r="CA41" s="246"/>
      <c r="CB41" s="243">
        <f t="shared" si="153"/>
        <v>0</v>
      </c>
      <c r="CC41" s="246"/>
      <c r="CD41" s="246">
        <v>29.205701600270999</v>
      </c>
      <c r="CE41" s="246">
        <v>14.173900000000001</v>
      </c>
      <c r="CF41" s="246"/>
      <c r="CG41" s="246"/>
      <c r="CH41" s="246"/>
      <c r="CI41" s="246"/>
      <c r="CJ41" s="243">
        <f t="shared" si="154"/>
        <v>0</v>
      </c>
      <c r="CK41" s="246"/>
      <c r="CL41" s="246"/>
      <c r="CM41" s="246"/>
      <c r="CN41" s="246"/>
      <c r="CO41" s="246"/>
      <c r="CP41" s="246"/>
      <c r="CQ41" s="246"/>
      <c r="CR41" s="243">
        <f t="shared" si="155"/>
        <v>0</v>
      </c>
      <c r="CS41" s="246"/>
      <c r="CT41" s="246"/>
      <c r="CU41" s="246"/>
      <c r="CV41" s="246"/>
      <c r="CW41" s="246"/>
      <c r="CX41" s="246"/>
      <c r="CY41" s="246"/>
      <c r="CZ41" s="243">
        <f t="shared" si="156"/>
        <v>0</v>
      </c>
      <c r="DA41" s="246"/>
      <c r="DB41" s="246">
        <v>1423.5486613666601</v>
      </c>
      <c r="DC41" s="246">
        <v>1002.6151600000001</v>
      </c>
      <c r="DD41" s="246"/>
      <c r="DE41" s="246"/>
      <c r="DF41" s="246"/>
      <c r="DG41" s="246"/>
      <c r="DH41" s="243">
        <f t="shared" si="157"/>
        <v>0</v>
      </c>
      <c r="DI41" s="246"/>
      <c r="DJ41" s="246"/>
      <c r="DK41" s="246"/>
      <c r="DL41" s="246"/>
      <c r="DM41" s="246"/>
      <c r="DN41" s="246"/>
      <c r="DO41" s="246"/>
      <c r="DP41" s="243">
        <f t="shared" si="158"/>
        <v>0</v>
      </c>
      <c r="DQ41" s="246"/>
      <c r="DR41" s="246"/>
      <c r="DS41" s="246"/>
      <c r="DT41" s="246"/>
      <c r="DU41" s="246"/>
      <c r="DV41" s="246"/>
      <c r="DW41" s="246"/>
      <c r="DX41" s="243">
        <f t="shared" si="159"/>
        <v>0</v>
      </c>
      <c r="DY41" s="246"/>
      <c r="DZ41" s="246"/>
      <c r="EA41" s="246"/>
      <c r="EB41" s="246"/>
      <c r="EC41" s="246"/>
      <c r="ED41" s="246"/>
      <c r="EE41" s="246"/>
      <c r="EF41" s="243">
        <f t="shared" si="160"/>
        <v>0</v>
      </c>
      <c r="EG41" s="246"/>
      <c r="EH41" s="246"/>
      <c r="EI41" s="246"/>
      <c r="EJ41" s="246"/>
      <c r="EK41" s="246"/>
      <c r="EL41" s="246"/>
      <c r="EM41" s="246"/>
      <c r="EN41" s="243">
        <f t="shared" si="161"/>
        <v>0</v>
      </c>
      <c r="EO41" s="246"/>
      <c r="EP41" s="246"/>
      <c r="EQ41" s="246"/>
      <c r="ER41" s="246"/>
      <c r="ES41" s="246"/>
      <c r="ET41" s="246"/>
      <c r="EU41" s="246"/>
      <c r="EV41" s="243">
        <f t="shared" si="162"/>
        <v>0</v>
      </c>
      <c r="EW41" s="246"/>
      <c r="EX41" s="246"/>
      <c r="EY41" s="246"/>
      <c r="EZ41" s="246"/>
      <c r="FA41" s="246"/>
      <c r="FB41" s="246"/>
      <c r="FC41" s="246"/>
      <c r="FD41" s="243">
        <f t="shared" si="163"/>
        <v>0</v>
      </c>
      <c r="FE41" s="246"/>
      <c r="FF41" s="246"/>
      <c r="FG41" s="246"/>
      <c r="FH41" s="246"/>
      <c r="FI41" s="246"/>
      <c r="FJ41" s="246"/>
      <c r="FK41" s="246"/>
      <c r="FL41" s="243">
        <f t="shared" si="164"/>
        <v>0</v>
      </c>
      <c r="FM41" s="246"/>
      <c r="FN41" s="246"/>
      <c r="FO41" s="246"/>
      <c r="FP41" s="246"/>
      <c r="FQ41" s="246"/>
      <c r="FR41" s="246"/>
      <c r="FS41" s="246"/>
      <c r="FT41" s="243">
        <f t="shared" si="165"/>
        <v>0</v>
      </c>
      <c r="FU41" s="246"/>
      <c r="FV41" s="246"/>
      <c r="FW41" s="246"/>
      <c r="FX41" s="246"/>
      <c r="FY41" s="246"/>
      <c r="FZ41" s="246"/>
      <c r="GA41" s="246"/>
      <c r="GB41" s="243">
        <f t="shared" si="166"/>
        <v>0</v>
      </c>
      <c r="GC41" s="246"/>
      <c r="GD41" s="246"/>
      <c r="GE41" s="246"/>
      <c r="GF41" s="246"/>
      <c r="GG41" s="246"/>
      <c r="GH41" s="246"/>
      <c r="GI41" s="246"/>
      <c r="GJ41" s="243">
        <f t="shared" si="167"/>
        <v>0</v>
      </c>
      <c r="GK41" s="246"/>
      <c r="GL41" s="246"/>
      <c r="GM41" s="246"/>
      <c r="GN41" s="246"/>
      <c r="GO41" s="246"/>
      <c r="GP41" s="246"/>
      <c r="GQ41" s="246"/>
      <c r="GR41" s="243">
        <f t="shared" si="168"/>
        <v>0</v>
      </c>
      <c r="GS41" s="246"/>
      <c r="GT41" s="246"/>
      <c r="GU41" s="246"/>
      <c r="GV41" s="246"/>
      <c r="GW41" s="246"/>
      <c r="GX41" s="246"/>
      <c r="GY41" s="246"/>
      <c r="GZ41" s="243">
        <f t="shared" si="169"/>
        <v>0</v>
      </c>
      <c r="HA41" s="246"/>
      <c r="HB41" s="246"/>
      <c r="HC41" s="246"/>
      <c r="HD41" s="246"/>
      <c r="HE41" s="246"/>
      <c r="HF41" s="246"/>
      <c r="HG41" s="246"/>
      <c r="HH41" s="243">
        <f t="shared" si="170"/>
        <v>0</v>
      </c>
      <c r="HI41" s="246"/>
      <c r="HJ41" s="246"/>
      <c r="HK41" s="246"/>
      <c r="HL41" s="246"/>
      <c r="HM41" s="246"/>
      <c r="HN41" s="246"/>
      <c r="HO41" s="246"/>
      <c r="HP41" s="243">
        <f t="shared" si="171"/>
        <v>0</v>
      </c>
      <c r="HQ41" s="246"/>
      <c r="HR41" s="246"/>
      <c r="HS41" s="246"/>
      <c r="HT41" s="246"/>
      <c r="HU41" s="246"/>
      <c r="HV41" s="246"/>
      <c r="HW41" s="246"/>
      <c r="HX41" s="243">
        <f t="shared" si="172"/>
        <v>0</v>
      </c>
      <c r="HY41" s="246"/>
      <c r="HZ41" s="246">
        <v>59.745637032982003</v>
      </c>
      <c r="IA41" s="246">
        <v>30.596879999998997</v>
      </c>
      <c r="IB41" s="246"/>
      <c r="IC41" s="246"/>
      <c r="ID41" s="246"/>
      <c r="IE41" s="246"/>
      <c r="IF41" s="243">
        <f t="shared" si="173"/>
        <v>0</v>
      </c>
      <c r="IG41" s="246">
        <v>0</v>
      </c>
      <c r="IH41" s="246"/>
      <c r="II41" s="246"/>
      <c r="IJ41" s="246"/>
      <c r="IK41" s="246"/>
      <c r="IL41" s="246"/>
      <c r="IM41" s="246"/>
      <c r="IN41" s="243">
        <f t="shared" si="174"/>
        <v>0</v>
      </c>
      <c r="IO41" s="246"/>
      <c r="IP41" s="246"/>
      <c r="IQ41" s="246"/>
      <c r="IR41" s="246"/>
      <c r="IS41" s="246"/>
      <c r="IT41" s="246"/>
      <c r="IU41" s="246"/>
      <c r="IV41" s="243">
        <f t="shared" si="175"/>
        <v>0</v>
      </c>
      <c r="IW41" s="246"/>
      <c r="IX41" s="246"/>
      <c r="IY41" s="246"/>
      <c r="IZ41" s="246"/>
      <c r="JA41" s="246"/>
      <c r="JB41" s="246"/>
      <c r="JC41" s="246"/>
      <c r="JD41" s="243">
        <f t="shared" si="176"/>
        <v>0</v>
      </c>
      <c r="JE41" s="246"/>
      <c r="JF41" s="246"/>
      <c r="JG41" s="246"/>
      <c r="JH41" s="246"/>
      <c r="JI41" s="246"/>
      <c r="JJ41" s="246"/>
      <c r="JK41" s="246"/>
      <c r="JL41" s="243">
        <f t="shared" si="177"/>
        <v>0</v>
      </c>
      <c r="JM41" s="246"/>
      <c r="JN41" s="246"/>
      <c r="JO41" s="246"/>
      <c r="JP41" s="246"/>
      <c r="JQ41" s="246"/>
      <c r="JR41" s="246"/>
      <c r="JS41" s="246"/>
      <c r="JT41" s="243">
        <f t="shared" si="178"/>
        <v>0</v>
      </c>
      <c r="JU41" s="246"/>
      <c r="JV41" s="246"/>
      <c r="JW41" s="246"/>
      <c r="JX41" s="246"/>
      <c r="JY41" s="246"/>
      <c r="JZ41" s="246"/>
      <c r="KA41" s="246"/>
      <c r="KB41" s="243">
        <f t="shared" si="179"/>
        <v>0</v>
      </c>
      <c r="KC41" s="246"/>
      <c r="KD41" s="246"/>
      <c r="KE41" s="246"/>
      <c r="KF41" s="246"/>
      <c r="KG41" s="246"/>
      <c r="KH41" s="246"/>
      <c r="KI41" s="246"/>
      <c r="KJ41" s="243">
        <f t="shared" si="180"/>
        <v>0</v>
      </c>
      <c r="KK41" s="246"/>
      <c r="KL41" s="246"/>
      <c r="KM41" s="246"/>
      <c r="KN41" s="246"/>
      <c r="KO41" s="246"/>
      <c r="KP41" s="246"/>
      <c r="KQ41" s="246"/>
      <c r="KR41" s="243">
        <f t="shared" si="181"/>
        <v>0</v>
      </c>
      <c r="KS41" s="246"/>
      <c r="KT41" s="246"/>
      <c r="KU41" s="246"/>
      <c r="KV41" s="246"/>
      <c r="KW41" s="246"/>
      <c r="KX41" s="246"/>
      <c r="KY41" s="246"/>
      <c r="KZ41" s="243">
        <f t="shared" si="182"/>
        <v>0</v>
      </c>
      <c r="LA41" s="246"/>
      <c r="LB41" s="246"/>
      <c r="LC41" s="246"/>
      <c r="LD41" s="246"/>
      <c r="LE41" s="246"/>
      <c r="LF41" s="246"/>
      <c r="LG41" s="246"/>
      <c r="LH41" s="243">
        <f t="shared" si="183"/>
        <v>0</v>
      </c>
      <c r="LI41" s="246"/>
      <c r="LJ41" s="246"/>
      <c r="LK41" s="246"/>
      <c r="LL41" s="246"/>
      <c r="LM41" s="246"/>
      <c r="LN41" s="246"/>
      <c r="LO41" s="246"/>
      <c r="LP41" s="243">
        <f t="shared" si="184"/>
        <v>0</v>
      </c>
      <c r="LQ41" s="246"/>
      <c r="LR41" s="246"/>
      <c r="LS41" s="246"/>
      <c r="LT41" s="244">
        <f t="shared" si="185"/>
        <v>0</v>
      </c>
      <c r="LU41" s="246">
        <v>0</v>
      </c>
      <c r="LV41" s="246"/>
      <c r="LW41" s="246"/>
      <c r="LX41" s="246"/>
      <c r="LY41" s="246"/>
      <c r="LZ41" s="246"/>
      <c r="MA41" s="246"/>
      <c r="MB41" s="243">
        <f t="shared" si="186"/>
        <v>0</v>
      </c>
      <c r="MC41" s="246"/>
      <c r="MD41" s="246"/>
      <c r="ME41" s="246"/>
      <c r="MF41" s="246"/>
      <c r="MG41" s="246"/>
      <c r="MH41" s="246"/>
      <c r="MI41" s="246"/>
      <c r="MJ41" s="243">
        <f t="shared" si="187"/>
        <v>0</v>
      </c>
      <c r="MK41" s="246"/>
      <c r="ML41" s="246"/>
      <c r="MM41" s="246"/>
      <c r="MN41" s="246"/>
      <c r="MO41" s="246"/>
      <c r="MP41" s="246"/>
      <c r="MQ41" s="246"/>
      <c r="MR41" s="243">
        <f t="shared" si="188"/>
        <v>0</v>
      </c>
      <c r="MS41" s="271"/>
      <c r="MT41" s="246"/>
      <c r="MU41" s="246"/>
      <c r="MV41" s="246"/>
      <c r="MW41" s="246"/>
      <c r="MX41" s="246"/>
      <c r="MY41" s="246"/>
      <c r="MZ41" s="243">
        <f t="shared" si="189"/>
        <v>0</v>
      </c>
      <c r="NA41" s="246"/>
      <c r="NB41" s="246"/>
      <c r="NC41" s="246"/>
      <c r="ND41" s="243">
        <f t="shared" si="190"/>
        <v>0</v>
      </c>
      <c r="NE41" s="246">
        <v>0</v>
      </c>
      <c r="NF41" s="246"/>
      <c r="NG41" s="246"/>
      <c r="NH41" s="246"/>
      <c r="NI41" s="246"/>
      <c r="NJ41" s="246"/>
      <c r="NK41" s="246"/>
      <c r="NL41" s="243">
        <f t="shared" si="191"/>
        <v>0</v>
      </c>
      <c r="NM41" s="246"/>
      <c r="NN41" s="246"/>
      <c r="NO41" s="246"/>
      <c r="NP41" s="246"/>
      <c r="NQ41" s="246"/>
      <c r="NR41" s="246"/>
      <c r="NS41" s="246"/>
      <c r="NT41" s="243">
        <f t="shared" si="192"/>
        <v>0</v>
      </c>
      <c r="NU41" s="246"/>
      <c r="NV41" s="246"/>
      <c r="NW41" s="246"/>
      <c r="NX41" s="246"/>
      <c r="NY41" s="246"/>
      <c r="NZ41" s="246"/>
      <c r="OA41" s="246"/>
      <c r="OB41" s="243">
        <f t="shared" si="193"/>
        <v>0</v>
      </c>
      <c r="OC41" s="246"/>
      <c r="OD41" s="246"/>
      <c r="OE41" s="246"/>
      <c r="OF41" s="246"/>
      <c r="OG41" s="246"/>
      <c r="OH41" s="246"/>
      <c r="OI41" s="246"/>
      <c r="OJ41" s="243">
        <f t="shared" si="194"/>
        <v>0</v>
      </c>
      <c r="OK41" s="246"/>
      <c r="OL41" s="246"/>
      <c r="OM41" s="246"/>
      <c r="ON41" s="246"/>
      <c r="OO41" s="246"/>
      <c r="OP41" s="246"/>
      <c r="OQ41" s="246"/>
      <c r="OR41" s="243">
        <f t="shared" si="195"/>
        <v>0</v>
      </c>
      <c r="OS41" s="246"/>
      <c r="OT41" s="246"/>
      <c r="OU41" s="246"/>
      <c r="OV41" s="246"/>
      <c r="OW41" s="246"/>
      <c r="OX41" s="246"/>
      <c r="OY41" s="246"/>
      <c r="OZ41" s="243">
        <f t="shared" si="196"/>
        <v>0</v>
      </c>
      <c r="PA41" s="247"/>
      <c r="PB41" s="246"/>
      <c r="PC41" s="246"/>
      <c r="PD41" s="243">
        <f t="shared" si="197"/>
        <v>0</v>
      </c>
      <c r="PE41" s="247"/>
      <c r="PF41" s="246"/>
      <c r="PG41" s="246"/>
      <c r="PH41" s="246"/>
      <c r="PI41" s="246"/>
      <c r="PJ41" s="246"/>
      <c r="PK41" s="246"/>
      <c r="PL41" s="243">
        <f t="shared" si="139"/>
        <v>0</v>
      </c>
      <c r="PM41" s="247"/>
      <c r="PN41" s="246">
        <v>-22.500014610581001</v>
      </c>
      <c r="PO41" s="246">
        <v>0</v>
      </c>
      <c r="PP41" s="246"/>
      <c r="PQ41" s="246"/>
      <c r="PR41" s="246"/>
      <c r="PS41" s="246"/>
      <c r="PT41" s="243">
        <f t="shared" si="198"/>
        <v>0</v>
      </c>
      <c r="PU41" s="246"/>
      <c r="PV41" s="246"/>
      <c r="PW41" s="246"/>
      <c r="PX41" s="246"/>
      <c r="PY41" s="246"/>
      <c r="PZ41" s="246"/>
      <c r="QA41" s="246"/>
      <c r="QB41" s="243">
        <f t="shared" si="199"/>
        <v>0</v>
      </c>
      <c r="QC41" s="246"/>
      <c r="QD41" s="246"/>
      <c r="QE41" s="246"/>
      <c r="QF41" s="246"/>
      <c r="QG41" s="246"/>
      <c r="QH41" s="246"/>
      <c r="QI41" s="246"/>
      <c r="QJ41" s="243">
        <f t="shared" si="200"/>
        <v>0</v>
      </c>
      <c r="QK41" s="246">
        <v>0</v>
      </c>
      <c r="QL41" s="246"/>
      <c r="QM41" s="246"/>
      <c r="QN41" s="246"/>
      <c r="QO41" s="246"/>
      <c r="QP41" s="243">
        <f t="shared" si="201"/>
        <v>0</v>
      </c>
      <c r="QQ41" s="243">
        <f t="shared" si="140"/>
        <v>0</v>
      </c>
      <c r="QR41" s="246"/>
      <c r="QS41" s="246"/>
      <c r="QT41" s="246"/>
      <c r="QU41" s="246"/>
      <c r="QV41" s="243">
        <f t="shared" si="202"/>
        <v>0</v>
      </c>
      <c r="QW41" s="246"/>
      <c r="QX41" s="246"/>
      <c r="QY41" s="246"/>
      <c r="QZ41" s="246"/>
      <c r="RA41" s="246"/>
      <c r="RB41" s="246"/>
      <c r="RC41" s="246"/>
      <c r="RD41" s="243">
        <f t="shared" si="203"/>
        <v>0</v>
      </c>
      <c r="RE41" s="300"/>
      <c r="RF41" s="259">
        <f t="shared" si="101"/>
        <v>0</v>
      </c>
      <c r="RG41" s="259">
        <f t="shared" si="141"/>
        <v>0</v>
      </c>
      <c r="RH41" s="259">
        <f t="shared" si="142"/>
        <v>0</v>
      </c>
      <c r="RI41" s="256">
        <f t="shared" si="143"/>
        <v>0</v>
      </c>
    </row>
    <row r="42" spans="1:478" s="281" customFormat="1">
      <c r="A42" s="279" t="s">
        <v>82</v>
      </c>
      <c r="B42" s="280">
        <v>13351.905674397749</v>
      </c>
      <c r="C42" s="247">
        <v>14263.533730000008</v>
      </c>
      <c r="D42" s="247">
        <v>15036.163472590615</v>
      </c>
      <c r="E42" s="247">
        <v>17046.224800000004</v>
      </c>
      <c r="F42" s="247">
        <v>8220.9727873169977</v>
      </c>
      <c r="G42" s="243">
        <v>7193.0501300000014</v>
      </c>
      <c r="H42" s="243">
        <f t="shared" si="144"/>
        <v>8631.6601560000017</v>
      </c>
      <c r="I42" s="247">
        <f>11000</f>
        <v>11000</v>
      </c>
      <c r="J42" s="247">
        <v>2758.4380228013151</v>
      </c>
      <c r="K42" s="247">
        <v>2910.0274100000006</v>
      </c>
      <c r="L42" s="247">
        <v>3186.6086887125693</v>
      </c>
      <c r="M42" s="247">
        <v>3197.2154500000011</v>
      </c>
      <c r="N42" s="247">
        <v>3198.6462107986981</v>
      </c>
      <c r="O42" s="247">
        <v>2804.21425</v>
      </c>
      <c r="P42" s="243">
        <f t="shared" si="145"/>
        <v>3365.0571</v>
      </c>
      <c r="Q42" s="247">
        <v>3360</v>
      </c>
      <c r="R42" s="247">
        <v>3021.9777792767272</v>
      </c>
      <c r="S42" s="247">
        <v>3134.902390000002</v>
      </c>
      <c r="T42" s="247">
        <v>3463.957271489935</v>
      </c>
      <c r="U42" s="247">
        <v>4502.2986300000011</v>
      </c>
      <c r="V42" s="247">
        <v>4314.729162827558</v>
      </c>
      <c r="W42" s="247">
        <v>3676.5754900000011</v>
      </c>
      <c r="X42" s="243">
        <f t="shared" si="146"/>
        <v>4411.890588000002</v>
      </c>
      <c r="Y42" s="247">
        <v>4510</v>
      </c>
      <c r="Z42" s="247">
        <v>3903.7587477927013</v>
      </c>
      <c r="AA42" s="247">
        <v>4271.0897599999962</v>
      </c>
      <c r="AB42" s="247">
        <v>4261.0608089864018</v>
      </c>
      <c r="AC42" s="247">
        <v>4193.8582800000013</v>
      </c>
      <c r="AD42" s="247">
        <v>4566.1103264348185</v>
      </c>
      <c r="AE42" s="247">
        <v>3611.0996699999996</v>
      </c>
      <c r="AF42" s="243">
        <f t="shared" si="147"/>
        <v>4333.3196040000003</v>
      </c>
      <c r="AG42" s="247">
        <f>4400+93</f>
        <v>4493</v>
      </c>
      <c r="AH42" s="247">
        <v>565.77030966635095</v>
      </c>
      <c r="AI42" s="247">
        <v>569.01193999999805</v>
      </c>
      <c r="AJ42" s="247">
        <v>566.00776177445096</v>
      </c>
      <c r="AK42" s="247">
        <v>498.48042999999996</v>
      </c>
      <c r="AL42" s="247">
        <v>468.99998522763502</v>
      </c>
      <c r="AM42" s="247">
        <v>328.94385</v>
      </c>
      <c r="AN42" s="243">
        <f t="shared" si="148"/>
        <v>394.73262</v>
      </c>
      <c r="AO42" s="247">
        <f>450+50</f>
        <v>500</v>
      </c>
      <c r="AP42" s="247">
        <v>4616.7980003803132</v>
      </c>
      <c r="AQ42" s="247">
        <v>4772.9617400000016</v>
      </c>
      <c r="AR42" s="247">
        <v>5192.4485846231873</v>
      </c>
      <c r="AS42" s="247">
        <v>4285.9306200000019</v>
      </c>
      <c r="AT42" s="247">
        <v>4272.9998654108513</v>
      </c>
      <c r="AU42" s="247">
        <v>3276.0878000000002</v>
      </c>
      <c r="AV42" s="243">
        <f t="shared" si="149"/>
        <v>3931.3053600000003</v>
      </c>
      <c r="AW42" s="247">
        <v>4200</v>
      </c>
      <c r="AX42" s="247">
        <v>7870.8644482499049</v>
      </c>
      <c r="AY42" s="247">
        <v>7322.5428700000039</v>
      </c>
      <c r="AZ42" s="247">
        <v>7514.8652047062924</v>
      </c>
      <c r="BA42" s="247">
        <v>7909.3325100000038</v>
      </c>
      <c r="BB42" s="247">
        <v>8005.8765378241787</v>
      </c>
      <c r="BC42" s="247">
        <v>5778.4507000000003</v>
      </c>
      <c r="BD42" s="243">
        <f t="shared" si="150"/>
        <v>6934.1408400000009</v>
      </c>
      <c r="BE42" s="247">
        <f>7909.33251-1551</f>
        <v>6358.3325100000002</v>
      </c>
      <c r="BF42" s="247">
        <v>1659.913057389575</v>
      </c>
      <c r="BG42" s="247">
        <v>1553.236699999994</v>
      </c>
      <c r="BH42" s="247">
        <v>1950.990206232229</v>
      </c>
      <c r="BI42" s="247">
        <v>1419.7423699999999</v>
      </c>
      <c r="BJ42" s="247">
        <v>1560.4139506769991</v>
      </c>
      <c r="BK42" s="247">
        <v>1165.6533099999999</v>
      </c>
      <c r="BL42" s="243">
        <f t="shared" si="151"/>
        <v>1398.7839719999997</v>
      </c>
      <c r="BM42" s="247">
        <f>1420+115</f>
        <v>1535</v>
      </c>
      <c r="BN42" s="247">
        <v>2603.8809713787741</v>
      </c>
      <c r="BO42" s="247">
        <v>2511.4829000000009</v>
      </c>
      <c r="BP42" s="247">
        <v>3239.8206221093506</v>
      </c>
      <c r="BQ42" s="247">
        <v>2920.8307100000011</v>
      </c>
      <c r="BR42" s="247">
        <v>3417.999908436545</v>
      </c>
      <c r="BS42" s="247">
        <v>2885.14635</v>
      </c>
      <c r="BT42" s="243">
        <f t="shared" si="152"/>
        <v>3462.17562</v>
      </c>
      <c r="BU42" s="247">
        <f>3417.99990843654-219</f>
        <v>3198.99990843654</v>
      </c>
      <c r="BV42" s="247">
        <v>3541.7127168492002</v>
      </c>
      <c r="BW42" s="247">
        <v>3433.5671200000002</v>
      </c>
      <c r="BX42" s="247">
        <v>3905.3899219821178</v>
      </c>
      <c r="BY42" s="247">
        <v>3573.74802</v>
      </c>
      <c r="BZ42" s="247">
        <v>4074.5051398221694</v>
      </c>
      <c r="CA42" s="247">
        <v>2967.4643099999998</v>
      </c>
      <c r="CB42" s="243">
        <f t="shared" si="153"/>
        <v>3560.9571719999994</v>
      </c>
      <c r="CC42" s="247">
        <v>4000</v>
      </c>
      <c r="CD42" s="247">
        <v>5202.0524386828829</v>
      </c>
      <c r="CE42" s="247">
        <v>4638.9673999999986</v>
      </c>
      <c r="CF42" s="247">
        <v>5959.1357395461264</v>
      </c>
      <c r="CG42" s="247">
        <v>6578.994230000003</v>
      </c>
      <c r="CH42" s="247">
        <v>5149.2110564903242</v>
      </c>
      <c r="CI42" s="247">
        <v>4516.3967200000016</v>
      </c>
      <c r="CJ42" s="243">
        <f t="shared" si="154"/>
        <v>5419.6760640000011</v>
      </c>
      <c r="CK42" s="247">
        <v>5500</v>
      </c>
      <c r="CL42" s="247">
        <v>1088.0918894791801</v>
      </c>
      <c r="CM42" s="247">
        <v>1030.0180200000009</v>
      </c>
      <c r="CN42" s="247">
        <v>1074.011273774466</v>
      </c>
      <c r="CO42" s="247">
        <v>1293.1283800000001</v>
      </c>
      <c r="CP42" s="247">
        <v>1329.9999581082229</v>
      </c>
      <c r="CQ42" s="247">
        <v>1175.6159200000002</v>
      </c>
      <c r="CR42" s="243">
        <f t="shared" si="155"/>
        <v>1410.7391040000002</v>
      </c>
      <c r="CS42" s="247">
        <v>1330</v>
      </c>
      <c r="CT42" s="247">
        <v>960.89446893711511</v>
      </c>
      <c r="CU42" s="247">
        <v>915.05980999999792</v>
      </c>
      <c r="CV42" s="247">
        <v>865.05461166683097</v>
      </c>
      <c r="CW42" s="247">
        <v>823.91735000000006</v>
      </c>
      <c r="CX42" s="247">
        <v>884.93981614665893</v>
      </c>
      <c r="CY42" s="247">
        <v>830.22722999999996</v>
      </c>
      <c r="CZ42" s="243">
        <f t="shared" si="156"/>
        <v>996.27267600000005</v>
      </c>
      <c r="DA42" s="247">
        <v>890</v>
      </c>
      <c r="DB42" s="247">
        <v>4025.0728591391389</v>
      </c>
      <c r="DC42" s="247">
        <v>4081.4166</v>
      </c>
      <c r="DD42" s="247">
        <v>4256.3902631708961</v>
      </c>
      <c r="DE42" s="247">
        <v>4143.9803800000027</v>
      </c>
      <c r="DF42" s="247">
        <v>2508.1137813093469</v>
      </c>
      <c r="DG42" s="247">
        <v>2146.8424000000009</v>
      </c>
      <c r="DH42" s="243">
        <f t="shared" si="157"/>
        <v>2576.2108800000015</v>
      </c>
      <c r="DI42" s="247">
        <v>2630</v>
      </c>
      <c r="DJ42" s="247">
        <v>211.31615347074299</v>
      </c>
      <c r="DK42" s="247">
        <v>210.86558000000002</v>
      </c>
      <c r="DL42" s="247">
        <v>424.996798330415</v>
      </c>
      <c r="DM42" s="247">
        <v>419.14118999999999</v>
      </c>
      <c r="DN42" s="247">
        <v>424.99998661352998</v>
      </c>
      <c r="DO42" s="247">
        <v>328.09172000000001</v>
      </c>
      <c r="DP42" s="243">
        <f t="shared" si="158"/>
        <v>393.71006400000005</v>
      </c>
      <c r="DQ42" s="247">
        <v>420</v>
      </c>
      <c r="DR42" s="247">
        <v>1300.4137751738629</v>
      </c>
      <c r="DS42" s="247">
        <v>1304.287329999996</v>
      </c>
      <c r="DT42" s="247">
        <v>1427.2405242459513</v>
      </c>
      <c r="DU42" s="247">
        <v>1419.7146900000002</v>
      </c>
      <c r="DV42" s="247">
        <v>1944.873629280215</v>
      </c>
      <c r="DW42" s="247">
        <v>1683.2905700000001</v>
      </c>
      <c r="DX42" s="243">
        <f t="shared" si="159"/>
        <v>2019.948684</v>
      </c>
      <c r="DY42" s="247">
        <v>2119</v>
      </c>
      <c r="DZ42" s="247">
        <v>550.49957683032301</v>
      </c>
      <c r="EA42" s="247">
        <v>1367.5137099999993</v>
      </c>
      <c r="EB42" s="247">
        <v>1357.5039114929832</v>
      </c>
      <c r="EC42" s="247">
        <v>1141.2512200000001</v>
      </c>
      <c r="ED42" s="247">
        <v>1194.9999623603951</v>
      </c>
      <c r="EE42" s="247">
        <v>979.79283999999996</v>
      </c>
      <c r="EF42" s="243">
        <f t="shared" si="160"/>
        <v>1175.7514079999999</v>
      </c>
      <c r="EG42" s="247">
        <f>1190-124</f>
        <v>1066</v>
      </c>
      <c r="EH42" s="247">
        <v>76.710805783629993</v>
      </c>
      <c r="EI42" s="247">
        <v>52.697740000000003</v>
      </c>
      <c r="EJ42" s="247">
        <v>51.697362127930006</v>
      </c>
      <c r="EK42" s="247">
        <v>35.976149999999997</v>
      </c>
      <c r="EL42" s="247">
        <v>46.999998519611005</v>
      </c>
      <c r="EM42" s="247">
        <v>28.031849999999999</v>
      </c>
      <c r="EN42" s="243">
        <f t="shared" si="161"/>
        <v>33.638220000000004</v>
      </c>
      <c r="EO42" s="247">
        <v>45</v>
      </c>
      <c r="EP42" s="247">
        <v>32.914959169917999</v>
      </c>
      <c r="EQ42" s="247">
        <v>31.546329999998999</v>
      </c>
      <c r="ER42" s="247">
        <v>31.546092350763999</v>
      </c>
      <c r="ES42" s="247">
        <v>25.243299999999998</v>
      </c>
      <c r="ET42" s="247">
        <v>24.999999212559</v>
      </c>
      <c r="EU42" s="247">
        <v>17.881029999999999</v>
      </c>
      <c r="EV42" s="243">
        <f t="shared" si="162"/>
        <v>21.457236000000002</v>
      </c>
      <c r="EW42" s="247">
        <v>25.243299999999998</v>
      </c>
      <c r="EX42" s="247">
        <v>105.299100210904</v>
      </c>
      <c r="EY42" s="247">
        <v>118.672169999999</v>
      </c>
      <c r="EZ42" s="247">
        <v>131.48321015972601</v>
      </c>
      <c r="FA42" s="247">
        <v>141.24645999999998</v>
      </c>
      <c r="FB42" s="247">
        <v>142.99999549584601</v>
      </c>
      <c r="FC42" s="247">
        <v>115.43004999999999</v>
      </c>
      <c r="FD42" s="243">
        <f t="shared" si="163"/>
        <v>138.51605999999998</v>
      </c>
      <c r="FE42" s="247">
        <v>151</v>
      </c>
      <c r="FF42" s="247">
        <v>893.31807074648907</v>
      </c>
      <c r="FG42" s="247">
        <v>838.285149999998</v>
      </c>
      <c r="FH42" s="247">
        <v>848.27905795536992</v>
      </c>
      <c r="FI42" s="247">
        <v>906.22341000000006</v>
      </c>
      <c r="FJ42" s="247">
        <v>897.99997190416002</v>
      </c>
      <c r="FK42" s="247">
        <v>681.63989000000004</v>
      </c>
      <c r="FL42" s="243">
        <f t="shared" si="164"/>
        <v>817.96786799999995</v>
      </c>
      <c r="FM42" s="247">
        <f>860+36</f>
        <v>896</v>
      </c>
      <c r="FN42" s="247">
        <v>1400.0513495591708</v>
      </c>
      <c r="FO42" s="247">
        <v>1397.5444500000008</v>
      </c>
      <c r="FP42" s="247">
        <v>1398.534667421731</v>
      </c>
      <c r="FQ42" s="247">
        <v>1397.96729</v>
      </c>
      <c r="FR42" s="247">
        <v>1414.999955430932</v>
      </c>
      <c r="FS42" s="247">
        <v>1218.70723</v>
      </c>
      <c r="FT42" s="243">
        <f t="shared" si="165"/>
        <v>1462.448676</v>
      </c>
      <c r="FU42" s="278">
        <f>1397.96729+1500</f>
        <v>2897.96729</v>
      </c>
      <c r="FV42" s="247">
        <v>83.924903477293995</v>
      </c>
      <c r="FW42" s="247">
        <v>72.822600000000008</v>
      </c>
      <c r="FX42" s="247">
        <v>74.822096011097997</v>
      </c>
      <c r="FY42" s="247">
        <v>83.550460000000001</v>
      </c>
      <c r="FZ42" s="247">
        <v>87.999997228213005</v>
      </c>
      <c r="GA42" s="247">
        <v>57.674399999999991</v>
      </c>
      <c r="GB42" s="243">
        <f t="shared" si="166"/>
        <v>69.209279999999978</v>
      </c>
      <c r="GC42" s="247">
        <v>88</v>
      </c>
      <c r="GD42" s="247">
        <v>859.53876992007906</v>
      </c>
      <c r="GE42" s="247">
        <v>2154.9915799999972</v>
      </c>
      <c r="GF42" s="247">
        <v>467.99683702370004</v>
      </c>
      <c r="GG42" s="247">
        <v>348.60910999999999</v>
      </c>
      <c r="GH42" s="247">
        <v>378.53150197518403</v>
      </c>
      <c r="GI42" s="247">
        <v>243.69841000000002</v>
      </c>
      <c r="GJ42" s="243">
        <f t="shared" si="167"/>
        <v>292.43809199999998</v>
      </c>
      <c r="GK42" s="247">
        <f>350+68-30</f>
        <v>388</v>
      </c>
      <c r="GL42" s="247">
        <v>66.428410538806006</v>
      </c>
      <c r="GM42" s="247">
        <v>55.294929999998992</v>
      </c>
      <c r="GN42" s="247">
        <v>55.294513444479996</v>
      </c>
      <c r="GO42" s="247">
        <v>54.672570000000007</v>
      </c>
      <c r="GP42" s="247">
        <v>59.400593507901</v>
      </c>
      <c r="GQ42" s="247">
        <v>40.708779999999997</v>
      </c>
      <c r="GR42" s="243">
        <f t="shared" si="168"/>
        <v>48.850535999999991</v>
      </c>
      <c r="GS42" s="247">
        <f>56+34</f>
        <v>90</v>
      </c>
      <c r="GT42" s="247">
        <v>8.5499929652080002</v>
      </c>
      <c r="GU42" s="247">
        <v>24.476989999999997</v>
      </c>
      <c r="GV42" s="247">
        <v>24.476805606505998</v>
      </c>
      <c r="GW42" s="247">
        <v>18.408799999999999</v>
      </c>
      <c r="GX42" s="247">
        <v>23.999999244057999</v>
      </c>
      <c r="GY42" s="247">
        <v>16.48516</v>
      </c>
      <c r="GZ42" s="243">
        <f t="shared" si="169"/>
        <v>19.782192000000002</v>
      </c>
      <c r="HA42" s="247">
        <v>29</v>
      </c>
      <c r="HB42" s="247">
        <v>159.42202992537</v>
      </c>
      <c r="HC42" s="247">
        <v>135.62767000000002</v>
      </c>
      <c r="HD42" s="247">
        <v>285.41284547706698</v>
      </c>
      <c r="HE42" s="247">
        <v>153.68685999999997</v>
      </c>
      <c r="HF42" s="247">
        <v>263.99999168463899</v>
      </c>
      <c r="HG42" s="247">
        <v>92.450540000000004</v>
      </c>
      <c r="HH42" s="243">
        <f t="shared" si="170"/>
        <v>110.940648</v>
      </c>
      <c r="HI42" s="247">
        <v>270</v>
      </c>
      <c r="HJ42" s="247">
        <v>74.958212789154004</v>
      </c>
      <c r="HK42" s="247">
        <v>101.71587999999899</v>
      </c>
      <c r="HL42" s="247">
        <v>133.11115353635699</v>
      </c>
      <c r="HM42" s="247">
        <v>134.75585000000001</v>
      </c>
      <c r="HN42" s="247">
        <v>224.82485656095</v>
      </c>
      <c r="HO42" s="247">
        <v>108.64846</v>
      </c>
      <c r="HP42" s="243">
        <f t="shared" si="171"/>
        <v>130.378152</v>
      </c>
      <c r="HQ42" s="247">
        <v>245</v>
      </c>
      <c r="HR42" s="247">
        <v>275.27534248056901</v>
      </c>
      <c r="HS42" s="247">
        <v>293.76219000000003</v>
      </c>
      <c r="HT42" s="247">
        <v>269.760767197517</v>
      </c>
      <c r="HU42" s="247">
        <v>250.63215000000002</v>
      </c>
      <c r="HV42" s="247">
        <v>248.99999215710301</v>
      </c>
      <c r="HW42" s="247">
        <v>207.38254000000003</v>
      </c>
      <c r="HX42" s="243">
        <f t="shared" si="172"/>
        <v>248.85904800000006</v>
      </c>
      <c r="HY42" s="247">
        <v>250</v>
      </c>
      <c r="HZ42" s="247">
        <v>1834.8387471632632</v>
      </c>
      <c r="IA42" s="247">
        <v>1304.094079999998</v>
      </c>
      <c r="IB42" s="247">
        <v>1389.086180354562</v>
      </c>
      <c r="IC42" s="247">
        <v>1226.7629200000001</v>
      </c>
      <c r="ID42" s="247">
        <v>1260.2109812010699</v>
      </c>
      <c r="IE42" s="247">
        <v>1008.3517400000002</v>
      </c>
      <c r="IF42" s="243">
        <f t="shared" si="173"/>
        <v>1210.0220880000002</v>
      </c>
      <c r="IG42" s="247">
        <v>1256</v>
      </c>
      <c r="IH42" s="247">
        <v>3267.278167554121</v>
      </c>
      <c r="II42" s="247">
        <v>3030.6939899999961</v>
      </c>
      <c r="IJ42" s="247">
        <v>3653.2332657538277</v>
      </c>
      <c r="IK42" s="247">
        <v>3179.6778900000004</v>
      </c>
      <c r="IL42" s="247">
        <v>3860.999890199445</v>
      </c>
      <c r="IM42" s="247">
        <v>3099.7050799999997</v>
      </c>
      <c r="IN42" s="243">
        <f t="shared" si="174"/>
        <v>3719.6460959999999</v>
      </c>
      <c r="IO42" s="247">
        <v>3770</v>
      </c>
      <c r="IP42" s="247">
        <v>1179.4171195067399</v>
      </c>
      <c r="IQ42" s="247">
        <v>762.77052000000003</v>
      </c>
      <c r="IR42" s="247">
        <v>762.76477379017797</v>
      </c>
      <c r="IS42" s="247">
        <v>795.52325000000008</v>
      </c>
      <c r="IT42" s="247">
        <v>802.99997470744495</v>
      </c>
      <c r="IU42" s="247">
        <v>619.14855999999986</v>
      </c>
      <c r="IV42" s="243">
        <f t="shared" si="175"/>
        <v>742.97827199999983</v>
      </c>
      <c r="IW42" s="247">
        <v>790</v>
      </c>
      <c r="IX42" s="247">
        <v>3585.1767396208079</v>
      </c>
      <c r="IY42" s="247">
        <v>3091.5237100000004</v>
      </c>
      <c r="IZ42" s="247">
        <v>3141.500685288464</v>
      </c>
      <c r="JA42" s="298">
        <v>3190.3362500000021</v>
      </c>
      <c r="JB42" s="247">
        <v>8450.8764934507162</v>
      </c>
      <c r="JC42" s="247">
        <v>7582.9360200000028</v>
      </c>
      <c r="JD42" s="243">
        <f t="shared" si="176"/>
        <v>9099.5232240000041</v>
      </c>
      <c r="JE42" s="298">
        <v>9000</v>
      </c>
      <c r="JF42" s="247">
        <v>374.82679322907097</v>
      </c>
      <c r="JG42" s="247">
        <v>390.65859999999896</v>
      </c>
      <c r="JH42" s="247">
        <v>408.65604576723501</v>
      </c>
      <c r="JI42" s="247">
        <v>422.72196000000002</v>
      </c>
      <c r="JJ42" s="247">
        <v>420.99998673951995</v>
      </c>
      <c r="JK42" s="247">
        <v>316.08546000000001</v>
      </c>
      <c r="JL42" s="243">
        <f t="shared" si="177"/>
        <v>379.30255199999999</v>
      </c>
      <c r="JM42" s="247">
        <v>434</v>
      </c>
      <c r="JN42" s="247">
        <v>0.46679961592500002</v>
      </c>
      <c r="JO42" s="247">
        <v>0.04</v>
      </c>
      <c r="JP42" s="247">
        <v>3.9999698665999998E-2</v>
      </c>
      <c r="JQ42" s="247">
        <v>0</v>
      </c>
      <c r="JR42" s="247">
        <v>0</v>
      </c>
      <c r="JS42" s="247">
        <v>0.72186000000000006</v>
      </c>
      <c r="JT42" s="243">
        <f t="shared" si="178"/>
        <v>0.866232</v>
      </c>
      <c r="JU42" s="247">
        <v>0</v>
      </c>
      <c r="JV42" s="247">
        <v>337.87902683678595</v>
      </c>
      <c r="JW42" s="247">
        <v>325.73442000000006</v>
      </c>
      <c r="JX42" s="247">
        <v>345.73215093851599</v>
      </c>
      <c r="JY42" s="247">
        <v>339.82107999999999</v>
      </c>
      <c r="JZ42" s="247">
        <v>311.999990802708</v>
      </c>
      <c r="KA42" s="247">
        <v>231.75158000000002</v>
      </c>
      <c r="KB42" s="243">
        <f t="shared" si="179"/>
        <v>278.10189600000001</v>
      </c>
      <c r="KC42" s="247">
        <v>296</v>
      </c>
      <c r="KD42" s="247">
        <v>111.429102950323</v>
      </c>
      <c r="KE42" s="247">
        <v>115.808289999999</v>
      </c>
      <c r="KF42" s="247">
        <v>125.807608756116</v>
      </c>
      <c r="KG42" s="247">
        <v>165.39393999999999</v>
      </c>
      <c r="KH42" s="247">
        <v>199.99999370048499</v>
      </c>
      <c r="KI42" s="247">
        <v>200.39617000000001</v>
      </c>
      <c r="KJ42" s="243">
        <f t="shared" si="180"/>
        <v>240.475404</v>
      </c>
      <c r="KK42" s="247">
        <v>300</v>
      </c>
      <c r="KL42" s="247">
        <v>0</v>
      </c>
      <c r="KM42" s="247">
        <v>4.6379999999999998E-2</v>
      </c>
      <c r="KN42" s="247">
        <v>4.6379650602999999E-2</v>
      </c>
      <c r="KO42" s="247">
        <v>0</v>
      </c>
      <c r="KP42" s="247"/>
      <c r="KQ42" s="247"/>
      <c r="KR42" s="243">
        <f t="shared" si="181"/>
        <v>0</v>
      </c>
      <c r="KS42" s="247">
        <v>0</v>
      </c>
      <c r="KT42" s="247">
        <v>164.19986869416101</v>
      </c>
      <c r="KU42" s="247">
        <v>122.267249999999</v>
      </c>
      <c r="KV42" s="247">
        <v>117.26639901831</v>
      </c>
      <c r="KW42" s="247">
        <v>118.10737999999998</v>
      </c>
      <c r="KX42" s="247">
        <v>106.999996629759</v>
      </c>
      <c r="KY42" s="247">
        <v>47.497789999999995</v>
      </c>
      <c r="KZ42" s="243">
        <f t="shared" si="182"/>
        <v>56.997347999999988</v>
      </c>
      <c r="LA42" s="247">
        <v>106</v>
      </c>
      <c r="LB42" s="247">
        <v>239.99943618663801</v>
      </c>
      <c r="LC42" s="247">
        <v>236.88133999999897</v>
      </c>
      <c r="LD42" s="247">
        <v>209.879806426237</v>
      </c>
      <c r="LE42" s="247">
        <v>220.71838999999997</v>
      </c>
      <c r="LF42" s="247">
        <v>241.99999237758601</v>
      </c>
      <c r="LG42" s="247">
        <v>205.54556999999994</v>
      </c>
      <c r="LH42" s="243">
        <f t="shared" si="183"/>
        <v>246.65468399999995</v>
      </c>
      <c r="LI42" s="247">
        <v>242</v>
      </c>
      <c r="LJ42" s="247">
        <v>473.84481248526305</v>
      </c>
      <c r="LK42" s="247">
        <v>345.65001000000007</v>
      </c>
      <c r="LL42" s="247">
        <v>831.6475845349571</v>
      </c>
      <c r="LM42" s="247">
        <v>577.27082000000007</v>
      </c>
      <c r="LN42" s="247">
        <v>880.25629299043499</v>
      </c>
      <c r="LO42" s="247">
        <v>435.29655000000002</v>
      </c>
      <c r="LP42" s="243">
        <f t="shared" si="184"/>
        <v>522.35586000000012</v>
      </c>
      <c r="LQ42" s="247">
        <v>852</v>
      </c>
      <c r="LR42" s="247"/>
      <c r="LS42" s="247">
        <v>9.4380000000000006E-2</v>
      </c>
      <c r="LT42" s="244">
        <f t="shared" si="185"/>
        <v>0.113256</v>
      </c>
      <c r="LU42" s="247">
        <v>0</v>
      </c>
      <c r="LV42" s="247"/>
      <c r="LW42" s="247"/>
      <c r="LX42" s="247"/>
      <c r="LY42" s="247"/>
      <c r="LZ42" s="247"/>
      <c r="MA42" s="247"/>
      <c r="MB42" s="243">
        <f t="shared" si="186"/>
        <v>0</v>
      </c>
      <c r="MC42" s="247"/>
      <c r="MD42" s="247">
        <v>2510.9329937578559</v>
      </c>
      <c r="ME42" s="247">
        <v>1868.352599999999</v>
      </c>
      <c r="MF42" s="247">
        <v>1813.3389939127278</v>
      </c>
      <c r="MG42" s="247">
        <v>1767.4005500000001</v>
      </c>
      <c r="MH42" s="247">
        <v>1867.9999411625281</v>
      </c>
      <c r="MI42" s="247">
        <v>1748.5951200000002</v>
      </c>
      <c r="MJ42" s="243">
        <f t="shared" si="187"/>
        <v>2098.3141440000004</v>
      </c>
      <c r="MK42" s="247">
        <f>1900-30</f>
        <v>1870</v>
      </c>
      <c r="ML42" s="247">
        <v>123.97448543556301</v>
      </c>
      <c r="MM42" s="247">
        <v>1211.8908499999991</v>
      </c>
      <c r="MN42" s="247">
        <v>1300.280346090381</v>
      </c>
      <c r="MO42" s="247">
        <v>1230.2494700000009</v>
      </c>
      <c r="MP42" s="247">
        <v>2096.3875206213179</v>
      </c>
      <c r="MQ42" s="247">
        <v>1133.7507499999999</v>
      </c>
      <c r="MR42" s="243">
        <f t="shared" si="188"/>
        <v>1360.5009</v>
      </c>
      <c r="MS42" s="271">
        <v>1230.2494700000009</v>
      </c>
      <c r="MT42" s="247">
        <v>20249.568586175043</v>
      </c>
      <c r="MU42" s="247">
        <v>20275.613810000013</v>
      </c>
      <c r="MV42" s="247">
        <v>21897.135975308505</v>
      </c>
      <c r="MW42" s="247">
        <v>22917.105760000013</v>
      </c>
      <c r="MX42" s="247">
        <v>22899.999278705498</v>
      </c>
      <c r="MY42" s="247">
        <v>20313.76109</v>
      </c>
      <c r="MZ42" s="243">
        <f t="shared" si="189"/>
        <v>24376.513308000001</v>
      </c>
      <c r="NA42" s="247">
        <f>22900+400-467</f>
        <v>22833</v>
      </c>
      <c r="NB42" s="247">
        <v>0</v>
      </c>
      <c r="NC42" s="247">
        <v>9.4380000000000006E-2</v>
      </c>
      <c r="ND42" s="243">
        <f t="shared" si="190"/>
        <v>0.113256</v>
      </c>
      <c r="NE42" s="247">
        <v>0.12584000000000001</v>
      </c>
      <c r="NF42" s="247"/>
      <c r="NG42" s="247"/>
      <c r="NH42" s="247"/>
      <c r="NI42" s="247"/>
      <c r="NJ42" s="247"/>
      <c r="NK42" s="247"/>
      <c r="NL42" s="243">
        <f t="shared" si="191"/>
        <v>0</v>
      </c>
      <c r="NM42" s="247"/>
      <c r="NN42" s="247">
        <v>0.94996121838699998</v>
      </c>
      <c r="NO42" s="247">
        <v>0</v>
      </c>
      <c r="NP42" s="247"/>
      <c r="NQ42" s="247"/>
      <c r="NR42" s="247"/>
      <c r="NS42" s="247"/>
      <c r="NT42" s="243">
        <f t="shared" si="192"/>
        <v>0</v>
      </c>
      <c r="NU42" s="247"/>
      <c r="NV42" s="247">
        <v>378.47177331139801</v>
      </c>
      <c r="NW42" s="247">
        <v>211.76718</v>
      </c>
      <c r="NX42" s="247">
        <v>316.76570576605297</v>
      </c>
      <c r="NY42" s="247">
        <v>330.96188000000001</v>
      </c>
      <c r="NZ42" s="247">
        <v>366.99999083420499</v>
      </c>
      <c r="OA42" s="247">
        <v>315.00489000000005</v>
      </c>
      <c r="OB42" s="243">
        <f t="shared" si="193"/>
        <v>378.00586800000008</v>
      </c>
      <c r="OC42" s="247">
        <v>370</v>
      </c>
      <c r="OD42" s="247">
        <v>2191.6644063837198</v>
      </c>
      <c r="OE42" s="247">
        <v>2123.8936200000012</v>
      </c>
      <c r="OF42" s="247">
        <v>2123.8776199868098</v>
      </c>
      <c r="OG42" s="247">
        <v>2001.1269800000009</v>
      </c>
      <c r="OH42" s="247">
        <v>2381.9999434933502</v>
      </c>
      <c r="OI42" s="247">
        <v>1779.590280000001</v>
      </c>
      <c r="OJ42" s="243">
        <f t="shared" si="194"/>
        <v>2135.5083360000012</v>
      </c>
      <c r="OK42" s="247">
        <v>2253</v>
      </c>
      <c r="OL42" s="247">
        <v>1155.8895045452659</v>
      </c>
      <c r="OM42" s="247">
        <v>1212.2038599999989</v>
      </c>
      <c r="ON42" s="247">
        <v>1236.195696698036</v>
      </c>
      <c r="OO42" s="247">
        <v>1306.0019000000002</v>
      </c>
      <c r="OP42" s="247">
        <v>1324.9999617304429</v>
      </c>
      <c r="OQ42" s="247">
        <v>1117.4022500000001</v>
      </c>
      <c r="OR42" s="243">
        <f t="shared" si="195"/>
        <v>1340.8827000000001</v>
      </c>
      <c r="OS42" s="247">
        <v>1325</v>
      </c>
      <c r="OT42" s="247">
        <v>0</v>
      </c>
      <c r="OU42" s="247">
        <v>20.173120000000001</v>
      </c>
      <c r="OV42" s="247">
        <v>0</v>
      </c>
      <c r="OW42" s="247">
        <v>39.992570000000001</v>
      </c>
      <c r="OX42" s="247">
        <v>0</v>
      </c>
      <c r="OY42" s="247">
        <v>13.455510000000002</v>
      </c>
      <c r="OZ42" s="243">
        <f t="shared" si="196"/>
        <v>16.146612000000001</v>
      </c>
      <c r="PA42" s="247"/>
      <c r="PB42" s="247">
        <v>0</v>
      </c>
      <c r="PC42" s="247">
        <v>16.55001</v>
      </c>
      <c r="PD42" s="243">
        <f t="shared" si="197"/>
        <v>19.860011999999998</v>
      </c>
      <c r="PE42" s="247">
        <v>40</v>
      </c>
      <c r="PF42" s="247">
        <v>0</v>
      </c>
      <c r="PG42" s="247">
        <v>1427.2072599999979</v>
      </c>
      <c r="PH42" s="247">
        <v>0</v>
      </c>
      <c r="PI42" s="247">
        <v>1346.5395599999997</v>
      </c>
      <c r="PJ42" s="247">
        <v>1499.9999527536299</v>
      </c>
      <c r="PK42" s="247">
        <v>564.56217999999978</v>
      </c>
      <c r="PL42" s="243">
        <f t="shared" si="139"/>
        <v>677.47461599999974</v>
      </c>
      <c r="PM42" s="247">
        <v>0</v>
      </c>
      <c r="PN42" s="247">
        <v>-1747.2501955702601</v>
      </c>
      <c r="PO42" s="247">
        <v>0</v>
      </c>
      <c r="PP42" s="247">
        <v>-7628.0545737634702</v>
      </c>
      <c r="PQ42" s="247">
        <v>0</v>
      </c>
      <c r="PR42" s="247">
        <v>10130.580181425499</v>
      </c>
      <c r="PS42" s="247">
        <v>0</v>
      </c>
      <c r="PT42" s="243">
        <f t="shared" si="198"/>
        <v>0</v>
      </c>
      <c r="PU42" s="247">
        <v>5906</v>
      </c>
      <c r="PV42" s="247">
        <v>0</v>
      </c>
      <c r="PW42" s="247">
        <v>9.999778782798785E-13</v>
      </c>
      <c r="PX42" s="247">
        <v>0</v>
      </c>
      <c r="PY42" s="247">
        <v>0.16417999999999999</v>
      </c>
      <c r="PZ42" s="247">
        <v>0.16417999482699999</v>
      </c>
      <c r="QA42" s="247">
        <v>0</v>
      </c>
      <c r="QB42" s="243">
        <f t="shared" si="199"/>
        <v>0</v>
      </c>
      <c r="QC42" s="247">
        <v>0.16417999999999999</v>
      </c>
      <c r="QD42" s="247">
        <v>0</v>
      </c>
      <c r="QE42" s="247">
        <v>9.9446880309599084E-13</v>
      </c>
      <c r="QF42" s="247"/>
      <c r="QG42" s="247"/>
      <c r="QH42" s="247"/>
      <c r="QI42" s="247"/>
      <c r="QJ42" s="243">
        <f t="shared" si="200"/>
        <v>0</v>
      </c>
      <c r="QK42" s="247">
        <v>0</v>
      </c>
      <c r="QL42" s="247">
        <v>0</v>
      </c>
      <c r="QM42" s="247">
        <v>0</v>
      </c>
      <c r="QN42" s="247"/>
      <c r="QO42" s="247"/>
      <c r="QP42" s="243">
        <f t="shared" si="201"/>
        <v>0</v>
      </c>
      <c r="QQ42" s="243">
        <f t="shared" si="140"/>
        <v>0</v>
      </c>
      <c r="QR42" s="247"/>
      <c r="QS42" s="247"/>
      <c r="QT42" s="247"/>
      <c r="QU42" s="247"/>
      <c r="QV42" s="243">
        <f t="shared" si="202"/>
        <v>0</v>
      </c>
      <c r="QW42" s="247"/>
      <c r="QX42" s="247">
        <v>0</v>
      </c>
      <c r="QY42" s="247">
        <v>2.1779999999999999</v>
      </c>
      <c r="QZ42" s="247">
        <v>0</v>
      </c>
      <c r="RA42" s="247">
        <v>15.466260000000002</v>
      </c>
      <c r="RB42" s="247">
        <v>40</v>
      </c>
      <c r="RC42" s="247">
        <v>9.0937000000000001</v>
      </c>
      <c r="RD42" s="243">
        <f t="shared" si="203"/>
        <v>10.91244</v>
      </c>
      <c r="RE42" s="300">
        <v>10</v>
      </c>
      <c r="RF42" s="259">
        <f t="shared" si="101"/>
        <v>118500.62346152679</v>
      </c>
      <c r="RG42" s="259">
        <f t="shared" si="141"/>
        <v>88935.072519999987</v>
      </c>
      <c r="RH42" s="259">
        <f t="shared" si="142"/>
        <v>106722.08702400001</v>
      </c>
      <c r="RI42" s="256">
        <f t="shared" si="143"/>
        <v>115369.08249843653</v>
      </c>
    </row>
    <row r="43" spans="1:478">
      <c r="A43" s="5" t="s">
        <v>102</v>
      </c>
      <c r="B43" s="263"/>
      <c r="C43" s="246"/>
      <c r="D43" s="246"/>
      <c r="E43" s="246"/>
      <c r="F43" s="246"/>
      <c r="G43" s="243"/>
      <c r="H43" s="243">
        <f t="shared" si="144"/>
        <v>0</v>
      </c>
      <c r="I43" s="246"/>
      <c r="J43" s="246"/>
      <c r="K43" s="246"/>
      <c r="L43" s="246"/>
      <c r="M43" s="246"/>
      <c r="N43" s="246"/>
      <c r="O43" s="246"/>
      <c r="P43" s="243">
        <f t="shared" si="145"/>
        <v>0</v>
      </c>
      <c r="Q43" s="246"/>
      <c r="R43" s="246"/>
      <c r="S43" s="246"/>
      <c r="T43" s="246"/>
      <c r="U43" s="246"/>
      <c r="V43" s="246"/>
      <c r="W43" s="246"/>
      <c r="X43" s="243">
        <f t="shared" si="146"/>
        <v>0</v>
      </c>
      <c r="Y43" s="246"/>
      <c r="Z43" s="246">
        <v>31.997999999985002</v>
      </c>
      <c r="AA43" s="246">
        <v>56.493159999999996</v>
      </c>
      <c r="AB43" s="246"/>
      <c r="AC43" s="246"/>
      <c r="AD43" s="246"/>
      <c r="AE43" s="246"/>
      <c r="AF43" s="243">
        <f t="shared" si="147"/>
        <v>0</v>
      </c>
      <c r="AG43" s="246"/>
      <c r="AH43" s="246"/>
      <c r="AI43" s="246"/>
      <c r="AJ43" s="246"/>
      <c r="AK43" s="246"/>
      <c r="AL43" s="246"/>
      <c r="AM43" s="246"/>
      <c r="AN43" s="243">
        <f t="shared" si="148"/>
        <v>0</v>
      </c>
      <c r="AO43" s="246"/>
      <c r="AP43" s="246"/>
      <c r="AQ43" s="246"/>
      <c r="AR43" s="246"/>
      <c r="AS43" s="246"/>
      <c r="AT43" s="246"/>
      <c r="AU43" s="246"/>
      <c r="AV43" s="243">
        <f t="shared" si="149"/>
        <v>0</v>
      </c>
      <c r="AW43" s="246"/>
      <c r="AX43" s="246"/>
      <c r="AY43" s="246"/>
      <c r="AZ43" s="246"/>
      <c r="BA43" s="246"/>
      <c r="BB43" s="246"/>
      <c r="BC43" s="246"/>
      <c r="BD43" s="243">
        <f t="shared" si="150"/>
        <v>0</v>
      </c>
      <c r="BE43" s="246"/>
      <c r="BF43" s="246">
        <v>3035.9999999998299</v>
      </c>
      <c r="BG43" s="246">
        <v>1134.2792999999999</v>
      </c>
      <c r="BH43" s="246">
        <v>1299.9993000284101</v>
      </c>
      <c r="BI43" s="246">
        <v>657.44232</v>
      </c>
      <c r="BJ43" s="278">
        <v>1136.99996418726</v>
      </c>
      <c r="BK43" s="247">
        <v>1813.5213600000009</v>
      </c>
      <c r="BL43" s="243">
        <f t="shared" si="151"/>
        <v>2176.225632000001</v>
      </c>
      <c r="BM43" s="278">
        <v>1137</v>
      </c>
      <c r="BN43" s="246"/>
      <c r="BO43" s="246"/>
      <c r="BP43" s="246"/>
      <c r="BQ43" s="246"/>
      <c r="BR43" s="246"/>
      <c r="BS43" s="246"/>
      <c r="BT43" s="243">
        <f t="shared" si="152"/>
        <v>0</v>
      </c>
      <c r="BU43" s="246"/>
      <c r="BV43" s="246"/>
      <c r="BW43" s="246"/>
      <c r="BX43" s="246"/>
      <c r="BY43" s="246"/>
      <c r="BZ43" s="246"/>
      <c r="CA43" s="246"/>
      <c r="CB43" s="243">
        <f t="shared" si="153"/>
        <v>0</v>
      </c>
      <c r="CC43" s="246"/>
      <c r="CD43" s="246"/>
      <c r="CE43" s="246"/>
      <c r="CF43" s="246"/>
      <c r="CG43" s="246"/>
      <c r="CH43" s="246"/>
      <c r="CI43" s="246"/>
      <c r="CJ43" s="243">
        <f t="shared" si="154"/>
        <v>0</v>
      </c>
      <c r="CK43" s="246"/>
      <c r="CL43" s="246">
        <v>7812.0015939998102</v>
      </c>
      <c r="CM43" s="246">
        <v>7014.7442700000001</v>
      </c>
      <c r="CN43" s="246">
        <v>8700.39574148053</v>
      </c>
      <c r="CO43" s="246">
        <v>5075.318940000001</v>
      </c>
      <c r="CP43" s="278">
        <v>8629.9997488068202</v>
      </c>
      <c r="CQ43" s="247">
        <v>9429.7352800000008</v>
      </c>
      <c r="CR43" s="243">
        <f t="shared" si="155"/>
        <v>11315.682336000002</v>
      </c>
      <c r="CS43" s="278">
        <v>8630</v>
      </c>
      <c r="CT43" s="246"/>
      <c r="CU43" s="246"/>
      <c r="CV43" s="246"/>
      <c r="CW43" s="246"/>
      <c r="CX43" s="246"/>
      <c r="CY43" s="246"/>
      <c r="CZ43" s="243">
        <f t="shared" si="156"/>
        <v>0</v>
      </c>
      <c r="DA43" s="246"/>
      <c r="DB43" s="246"/>
      <c r="DC43" s="246"/>
      <c r="DD43" s="246"/>
      <c r="DE43" s="246"/>
      <c r="DF43" s="246"/>
      <c r="DG43" s="246"/>
      <c r="DH43" s="243">
        <f t="shared" si="157"/>
        <v>0</v>
      </c>
      <c r="DI43" s="246"/>
      <c r="DJ43" s="246"/>
      <c r="DK43" s="246"/>
      <c r="DL43" s="246"/>
      <c r="DM43" s="246"/>
      <c r="DN43" s="246"/>
      <c r="DO43" s="246"/>
      <c r="DP43" s="243">
        <f t="shared" si="158"/>
        <v>0</v>
      </c>
      <c r="DQ43" s="246"/>
      <c r="DR43" s="246"/>
      <c r="DS43" s="246"/>
      <c r="DT43" s="246"/>
      <c r="DU43" s="246"/>
      <c r="DV43" s="246"/>
      <c r="DW43" s="246"/>
      <c r="DX43" s="243">
        <f t="shared" si="159"/>
        <v>0</v>
      </c>
      <c r="DY43" s="246"/>
      <c r="DZ43" s="246"/>
      <c r="EA43" s="246"/>
      <c r="EB43" s="246"/>
      <c r="EC43" s="246"/>
      <c r="ED43" s="246"/>
      <c r="EE43" s="246"/>
      <c r="EF43" s="243">
        <f t="shared" si="160"/>
        <v>0</v>
      </c>
      <c r="EG43" s="246"/>
      <c r="EH43" s="246"/>
      <c r="EI43" s="246"/>
      <c r="EJ43" s="246"/>
      <c r="EK43" s="246"/>
      <c r="EL43" s="246"/>
      <c r="EM43" s="246"/>
      <c r="EN43" s="243">
        <f t="shared" si="161"/>
        <v>0</v>
      </c>
      <c r="EO43" s="246"/>
      <c r="EP43" s="246"/>
      <c r="EQ43" s="246"/>
      <c r="ER43" s="246"/>
      <c r="ES43" s="246"/>
      <c r="ET43" s="246"/>
      <c r="EU43" s="246"/>
      <c r="EV43" s="243">
        <f t="shared" si="162"/>
        <v>0</v>
      </c>
      <c r="EW43" s="246"/>
      <c r="EX43" s="246"/>
      <c r="EY43" s="246"/>
      <c r="EZ43" s="246"/>
      <c r="FA43" s="246"/>
      <c r="FB43" s="246"/>
      <c r="FC43" s="246"/>
      <c r="FD43" s="243">
        <f t="shared" si="163"/>
        <v>0</v>
      </c>
      <c r="FE43" s="246"/>
      <c r="FF43" s="246"/>
      <c r="FG43" s="246"/>
      <c r="FH43" s="246"/>
      <c r="FI43" s="246"/>
      <c r="FJ43" s="246"/>
      <c r="FK43" s="246"/>
      <c r="FL43" s="243">
        <f t="shared" si="164"/>
        <v>0</v>
      </c>
      <c r="FM43" s="246"/>
      <c r="FN43" s="246"/>
      <c r="FO43" s="246"/>
      <c r="FP43" s="246"/>
      <c r="FQ43" s="246"/>
      <c r="FR43" s="246"/>
      <c r="FS43" s="246"/>
      <c r="FT43" s="243">
        <f t="shared" si="165"/>
        <v>0</v>
      </c>
      <c r="FU43" s="246"/>
      <c r="FV43" s="246"/>
      <c r="FW43" s="246"/>
      <c r="FX43" s="246"/>
      <c r="FY43" s="246"/>
      <c r="FZ43" s="246"/>
      <c r="GA43" s="246"/>
      <c r="GB43" s="243">
        <f t="shared" si="166"/>
        <v>0</v>
      </c>
      <c r="GC43" s="246"/>
      <c r="GD43" s="246"/>
      <c r="GE43" s="246"/>
      <c r="GF43" s="246"/>
      <c r="GG43" s="246"/>
      <c r="GH43" s="246"/>
      <c r="GI43" s="246"/>
      <c r="GJ43" s="243">
        <f t="shared" si="167"/>
        <v>0</v>
      </c>
      <c r="GK43" s="246"/>
      <c r="GL43" s="246"/>
      <c r="GM43" s="246"/>
      <c r="GN43" s="246"/>
      <c r="GO43" s="246"/>
      <c r="GP43" s="246"/>
      <c r="GQ43" s="246"/>
      <c r="GR43" s="243">
        <f t="shared" si="168"/>
        <v>0</v>
      </c>
      <c r="GS43" s="246"/>
      <c r="GT43" s="246"/>
      <c r="GU43" s="246"/>
      <c r="GV43" s="246"/>
      <c r="GW43" s="246"/>
      <c r="GX43" s="246"/>
      <c r="GY43" s="246"/>
      <c r="GZ43" s="243">
        <f t="shared" si="169"/>
        <v>0</v>
      </c>
      <c r="HA43" s="246"/>
      <c r="HB43" s="246"/>
      <c r="HC43" s="246"/>
      <c r="HD43" s="246"/>
      <c r="HE43" s="246"/>
      <c r="HF43" s="246"/>
      <c r="HG43" s="246"/>
      <c r="HH43" s="243">
        <f t="shared" si="170"/>
        <v>0</v>
      </c>
      <c r="HI43" s="246"/>
      <c r="HJ43" s="246"/>
      <c r="HK43" s="246"/>
      <c r="HL43" s="246"/>
      <c r="HM43" s="246"/>
      <c r="HN43" s="246"/>
      <c r="HO43" s="246"/>
      <c r="HP43" s="243">
        <f t="shared" si="171"/>
        <v>0</v>
      </c>
      <c r="HQ43" s="246"/>
      <c r="HR43" s="246"/>
      <c r="HS43" s="246"/>
      <c r="HT43" s="246"/>
      <c r="HU43" s="246"/>
      <c r="HV43" s="246"/>
      <c r="HW43" s="246"/>
      <c r="HX43" s="243">
        <f t="shared" si="172"/>
        <v>0</v>
      </c>
      <c r="HY43" s="246"/>
      <c r="HZ43" s="246"/>
      <c r="IA43" s="246"/>
      <c r="IB43" s="246"/>
      <c r="IC43" s="246"/>
      <c r="ID43" s="246"/>
      <c r="IE43" s="246"/>
      <c r="IF43" s="243">
        <f t="shared" si="173"/>
        <v>0</v>
      </c>
      <c r="IG43" s="246"/>
      <c r="IH43" s="246"/>
      <c r="II43" s="246"/>
      <c r="IJ43" s="246"/>
      <c r="IK43" s="246"/>
      <c r="IL43" s="246"/>
      <c r="IM43" s="246"/>
      <c r="IN43" s="243">
        <f t="shared" si="174"/>
        <v>0</v>
      </c>
      <c r="IO43" s="246"/>
      <c r="IP43" s="246"/>
      <c r="IQ43" s="246"/>
      <c r="IR43" s="246"/>
      <c r="IS43" s="246"/>
      <c r="IT43" s="246"/>
      <c r="IU43" s="246"/>
      <c r="IV43" s="243">
        <f t="shared" si="175"/>
        <v>0</v>
      </c>
      <c r="IW43" s="246"/>
      <c r="IX43" s="246"/>
      <c r="IY43" s="246"/>
      <c r="IZ43" s="246"/>
      <c r="JA43" s="246"/>
      <c r="JB43" s="246"/>
      <c r="JC43" s="246"/>
      <c r="JD43" s="243">
        <f t="shared" si="176"/>
        <v>0</v>
      </c>
      <c r="JE43" s="246"/>
      <c r="JF43" s="246"/>
      <c r="JG43" s="246"/>
      <c r="JH43" s="246"/>
      <c r="JI43" s="246"/>
      <c r="JJ43" s="246"/>
      <c r="JK43" s="246"/>
      <c r="JL43" s="243">
        <f t="shared" si="177"/>
        <v>0</v>
      </c>
      <c r="JM43" s="246"/>
      <c r="JN43" s="246"/>
      <c r="JO43" s="246"/>
      <c r="JP43" s="246"/>
      <c r="JQ43" s="246"/>
      <c r="JR43" s="246"/>
      <c r="JS43" s="246"/>
      <c r="JT43" s="243">
        <f t="shared" si="178"/>
        <v>0</v>
      </c>
      <c r="JU43" s="246"/>
      <c r="JV43" s="246"/>
      <c r="JW43" s="246"/>
      <c r="JX43" s="246"/>
      <c r="JY43" s="246"/>
      <c r="JZ43" s="246"/>
      <c r="KA43" s="246"/>
      <c r="KB43" s="243">
        <f t="shared" si="179"/>
        <v>0</v>
      </c>
      <c r="KC43" s="246"/>
      <c r="KD43" s="246"/>
      <c r="KE43" s="246"/>
      <c r="KF43" s="246"/>
      <c r="KG43" s="246"/>
      <c r="KH43" s="246"/>
      <c r="KI43" s="246"/>
      <c r="KJ43" s="243">
        <f t="shared" si="180"/>
        <v>0</v>
      </c>
      <c r="KK43" s="246"/>
      <c r="KL43" s="246"/>
      <c r="KM43" s="246"/>
      <c r="KN43" s="246"/>
      <c r="KO43" s="246"/>
      <c r="KP43" s="246"/>
      <c r="KQ43" s="246"/>
      <c r="KR43" s="243">
        <f t="shared" si="181"/>
        <v>0</v>
      </c>
      <c r="KS43" s="246"/>
      <c r="KT43" s="246"/>
      <c r="KU43" s="246"/>
      <c r="KV43" s="246"/>
      <c r="KW43" s="246"/>
      <c r="KX43" s="246"/>
      <c r="KY43" s="246"/>
      <c r="KZ43" s="243">
        <f t="shared" si="182"/>
        <v>0</v>
      </c>
      <c r="LA43" s="246"/>
      <c r="LB43" s="246"/>
      <c r="LC43" s="246"/>
      <c r="LD43" s="246"/>
      <c r="LE43" s="246"/>
      <c r="LF43" s="246"/>
      <c r="LG43" s="246"/>
      <c r="LH43" s="243">
        <f t="shared" si="183"/>
        <v>0</v>
      </c>
      <c r="LI43" s="246"/>
      <c r="LJ43" s="246"/>
      <c r="LK43" s="246"/>
      <c r="LL43" s="246"/>
      <c r="LM43" s="246"/>
      <c r="LN43" s="246"/>
      <c r="LO43" s="246"/>
      <c r="LP43" s="243">
        <f t="shared" si="184"/>
        <v>0</v>
      </c>
      <c r="LQ43" s="246"/>
      <c r="LR43" s="246"/>
      <c r="LS43" s="246"/>
      <c r="LT43" s="244">
        <f t="shared" si="185"/>
        <v>0</v>
      </c>
      <c r="LU43" s="246">
        <v>0</v>
      </c>
      <c r="LV43" s="246"/>
      <c r="LW43" s="246"/>
      <c r="LX43" s="246"/>
      <c r="LY43" s="246"/>
      <c r="LZ43" s="246"/>
      <c r="MA43" s="246"/>
      <c r="MB43" s="243">
        <f t="shared" si="186"/>
        <v>0</v>
      </c>
      <c r="MC43" s="246"/>
      <c r="MD43" s="246">
        <v>0</v>
      </c>
      <c r="ME43" s="246">
        <v>1642.327650000002</v>
      </c>
      <c r="MF43" s="246">
        <v>0</v>
      </c>
      <c r="MG43" s="246">
        <v>9484.8130700000092</v>
      </c>
      <c r="MH43" s="298">
        <v>0</v>
      </c>
      <c r="MI43" s="298">
        <v>2893.7093399999994</v>
      </c>
      <c r="MJ43" s="306">
        <f t="shared" si="187"/>
        <v>3472.451207999999</v>
      </c>
      <c r="MK43" s="298">
        <v>0</v>
      </c>
      <c r="ML43" s="246"/>
      <c r="MM43" s="246"/>
      <c r="MN43" s="246"/>
      <c r="MO43" s="246"/>
      <c r="MP43" s="246"/>
      <c r="MQ43" s="246"/>
      <c r="MR43" s="243">
        <f t="shared" si="188"/>
        <v>0</v>
      </c>
      <c r="MS43" s="271"/>
      <c r="MT43" s="246"/>
      <c r="MU43" s="246"/>
      <c r="MV43" s="246"/>
      <c r="MW43" s="246"/>
      <c r="MX43" s="246"/>
      <c r="MY43" s="246"/>
      <c r="MZ43" s="243">
        <f t="shared" si="189"/>
        <v>0</v>
      </c>
      <c r="NA43" s="246"/>
      <c r="NB43" s="246"/>
      <c r="NC43" s="246"/>
      <c r="ND43" s="243">
        <f t="shared" si="190"/>
        <v>0</v>
      </c>
      <c r="NE43" s="246">
        <v>0</v>
      </c>
      <c r="NF43" s="246"/>
      <c r="NG43" s="246"/>
      <c r="NH43" s="246"/>
      <c r="NI43" s="246"/>
      <c r="NJ43" s="246"/>
      <c r="NK43" s="246"/>
      <c r="NL43" s="243">
        <f t="shared" si="191"/>
        <v>0</v>
      </c>
      <c r="NM43" s="246"/>
      <c r="NN43" s="246"/>
      <c r="NO43" s="246"/>
      <c r="NP43" s="246"/>
      <c r="NQ43" s="246"/>
      <c r="NR43" s="246"/>
      <c r="NS43" s="246"/>
      <c r="NT43" s="243">
        <f t="shared" si="192"/>
        <v>0</v>
      </c>
      <c r="NU43" s="246"/>
      <c r="NV43" s="246"/>
      <c r="NW43" s="246"/>
      <c r="NX43" s="246"/>
      <c r="NY43" s="246"/>
      <c r="NZ43" s="246"/>
      <c r="OA43" s="246"/>
      <c r="OB43" s="243">
        <f t="shared" si="193"/>
        <v>0</v>
      </c>
      <c r="OC43" s="246"/>
      <c r="OD43" s="246"/>
      <c r="OE43" s="246"/>
      <c r="OF43" s="246"/>
      <c r="OG43" s="246"/>
      <c r="OH43" s="246"/>
      <c r="OI43" s="246"/>
      <c r="OJ43" s="243">
        <f t="shared" si="194"/>
        <v>0</v>
      </c>
      <c r="OK43" s="246"/>
      <c r="OL43" s="246"/>
      <c r="OM43" s="246"/>
      <c r="ON43" s="246"/>
      <c r="OO43" s="246"/>
      <c r="OP43" s="246"/>
      <c r="OQ43" s="246"/>
      <c r="OR43" s="243">
        <f t="shared" si="195"/>
        <v>0</v>
      </c>
      <c r="OS43" s="246"/>
      <c r="OT43" s="246"/>
      <c r="OU43" s="246"/>
      <c r="OV43" s="246"/>
      <c r="OW43" s="246"/>
      <c r="OX43" s="246"/>
      <c r="OY43" s="246"/>
      <c r="OZ43" s="243">
        <f t="shared" si="196"/>
        <v>0</v>
      </c>
      <c r="PA43" s="247"/>
      <c r="PB43" s="246"/>
      <c r="PC43" s="246"/>
      <c r="PD43" s="243">
        <f t="shared" si="197"/>
        <v>0</v>
      </c>
      <c r="PE43" s="247"/>
      <c r="PF43" s="246"/>
      <c r="PG43" s="246"/>
      <c r="PH43" s="246"/>
      <c r="PI43" s="246"/>
      <c r="PJ43" s="246"/>
      <c r="PK43" s="246"/>
      <c r="PL43" s="243">
        <f t="shared" si="139"/>
        <v>0</v>
      </c>
      <c r="PM43" s="247"/>
      <c r="PN43" s="246">
        <v>5120.0033247187503</v>
      </c>
      <c r="PO43" s="246">
        <v>0</v>
      </c>
      <c r="PP43" s="246"/>
      <c r="PQ43" s="246"/>
      <c r="PR43" s="246">
        <v>70</v>
      </c>
      <c r="PS43" s="246">
        <v>0</v>
      </c>
      <c r="PT43" s="243">
        <f t="shared" si="198"/>
        <v>0</v>
      </c>
      <c r="PU43" s="246"/>
      <c r="PV43" s="246"/>
      <c r="PW43" s="246"/>
      <c r="PX43" s="246"/>
      <c r="PY43" s="246"/>
      <c r="PZ43" s="246"/>
      <c r="QA43" s="246"/>
      <c r="QB43" s="243">
        <f t="shared" si="199"/>
        <v>0</v>
      </c>
      <c r="QC43" s="246"/>
      <c r="QD43" s="246">
        <v>0</v>
      </c>
      <c r="QE43" s="246">
        <v>99.519350000000003</v>
      </c>
      <c r="QF43" s="246"/>
      <c r="QG43" s="246"/>
      <c r="QH43" s="246"/>
      <c r="QI43" s="246"/>
      <c r="QJ43" s="243">
        <f t="shared" si="200"/>
        <v>0</v>
      </c>
      <c r="QK43" s="246">
        <v>0</v>
      </c>
      <c r="QL43" s="246"/>
      <c r="QM43" s="246"/>
      <c r="QN43" s="246"/>
      <c r="QO43" s="246"/>
      <c r="QP43" s="243">
        <f t="shared" si="201"/>
        <v>0</v>
      </c>
      <c r="QQ43" s="243">
        <f t="shared" si="140"/>
        <v>0</v>
      </c>
      <c r="QR43" s="246"/>
      <c r="QS43" s="246"/>
      <c r="QT43" s="246"/>
      <c r="QU43" s="246"/>
      <c r="QV43" s="243">
        <f t="shared" si="202"/>
        <v>0</v>
      </c>
      <c r="QW43" s="246"/>
      <c r="QX43" s="246"/>
      <c r="QY43" s="246"/>
      <c r="QZ43" s="246"/>
      <c r="RA43" s="246"/>
      <c r="RB43" s="246"/>
      <c r="RC43" s="246"/>
      <c r="RD43" s="243">
        <f t="shared" si="203"/>
        <v>0</v>
      </c>
      <c r="RE43" s="300"/>
      <c r="RF43" s="259">
        <f t="shared" si="101"/>
        <v>9836.9997129940803</v>
      </c>
      <c r="RG43" s="259">
        <f t="shared" si="141"/>
        <v>14136.965980000001</v>
      </c>
      <c r="RH43" s="259">
        <f t="shared" si="142"/>
        <v>16964.359176000002</v>
      </c>
      <c r="RI43" s="256">
        <f t="shared" si="143"/>
        <v>9767</v>
      </c>
    </row>
    <row r="44" spans="1:478">
      <c r="A44" s="5" t="s">
        <v>83</v>
      </c>
      <c r="B44" s="263">
        <v>10</v>
      </c>
      <c r="C44" s="246">
        <v>0</v>
      </c>
      <c r="D44" s="246">
        <v>10</v>
      </c>
      <c r="E44" s="246">
        <v>0</v>
      </c>
      <c r="F44" s="246">
        <v>10</v>
      </c>
      <c r="G44" s="243">
        <v>0</v>
      </c>
      <c r="H44" s="243">
        <f t="shared" si="144"/>
        <v>0</v>
      </c>
      <c r="I44" s="246">
        <v>0</v>
      </c>
      <c r="J44" s="246"/>
      <c r="K44" s="246"/>
      <c r="L44" s="246"/>
      <c r="M44" s="246"/>
      <c r="N44" s="246"/>
      <c r="O44" s="246"/>
      <c r="P44" s="243">
        <f t="shared" si="145"/>
        <v>0</v>
      </c>
      <c r="Q44" s="246"/>
      <c r="R44" s="246">
        <v>9375.8333394202655</v>
      </c>
      <c r="S44" s="246">
        <v>8475.0427700000091</v>
      </c>
      <c r="T44" s="246">
        <v>7879.7836785419604</v>
      </c>
      <c r="U44" s="246">
        <v>6167.641770000002</v>
      </c>
      <c r="V44" s="278">
        <v>7574.9997614058602</v>
      </c>
      <c r="W44" s="247">
        <v>5700.2316900000005</v>
      </c>
      <c r="X44" s="243">
        <f t="shared" si="146"/>
        <v>6840.2780280000006</v>
      </c>
      <c r="Y44" s="271">
        <f>V44-180</f>
        <v>7394.9997614058602</v>
      </c>
      <c r="Z44" s="246"/>
      <c r="AA44" s="246"/>
      <c r="AB44" s="246"/>
      <c r="AC44" s="246"/>
      <c r="AD44" s="246"/>
      <c r="AE44" s="246"/>
      <c r="AF44" s="243">
        <f t="shared" si="147"/>
        <v>0</v>
      </c>
      <c r="AG44" s="246"/>
      <c r="AH44" s="246"/>
      <c r="AI44" s="246"/>
      <c r="AJ44" s="246"/>
      <c r="AK44" s="246"/>
      <c r="AL44" s="246"/>
      <c r="AM44" s="246"/>
      <c r="AN44" s="243">
        <f t="shared" si="148"/>
        <v>0</v>
      </c>
      <c r="AO44" s="246"/>
      <c r="AP44" s="246"/>
      <c r="AQ44" s="246"/>
      <c r="AR44" s="246"/>
      <c r="AS44" s="246"/>
      <c r="AT44" s="246"/>
      <c r="AU44" s="246"/>
      <c r="AV44" s="243">
        <f t="shared" si="149"/>
        <v>0</v>
      </c>
      <c r="AW44" s="246"/>
      <c r="AX44" s="246">
        <v>1</v>
      </c>
      <c r="AY44" s="246">
        <v>0</v>
      </c>
      <c r="AZ44" s="246">
        <v>2</v>
      </c>
      <c r="BA44" s="246">
        <v>0</v>
      </c>
      <c r="BB44" s="246"/>
      <c r="BC44" s="246"/>
      <c r="BD44" s="243">
        <f t="shared" si="150"/>
        <v>0</v>
      </c>
      <c r="BE44" s="246">
        <v>0</v>
      </c>
      <c r="BF44" s="246"/>
      <c r="BG44" s="246"/>
      <c r="BH44" s="246"/>
      <c r="BI44" s="246"/>
      <c r="BJ44" s="246"/>
      <c r="BK44" s="246"/>
      <c r="BL44" s="243">
        <f t="shared" si="151"/>
        <v>0</v>
      </c>
      <c r="BM44" s="246"/>
      <c r="BN44" s="246"/>
      <c r="BO44" s="246"/>
      <c r="BP44" s="246"/>
      <c r="BQ44" s="246"/>
      <c r="BR44" s="246"/>
      <c r="BS44" s="246"/>
      <c r="BT44" s="243">
        <f t="shared" si="152"/>
        <v>0</v>
      </c>
      <c r="BU44" s="246"/>
      <c r="BV44" s="246"/>
      <c r="BW44" s="246"/>
      <c r="BX44" s="246"/>
      <c r="BY44" s="246"/>
      <c r="BZ44" s="246"/>
      <c r="CA44" s="246"/>
      <c r="CB44" s="243">
        <f t="shared" si="153"/>
        <v>0</v>
      </c>
      <c r="CC44" s="246"/>
      <c r="CD44" s="246"/>
      <c r="CE44" s="246"/>
      <c r="CF44" s="246"/>
      <c r="CG44" s="246"/>
      <c r="CH44" s="246"/>
      <c r="CI44" s="246"/>
      <c r="CJ44" s="243">
        <f t="shared" si="154"/>
        <v>0</v>
      </c>
      <c r="CK44" s="246"/>
      <c r="CL44" s="246"/>
      <c r="CM44" s="246"/>
      <c r="CN44" s="246"/>
      <c r="CO44" s="246"/>
      <c r="CP44" s="246"/>
      <c r="CQ44" s="246"/>
      <c r="CR44" s="243">
        <f t="shared" si="155"/>
        <v>0</v>
      </c>
      <c r="CS44" s="246"/>
      <c r="CT44" s="246"/>
      <c r="CU44" s="246"/>
      <c r="CV44" s="246"/>
      <c r="CW44" s="246"/>
      <c r="CX44" s="246"/>
      <c r="CY44" s="246"/>
      <c r="CZ44" s="243">
        <f t="shared" si="156"/>
        <v>0</v>
      </c>
      <c r="DA44" s="246"/>
      <c r="DB44" s="246"/>
      <c r="DC44" s="246"/>
      <c r="DD44" s="246"/>
      <c r="DE44" s="246"/>
      <c r="DF44" s="246"/>
      <c r="DG44" s="246"/>
      <c r="DH44" s="243">
        <f t="shared" si="157"/>
        <v>0</v>
      </c>
      <c r="DI44" s="246"/>
      <c r="DJ44" s="246"/>
      <c r="DK44" s="246"/>
      <c r="DL44" s="246"/>
      <c r="DM44" s="246"/>
      <c r="DN44" s="246"/>
      <c r="DO44" s="246"/>
      <c r="DP44" s="243">
        <f t="shared" si="158"/>
        <v>0</v>
      </c>
      <c r="DQ44" s="246"/>
      <c r="DR44" s="246"/>
      <c r="DS44" s="246"/>
      <c r="DT44" s="246"/>
      <c r="DU44" s="246"/>
      <c r="DV44" s="246"/>
      <c r="DW44" s="246"/>
      <c r="DX44" s="243">
        <f t="shared" si="159"/>
        <v>0</v>
      </c>
      <c r="DY44" s="246"/>
      <c r="DZ44" s="246"/>
      <c r="EA44" s="246"/>
      <c r="EB44" s="246"/>
      <c r="EC44" s="246"/>
      <c r="ED44" s="246"/>
      <c r="EE44" s="246"/>
      <c r="EF44" s="243">
        <f t="shared" si="160"/>
        <v>0</v>
      </c>
      <c r="EG44" s="246"/>
      <c r="EH44" s="246"/>
      <c r="EI44" s="246"/>
      <c r="EJ44" s="246"/>
      <c r="EK44" s="246"/>
      <c r="EL44" s="246"/>
      <c r="EM44" s="246"/>
      <c r="EN44" s="243">
        <f t="shared" si="161"/>
        <v>0</v>
      </c>
      <c r="EO44" s="246"/>
      <c r="EP44" s="246"/>
      <c r="EQ44" s="246"/>
      <c r="ER44" s="246"/>
      <c r="ES44" s="246"/>
      <c r="ET44" s="246"/>
      <c r="EU44" s="246"/>
      <c r="EV44" s="243">
        <f t="shared" si="162"/>
        <v>0</v>
      </c>
      <c r="EW44" s="246"/>
      <c r="EX44" s="246"/>
      <c r="EY44" s="246"/>
      <c r="EZ44" s="246"/>
      <c r="FA44" s="246"/>
      <c r="FB44" s="246"/>
      <c r="FC44" s="246"/>
      <c r="FD44" s="243">
        <f t="shared" si="163"/>
        <v>0</v>
      </c>
      <c r="FE44" s="246"/>
      <c r="FF44" s="246"/>
      <c r="FG44" s="246"/>
      <c r="FH44" s="246"/>
      <c r="FI44" s="246"/>
      <c r="FJ44" s="246"/>
      <c r="FK44" s="246"/>
      <c r="FL44" s="243">
        <f t="shared" si="164"/>
        <v>0</v>
      </c>
      <c r="FM44" s="246"/>
      <c r="FN44" s="246"/>
      <c r="FO44" s="246"/>
      <c r="FP44" s="246"/>
      <c r="FQ44" s="246"/>
      <c r="FR44" s="246"/>
      <c r="FS44" s="246"/>
      <c r="FT44" s="243">
        <f t="shared" si="165"/>
        <v>0</v>
      </c>
      <c r="FU44" s="246"/>
      <c r="FV44" s="246"/>
      <c r="FW44" s="246"/>
      <c r="FX44" s="246"/>
      <c r="FY44" s="246"/>
      <c r="FZ44" s="246"/>
      <c r="GA44" s="246"/>
      <c r="GB44" s="243">
        <f t="shared" si="166"/>
        <v>0</v>
      </c>
      <c r="GC44" s="246"/>
      <c r="GD44" s="246"/>
      <c r="GE44" s="246"/>
      <c r="GF44" s="246"/>
      <c r="GG44" s="246"/>
      <c r="GH44" s="246"/>
      <c r="GI44" s="246"/>
      <c r="GJ44" s="243">
        <f t="shared" si="167"/>
        <v>0</v>
      </c>
      <c r="GK44" s="246"/>
      <c r="GL44" s="246"/>
      <c r="GM44" s="246"/>
      <c r="GN44" s="246"/>
      <c r="GO44" s="246"/>
      <c r="GP44" s="246"/>
      <c r="GQ44" s="246"/>
      <c r="GR44" s="243">
        <f t="shared" si="168"/>
        <v>0</v>
      </c>
      <c r="GS44" s="246"/>
      <c r="GT44" s="246"/>
      <c r="GU44" s="246"/>
      <c r="GV44" s="246"/>
      <c r="GW44" s="246"/>
      <c r="GX44" s="246"/>
      <c r="GY44" s="246"/>
      <c r="GZ44" s="243">
        <f t="shared" si="169"/>
        <v>0</v>
      </c>
      <c r="HA44" s="246"/>
      <c r="HB44" s="246"/>
      <c r="HC44" s="246"/>
      <c r="HD44" s="246"/>
      <c r="HE44" s="246"/>
      <c r="HF44" s="246"/>
      <c r="HG44" s="246"/>
      <c r="HH44" s="243">
        <f t="shared" si="170"/>
        <v>0</v>
      </c>
      <c r="HI44" s="246"/>
      <c r="HJ44" s="246"/>
      <c r="HK44" s="246"/>
      <c r="HL44" s="246"/>
      <c r="HM44" s="246"/>
      <c r="HN44" s="246"/>
      <c r="HO44" s="246"/>
      <c r="HP44" s="243">
        <f t="shared" si="171"/>
        <v>0</v>
      </c>
      <c r="HQ44" s="246"/>
      <c r="HR44" s="246"/>
      <c r="HS44" s="246"/>
      <c r="HT44" s="246"/>
      <c r="HU44" s="246"/>
      <c r="HV44" s="246"/>
      <c r="HW44" s="246"/>
      <c r="HX44" s="243">
        <f t="shared" si="172"/>
        <v>0</v>
      </c>
      <c r="HY44" s="246"/>
      <c r="HZ44" s="246"/>
      <c r="IA44" s="246"/>
      <c r="IB44" s="246"/>
      <c r="IC44" s="246"/>
      <c r="ID44" s="246"/>
      <c r="IE44" s="246"/>
      <c r="IF44" s="243">
        <f t="shared" si="173"/>
        <v>0</v>
      </c>
      <c r="IG44" s="246"/>
      <c r="IH44" s="246"/>
      <c r="II44" s="246"/>
      <c r="IJ44" s="246"/>
      <c r="IK44" s="246"/>
      <c r="IL44" s="246"/>
      <c r="IM44" s="246"/>
      <c r="IN44" s="243">
        <f t="shared" si="174"/>
        <v>0</v>
      </c>
      <c r="IO44" s="246"/>
      <c r="IP44" s="246"/>
      <c r="IQ44" s="246"/>
      <c r="IR44" s="246"/>
      <c r="IS44" s="246"/>
      <c r="IT44" s="246"/>
      <c r="IU44" s="246"/>
      <c r="IV44" s="243">
        <f t="shared" si="175"/>
        <v>0</v>
      </c>
      <c r="IW44" s="246"/>
      <c r="IX44" s="246"/>
      <c r="IY44" s="246"/>
      <c r="IZ44" s="246"/>
      <c r="JA44" s="246"/>
      <c r="JB44" s="246"/>
      <c r="JC44" s="246"/>
      <c r="JD44" s="243">
        <f t="shared" si="176"/>
        <v>0</v>
      </c>
      <c r="JE44" s="246"/>
      <c r="JF44" s="246"/>
      <c r="JG44" s="246"/>
      <c r="JH44" s="246"/>
      <c r="JI44" s="246"/>
      <c r="JJ44" s="246"/>
      <c r="JK44" s="246"/>
      <c r="JL44" s="243">
        <f t="shared" si="177"/>
        <v>0</v>
      </c>
      <c r="JM44" s="246"/>
      <c r="JN44" s="246"/>
      <c r="JO44" s="246"/>
      <c r="JP44" s="246"/>
      <c r="JQ44" s="246"/>
      <c r="JR44" s="246"/>
      <c r="JS44" s="246"/>
      <c r="JT44" s="243">
        <f t="shared" si="178"/>
        <v>0</v>
      </c>
      <c r="JU44" s="246"/>
      <c r="JV44" s="246"/>
      <c r="JW44" s="246"/>
      <c r="JX44" s="246"/>
      <c r="JY44" s="246"/>
      <c r="JZ44" s="246"/>
      <c r="KA44" s="246"/>
      <c r="KB44" s="243">
        <f t="shared" si="179"/>
        <v>0</v>
      </c>
      <c r="KC44" s="246"/>
      <c r="KD44" s="246"/>
      <c r="KE44" s="246"/>
      <c r="KF44" s="246"/>
      <c r="KG44" s="246"/>
      <c r="KH44" s="246"/>
      <c r="KI44" s="246"/>
      <c r="KJ44" s="243">
        <f t="shared" si="180"/>
        <v>0</v>
      </c>
      <c r="KK44" s="246"/>
      <c r="KL44" s="246"/>
      <c r="KM44" s="246"/>
      <c r="KN44" s="246"/>
      <c r="KO44" s="246"/>
      <c r="KP44" s="246"/>
      <c r="KQ44" s="246"/>
      <c r="KR44" s="243">
        <f t="shared" si="181"/>
        <v>0</v>
      </c>
      <c r="KS44" s="246"/>
      <c r="KT44" s="246"/>
      <c r="KU44" s="246"/>
      <c r="KV44" s="246"/>
      <c r="KW44" s="246"/>
      <c r="KX44" s="246"/>
      <c r="KY44" s="246"/>
      <c r="KZ44" s="243">
        <f t="shared" si="182"/>
        <v>0</v>
      </c>
      <c r="LA44" s="246"/>
      <c r="LB44" s="246"/>
      <c r="LC44" s="246"/>
      <c r="LD44" s="246"/>
      <c r="LE44" s="246"/>
      <c r="LF44" s="246"/>
      <c r="LG44" s="246"/>
      <c r="LH44" s="243">
        <f t="shared" si="183"/>
        <v>0</v>
      </c>
      <c r="LI44" s="246"/>
      <c r="LJ44" s="246"/>
      <c r="LK44" s="246"/>
      <c r="LL44" s="246"/>
      <c r="LM44" s="246"/>
      <c r="LN44" s="246"/>
      <c r="LO44" s="246"/>
      <c r="LP44" s="243">
        <f t="shared" si="184"/>
        <v>0</v>
      </c>
      <c r="LQ44" s="246"/>
      <c r="LR44" s="246"/>
      <c r="LS44" s="246"/>
      <c r="LT44" s="244">
        <f t="shared" si="185"/>
        <v>0</v>
      </c>
      <c r="LU44" s="246">
        <v>0</v>
      </c>
      <c r="LV44" s="246"/>
      <c r="LW44" s="246"/>
      <c r="LX44" s="246"/>
      <c r="LY44" s="246"/>
      <c r="LZ44" s="246"/>
      <c r="MA44" s="246"/>
      <c r="MB44" s="243">
        <f t="shared" si="186"/>
        <v>0</v>
      </c>
      <c r="MC44" s="246"/>
      <c r="MD44" s="246"/>
      <c r="ME44" s="246"/>
      <c r="MF44" s="246"/>
      <c r="MG44" s="246"/>
      <c r="MH44" s="246"/>
      <c r="MI44" s="246"/>
      <c r="MJ44" s="243">
        <f t="shared" si="187"/>
        <v>0</v>
      </c>
      <c r="MK44" s="246"/>
      <c r="ML44" s="246"/>
      <c r="MM44" s="246"/>
      <c r="MN44" s="246"/>
      <c r="MO44" s="246"/>
      <c r="MP44" s="246"/>
      <c r="MQ44" s="246"/>
      <c r="MR44" s="243">
        <f t="shared" si="188"/>
        <v>0</v>
      </c>
      <c r="MS44" s="271"/>
      <c r="MT44" s="246"/>
      <c r="MU44" s="246"/>
      <c r="MV44" s="246"/>
      <c r="MW44" s="246"/>
      <c r="MX44" s="246"/>
      <c r="MY44" s="246"/>
      <c r="MZ44" s="243">
        <f t="shared" si="189"/>
        <v>0</v>
      </c>
      <c r="NA44" s="246"/>
      <c r="NB44" s="246"/>
      <c r="NC44" s="246"/>
      <c r="ND44" s="243">
        <f t="shared" si="190"/>
        <v>0</v>
      </c>
      <c r="NE44" s="246">
        <v>0</v>
      </c>
      <c r="NF44" s="246"/>
      <c r="NG44" s="246"/>
      <c r="NH44" s="246"/>
      <c r="NI44" s="246"/>
      <c r="NJ44" s="246"/>
      <c r="NK44" s="246"/>
      <c r="NL44" s="243">
        <f t="shared" si="191"/>
        <v>0</v>
      </c>
      <c r="NM44" s="246"/>
      <c r="NN44" s="246"/>
      <c r="NO44" s="246"/>
      <c r="NP44" s="246"/>
      <c r="NQ44" s="246"/>
      <c r="NR44" s="246"/>
      <c r="NS44" s="246"/>
      <c r="NT44" s="243">
        <f t="shared" si="192"/>
        <v>0</v>
      </c>
      <c r="NU44" s="246"/>
      <c r="NV44" s="246"/>
      <c r="NW44" s="246"/>
      <c r="NX44" s="246"/>
      <c r="NY44" s="246"/>
      <c r="NZ44" s="246"/>
      <c r="OA44" s="246"/>
      <c r="OB44" s="243">
        <f t="shared" si="193"/>
        <v>0</v>
      </c>
      <c r="OC44" s="246"/>
      <c r="OD44" s="246"/>
      <c r="OE44" s="246"/>
      <c r="OF44" s="246"/>
      <c r="OG44" s="246"/>
      <c r="OH44" s="246"/>
      <c r="OI44" s="246"/>
      <c r="OJ44" s="243">
        <f t="shared" si="194"/>
        <v>0</v>
      </c>
      <c r="OK44" s="246"/>
      <c r="OL44" s="246"/>
      <c r="OM44" s="246"/>
      <c r="ON44" s="246"/>
      <c r="OO44" s="246"/>
      <c r="OP44" s="246"/>
      <c r="OQ44" s="246"/>
      <c r="OR44" s="243">
        <f t="shared" si="195"/>
        <v>0</v>
      </c>
      <c r="OS44" s="246"/>
      <c r="OT44" s="246"/>
      <c r="OU44" s="246"/>
      <c r="OV44" s="246"/>
      <c r="OW44" s="246"/>
      <c r="OX44" s="246"/>
      <c r="OY44" s="246"/>
      <c r="OZ44" s="243">
        <f t="shared" si="196"/>
        <v>0</v>
      </c>
      <c r="PA44" s="247"/>
      <c r="PB44" s="246"/>
      <c r="PC44" s="246"/>
      <c r="PD44" s="243">
        <f t="shared" si="197"/>
        <v>0</v>
      </c>
      <c r="PE44" s="247"/>
      <c r="PF44" s="246"/>
      <c r="PG44" s="246"/>
      <c r="PH44" s="246"/>
      <c r="PI44" s="246"/>
      <c r="PJ44" s="246"/>
      <c r="PK44" s="246"/>
      <c r="PL44" s="243">
        <f t="shared" si="139"/>
        <v>0</v>
      </c>
      <c r="PM44" s="247"/>
      <c r="PN44" s="246">
        <v>398.50019383371699</v>
      </c>
      <c r="PO44" s="246">
        <v>0</v>
      </c>
      <c r="PP44" s="246">
        <v>1808.52677490931</v>
      </c>
      <c r="PQ44" s="246">
        <v>0</v>
      </c>
      <c r="PR44" s="246">
        <v>-1309.99995905315</v>
      </c>
      <c r="PS44" s="246">
        <v>0</v>
      </c>
      <c r="PT44" s="243">
        <f t="shared" si="198"/>
        <v>0</v>
      </c>
      <c r="PU44" s="246"/>
      <c r="PV44" s="246"/>
      <c r="PW44" s="246"/>
      <c r="PX44" s="246"/>
      <c r="PY44" s="246"/>
      <c r="PZ44" s="246"/>
      <c r="QA44" s="246"/>
      <c r="QB44" s="243">
        <f t="shared" si="199"/>
        <v>0</v>
      </c>
      <c r="QC44" s="246"/>
      <c r="QD44" s="246"/>
      <c r="QE44" s="246"/>
      <c r="QF44" s="246"/>
      <c r="QG44" s="246"/>
      <c r="QH44" s="246"/>
      <c r="QI44" s="246"/>
      <c r="QJ44" s="243">
        <f t="shared" si="200"/>
        <v>0</v>
      </c>
      <c r="QK44" s="246">
        <v>0</v>
      </c>
      <c r="QL44" s="246"/>
      <c r="QM44" s="246"/>
      <c r="QN44" s="246"/>
      <c r="QO44" s="246"/>
      <c r="QP44" s="243">
        <f t="shared" si="201"/>
        <v>0</v>
      </c>
      <c r="QQ44" s="243">
        <f t="shared" si="140"/>
        <v>0</v>
      </c>
      <c r="QR44" s="246"/>
      <c r="QS44" s="246"/>
      <c r="QT44" s="246"/>
      <c r="QU44" s="246"/>
      <c r="QV44" s="243">
        <f t="shared" si="202"/>
        <v>0</v>
      </c>
      <c r="QW44" s="246"/>
      <c r="QX44" s="246"/>
      <c r="QY44" s="246"/>
      <c r="QZ44" s="246"/>
      <c r="RA44" s="246"/>
      <c r="RB44" s="246"/>
      <c r="RC44" s="246"/>
      <c r="RD44" s="243">
        <f t="shared" si="203"/>
        <v>0</v>
      </c>
      <c r="RE44" s="300"/>
      <c r="RF44" s="259">
        <f t="shared" si="101"/>
        <v>6274.9998023527105</v>
      </c>
      <c r="RG44" s="259">
        <f t="shared" si="141"/>
        <v>5700.2316900000005</v>
      </c>
      <c r="RH44" s="259">
        <f t="shared" si="142"/>
        <v>6840.2780280000006</v>
      </c>
      <c r="RI44" s="256">
        <f t="shared" si="143"/>
        <v>7394.9997614058602</v>
      </c>
    </row>
    <row r="45" spans="1:478">
      <c r="A45" s="5" t="s">
        <v>84</v>
      </c>
      <c r="B45" s="263">
        <v>3504.3566392616867</v>
      </c>
      <c r="C45" s="246">
        <v>3675.8824299999987</v>
      </c>
      <c r="D45" s="246">
        <v>3695.9393576040611</v>
      </c>
      <c r="E45" s="246">
        <v>4742.4276700000009</v>
      </c>
      <c r="F45" s="246">
        <v>5366.9998583238967</v>
      </c>
      <c r="G45" s="243">
        <v>3806.8524600000005</v>
      </c>
      <c r="H45" s="243">
        <f t="shared" si="144"/>
        <v>4568.222952000001</v>
      </c>
      <c r="I45" s="246">
        <v>4700</v>
      </c>
      <c r="J45" s="246">
        <v>177.14966555920802</v>
      </c>
      <c r="K45" s="246">
        <v>137.79668999999799</v>
      </c>
      <c r="L45" s="246">
        <v>136.756590269969</v>
      </c>
      <c r="M45" s="246">
        <v>113.52313000000001</v>
      </c>
      <c r="N45" s="246">
        <v>109.986751608124</v>
      </c>
      <c r="O45" s="246">
        <v>111.13625</v>
      </c>
      <c r="P45" s="243">
        <f t="shared" si="145"/>
        <v>133.36350000000002</v>
      </c>
      <c r="Q45" s="246">
        <v>130</v>
      </c>
      <c r="R45" s="246">
        <v>155.41005715400001</v>
      </c>
      <c r="S45" s="246">
        <v>115.626299999997</v>
      </c>
      <c r="T45" s="246">
        <v>115.270343885472</v>
      </c>
      <c r="U45" s="246">
        <v>121.76339999999999</v>
      </c>
      <c r="V45" s="246">
        <v>115.99999634627801</v>
      </c>
      <c r="W45" s="247">
        <v>105.91029999999999</v>
      </c>
      <c r="X45" s="243">
        <f t="shared" si="146"/>
        <v>127.09236</v>
      </c>
      <c r="Y45" s="246">
        <v>130</v>
      </c>
      <c r="Z45" s="246">
        <v>161.16858257810202</v>
      </c>
      <c r="AA45" s="246">
        <v>137.0932</v>
      </c>
      <c r="AB45" s="246">
        <v>127.29984181684898</v>
      </c>
      <c r="AC45" s="246">
        <v>148.79635000000002</v>
      </c>
      <c r="AD45" s="246">
        <v>187.16434028354399</v>
      </c>
      <c r="AE45" s="246">
        <v>155.17780000000002</v>
      </c>
      <c r="AF45" s="243">
        <f t="shared" si="147"/>
        <v>186.21336000000002</v>
      </c>
      <c r="AG45" s="246">
        <v>190</v>
      </c>
      <c r="AH45" s="246">
        <v>54.013054527009999</v>
      </c>
      <c r="AI45" s="246">
        <v>36.401699999998996</v>
      </c>
      <c r="AJ45" s="246">
        <v>34.659993106007001</v>
      </c>
      <c r="AK45" s="246">
        <v>34.5792</v>
      </c>
      <c r="AL45" s="246">
        <v>35.999998866086997</v>
      </c>
      <c r="AM45" s="246">
        <v>26.907400000000003</v>
      </c>
      <c r="AN45" s="243">
        <f t="shared" si="148"/>
        <v>32.288880000000006</v>
      </c>
      <c r="AO45" s="246">
        <v>34.5792</v>
      </c>
      <c r="AP45" s="246">
        <v>133.48479160591998</v>
      </c>
      <c r="AQ45" s="246">
        <v>116.06400999999902</v>
      </c>
      <c r="AR45" s="246">
        <v>171.699138500766</v>
      </c>
      <c r="AS45" s="246">
        <v>97.358710000000002</v>
      </c>
      <c r="AT45" s="246">
        <v>96.490886960769998</v>
      </c>
      <c r="AU45" s="246">
        <v>50.80292</v>
      </c>
      <c r="AV45" s="243">
        <f t="shared" si="149"/>
        <v>60.963504</v>
      </c>
      <c r="AW45" s="246">
        <v>100</v>
      </c>
      <c r="AX45" s="246">
        <v>748.73717335368292</v>
      </c>
      <c r="AY45" s="246">
        <v>527.63718999999799</v>
      </c>
      <c r="AZ45" s="246">
        <v>496.88628092036703</v>
      </c>
      <c r="BA45" s="246">
        <v>478.96487999999999</v>
      </c>
      <c r="BB45" s="246">
        <v>479.99998488116205</v>
      </c>
      <c r="BC45" s="246">
        <v>384.97264999999999</v>
      </c>
      <c r="BD45" s="243">
        <f t="shared" si="150"/>
        <v>461.96717999999998</v>
      </c>
      <c r="BE45" s="246">
        <v>465</v>
      </c>
      <c r="BF45" s="246">
        <v>55.944886664437</v>
      </c>
      <c r="BG45" s="246">
        <v>51.722659999999991</v>
      </c>
      <c r="BH45" s="246">
        <v>53.668778951939004</v>
      </c>
      <c r="BI45" s="246">
        <v>59.896429999999995</v>
      </c>
      <c r="BJ45" s="246">
        <v>61.999998047147997</v>
      </c>
      <c r="BK45" s="246">
        <v>59.345230000000001</v>
      </c>
      <c r="BL45" s="243">
        <f t="shared" si="151"/>
        <v>71.214276000000012</v>
      </c>
      <c r="BM45" s="246">
        <v>65</v>
      </c>
      <c r="BN45" s="246">
        <v>86.859171225549005</v>
      </c>
      <c r="BO45" s="246">
        <v>72.804969999999003</v>
      </c>
      <c r="BP45" s="246">
        <v>71.321523145401997</v>
      </c>
      <c r="BQ45" s="246">
        <v>36.509569999999997</v>
      </c>
      <c r="BR45" s="246">
        <v>27.999999118067002</v>
      </c>
      <c r="BS45" s="246">
        <v>30.205580000000001</v>
      </c>
      <c r="BT45" s="243">
        <f t="shared" si="152"/>
        <v>36.246696</v>
      </c>
      <c r="BU45" s="246">
        <v>35</v>
      </c>
      <c r="BV45" s="246">
        <v>153.033315515564</v>
      </c>
      <c r="BW45" s="246">
        <v>165.093819999998</v>
      </c>
      <c r="BX45" s="246">
        <v>175.72992626581902</v>
      </c>
      <c r="BY45" s="246">
        <v>121.12514999999999</v>
      </c>
      <c r="BZ45" s="246">
        <v>114.99999637777501</v>
      </c>
      <c r="CA45" s="246">
        <v>106.67876000000001</v>
      </c>
      <c r="CB45" s="243">
        <f t="shared" si="153"/>
        <v>128.01451200000002</v>
      </c>
      <c r="CC45" s="246">
        <v>140</v>
      </c>
      <c r="CD45" s="246">
        <v>398.10252284529099</v>
      </c>
      <c r="CE45" s="246">
        <v>425.94299999999799</v>
      </c>
      <c r="CF45" s="246">
        <v>417.26414464730203</v>
      </c>
      <c r="CG45" s="246">
        <v>255.67831999999999</v>
      </c>
      <c r="CH45" s="246">
        <v>275.999991306666</v>
      </c>
      <c r="CI45" s="246">
        <v>442.19770999999992</v>
      </c>
      <c r="CJ45" s="243">
        <f t="shared" si="154"/>
        <v>530.63725199999999</v>
      </c>
      <c r="CK45" s="246">
        <v>350</v>
      </c>
      <c r="CL45" s="246">
        <v>27.914365422026002</v>
      </c>
      <c r="CM45" s="246">
        <v>25.262700000000002</v>
      </c>
      <c r="CN45" s="246">
        <v>25.747957744746003</v>
      </c>
      <c r="CO45" s="246">
        <v>29.1051</v>
      </c>
      <c r="CP45" s="246">
        <v>29.999999055071999</v>
      </c>
      <c r="CQ45" s="246">
        <v>31.322999999999997</v>
      </c>
      <c r="CR45" s="243">
        <f t="shared" si="155"/>
        <v>37.587599999999995</v>
      </c>
      <c r="CS45" s="246">
        <v>40</v>
      </c>
      <c r="CT45" s="246">
        <v>26.116947956820002</v>
      </c>
      <c r="CU45" s="246">
        <v>30.599449999999997</v>
      </c>
      <c r="CV45" s="246">
        <v>29.975967044714999</v>
      </c>
      <c r="CW45" s="246">
        <v>27.859150000000003</v>
      </c>
      <c r="CX45" s="246">
        <v>30.999999023574002</v>
      </c>
      <c r="CY45" s="246">
        <v>27.374900000000004</v>
      </c>
      <c r="CZ45" s="243">
        <f t="shared" si="156"/>
        <v>32.849879999999999</v>
      </c>
      <c r="DA45" s="246">
        <v>30</v>
      </c>
      <c r="DB45" s="246">
        <v>13.446073415798001</v>
      </c>
      <c r="DC45" s="246">
        <v>14.026959999998999</v>
      </c>
      <c r="DD45" s="246">
        <v>17.741149752485999</v>
      </c>
      <c r="DE45" s="246">
        <v>14.24103</v>
      </c>
      <c r="DF45" s="246">
        <v>13.999999559033</v>
      </c>
      <c r="DG45" s="246">
        <v>7.1074999999999999</v>
      </c>
      <c r="DH45" s="243">
        <f t="shared" si="157"/>
        <v>8.5289999999999999</v>
      </c>
      <c r="DI45" s="246">
        <v>14.24103</v>
      </c>
      <c r="DJ45" s="246">
        <v>2</v>
      </c>
      <c r="DK45" s="246">
        <v>2.8535000000000004</v>
      </c>
      <c r="DL45" s="246">
        <v>2.7953581506230001</v>
      </c>
      <c r="DM45" s="246">
        <v>2.9401999999999999</v>
      </c>
      <c r="DN45" s="246">
        <v>2.9999999055069999</v>
      </c>
      <c r="DO45" s="246">
        <v>0</v>
      </c>
      <c r="DP45" s="243">
        <f t="shared" si="158"/>
        <v>0</v>
      </c>
      <c r="DQ45" s="246">
        <v>2.9401999999999999</v>
      </c>
      <c r="DR45" s="246">
        <v>104.89687883756201</v>
      </c>
      <c r="DS45" s="246">
        <v>108.64554999999899</v>
      </c>
      <c r="DT45" s="246">
        <v>104.43183211498399</v>
      </c>
      <c r="DU45" s="246">
        <v>110.78818000000001</v>
      </c>
      <c r="DV45" s="246">
        <v>149.99999527536099</v>
      </c>
      <c r="DW45" s="246">
        <v>92.911020000000008</v>
      </c>
      <c r="DX45" s="243">
        <f t="shared" si="159"/>
        <v>111.493224</v>
      </c>
      <c r="DY45" s="246">
        <v>140</v>
      </c>
      <c r="DZ45" s="246">
        <v>168.151792717462</v>
      </c>
      <c r="EA45" s="246">
        <v>169.032199999997</v>
      </c>
      <c r="EB45" s="246">
        <v>158.58806522992501</v>
      </c>
      <c r="EC45" s="246">
        <v>152.16899999999998</v>
      </c>
      <c r="ED45" s="246">
        <v>169.999994645409</v>
      </c>
      <c r="EE45" s="246">
        <v>149.45740000000004</v>
      </c>
      <c r="EF45" s="243">
        <f t="shared" si="160"/>
        <v>179.34888000000007</v>
      </c>
      <c r="EG45" s="246">
        <v>170</v>
      </c>
      <c r="EH45" s="246">
        <v>0.96997154116100004</v>
      </c>
      <c r="EI45" s="246">
        <v>1.4689999999999999</v>
      </c>
      <c r="EJ45" s="246">
        <v>1.4390682051029999</v>
      </c>
      <c r="EK45" s="246">
        <v>1.2252999999999998</v>
      </c>
      <c r="EL45" s="246">
        <v>1.225299961405</v>
      </c>
      <c r="EM45" s="246">
        <v>0.49019999999999997</v>
      </c>
      <c r="EN45" s="243">
        <f t="shared" si="161"/>
        <v>0.58823999999999987</v>
      </c>
      <c r="EO45" s="246">
        <v>1.2252999999999998</v>
      </c>
      <c r="EP45" s="246">
        <v>38.666712446882002</v>
      </c>
      <c r="EQ45" s="246">
        <v>31.576000000000001</v>
      </c>
      <c r="ER45" s="246">
        <v>30.932619226945999</v>
      </c>
      <c r="ES45" s="246">
        <v>26.136000000000003</v>
      </c>
      <c r="ET45" s="246">
        <v>31.999998992077</v>
      </c>
      <c r="EU45" s="246">
        <v>17.151</v>
      </c>
      <c r="EV45" s="243">
        <f t="shared" si="162"/>
        <v>20.581200000000003</v>
      </c>
      <c r="EW45" s="246">
        <v>30</v>
      </c>
      <c r="EX45" s="246">
        <v>14.440191951282999</v>
      </c>
      <c r="EY45" s="246">
        <v>12.368849999999</v>
      </c>
      <c r="EZ45" s="246">
        <v>20.116822628295001</v>
      </c>
      <c r="FA45" s="246">
        <v>18.291900000000002</v>
      </c>
      <c r="FB45" s="246">
        <v>19.999999370047998</v>
      </c>
      <c r="FC45" s="246">
        <v>14.767999999999999</v>
      </c>
      <c r="FD45" s="243">
        <f t="shared" si="163"/>
        <v>17.721599999999999</v>
      </c>
      <c r="FE45" s="246">
        <v>20</v>
      </c>
      <c r="FF45" s="246">
        <v>158.810716134605</v>
      </c>
      <c r="FG45" s="246">
        <v>145.977549999997</v>
      </c>
      <c r="FH45" s="246">
        <v>146.003168160614</v>
      </c>
      <c r="FI45" s="246">
        <v>146.91614000000001</v>
      </c>
      <c r="FJ45" s="246">
        <v>169.733396832365</v>
      </c>
      <c r="FK45" s="246">
        <v>140.22943000000001</v>
      </c>
      <c r="FL45" s="243">
        <f t="shared" si="164"/>
        <v>168.27531600000003</v>
      </c>
      <c r="FM45" s="246">
        <v>170</v>
      </c>
      <c r="FN45" s="246">
        <v>25</v>
      </c>
      <c r="FO45" s="246">
        <v>26.928599999999999</v>
      </c>
      <c r="FP45" s="246">
        <v>24.379913989051001</v>
      </c>
      <c r="FQ45" s="246">
        <v>0</v>
      </c>
      <c r="FR45" s="246"/>
      <c r="FS45" s="246"/>
      <c r="FT45" s="243">
        <f t="shared" si="165"/>
        <v>0</v>
      </c>
      <c r="FU45" s="246">
        <v>0</v>
      </c>
      <c r="FV45" s="246"/>
      <c r="FW45" s="246"/>
      <c r="FX45" s="246"/>
      <c r="FY45" s="246"/>
      <c r="FZ45" s="246"/>
      <c r="GA45" s="246"/>
      <c r="GB45" s="243">
        <f t="shared" si="166"/>
        <v>0</v>
      </c>
      <c r="GC45" s="246"/>
      <c r="GD45" s="246">
        <v>25.958363731502999</v>
      </c>
      <c r="GE45" s="246">
        <v>23.844000000000001</v>
      </c>
      <c r="GF45" s="246">
        <v>23.358163568763999</v>
      </c>
      <c r="GG45" s="246">
        <v>30.853999999999999</v>
      </c>
      <c r="GH45" s="246">
        <v>23.999999244057999</v>
      </c>
      <c r="GI45" s="246">
        <v>27.842500000000001</v>
      </c>
      <c r="GJ45" s="243">
        <f t="shared" si="167"/>
        <v>33.411000000000001</v>
      </c>
      <c r="GK45" s="246">
        <v>35</v>
      </c>
      <c r="GL45" s="246">
        <v>11.643230038047999</v>
      </c>
      <c r="GM45" s="246">
        <v>9.2534399999999994</v>
      </c>
      <c r="GN45" s="246">
        <v>9.0648953654480007</v>
      </c>
      <c r="GO45" s="246">
        <v>8.3779599999999999</v>
      </c>
      <c r="GP45" s="246">
        <v>8.9999997165209997</v>
      </c>
      <c r="GQ45" s="246">
        <v>2.46502</v>
      </c>
      <c r="GR45" s="243">
        <f t="shared" si="168"/>
        <v>2.958024</v>
      </c>
      <c r="GS45" s="246">
        <f>8.37796+2</f>
        <v>10.37796</v>
      </c>
      <c r="GT45" s="246"/>
      <c r="GU45" s="246"/>
      <c r="GV45" s="246"/>
      <c r="GW45" s="246"/>
      <c r="GX45" s="246"/>
      <c r="GY45" s="246"/>
      <c r="GZ45" s="243">
        <f t="shared" si="169"/>
        <v>0</v>
      </c>
      <c r="HA45" s="246"/>
      <c r="HB45" s="246"/>
      <c r="HC45" s="246"/>
      <c r="HD45" s="246">
        <v>0</v>
      </c>
      <c r="HE45" s="246">
        <v>8.1699999999999995E-2</v>
      </c>
      <c r="HF45" s="246">
        <v>8.1699997425999996E-2</v>
      </c>
      <c r="HG45" s="246">
        <v>8.1600000000000006E-2</v>
      </c>
      <c r="HH45" s="243">
        <f t="shared" si="170"/>
        <v>9.7920000000000007E-2</v>
      </c>
      <c r="HI45" s="246">
        <v>8.1699999999999995E-2</v>
      </c>
      <c r="HJ45" s="246">
        <v>15</v>
      </c>
      <c r="HK45" s="246">
        <v>0</v>
      </c>
      <c r="HL45" s="246">
        <v>9.000099799989</v>
      </c>
      <c r="HM45" s="246">
        <v>0.24510000000000001</v>
      </c>
      <c r="HN45" s="246">
        <v>0.24509999227900001</v>
      </c>
      <c r="HO45" s="246">
        <v>1.6304799999999999</v>
      </c>
      <c r="HP45" s="243">
        <f t="shared" si="171"/>
        <v>1.9565760000000001</v>
      </c>
      <c r="HQ45" s="246">
        <v>2</v>
      </c>
      <c r="HR45" s="246">
        <v>45.138494198925997</v>
      </c>
      <c r="HS45" s="246">
        <v>49.550249999998002</v>
      </c>
      <c r="HT45" s="246">
        <v>48.540632627627005</v>
      </c>
      <c r="HU45" s="246">
        <v>51.389400000000002</v>
      </c>
      <c r="HV45" s="246">
        <v>49.999998425119998</v>
      </c>
      <c r="HW45" s="246">
        <v>36.905100000000004</v>
      </c>
      <c r="HX45" s="243">
        <f t="shared" si="172"/>
        <v>44.286120000000011</v>
      </c>
      <c r="HY45" s="246">
        <v>50</v>
      </c>
      <c r="HZ45" s="246">
        <v>90.029296329739992</v>
      </c>
      <c r="IA45" s="246">
        <v>77.997159999998999</v>
      </c>
      <c r="IB45" s="246">
        <v>76.407919022775999</v>
      </c>
      <c r="IC45" s="246">
        <v>85.332300000000004</v>
      </c>
      <c r="ID45" s="246">
        <v>85.999997291206</v>
      </c>
      <c r="IE45" s="246">
        <v>77.314999999999998</v>
      </c>
      <c r="IF45" s="243">
        <f t="shared" si="173"/>
        <v>92.777999999999992</v>
      </c>
      <c r="IG45" s="246">
        <v>90</v>
      </c>
      <c r="IH45" s="246">
        <v>1199.6574058562389</v>
      </c>
      <c r="II45" s="246">
        <v>1332.7049799999982</v>
      </c>
      <c r="IJ45" s="246">
        <v>1396.5503784049261</v>
      </c>
      <c r="IK45" s="246">
        <v>1478.7004000000002</v>
      </c>
      <c r="IL45" s="246">
        <v>1464.9999538560501</v>
      </c>
      <c r="IM45" s="246">
        <v>935.68631000000005</v>
      </c>
      <c r="IN45" s="243">
        <f t="shared" si="174"/>
        <v>1122.8235720000002</v>
      </c>
      <c r="IO45" s="246">
        <v>1460</v>
      </c>
      <c r="IP45" s="246"/>
      <c r="IQ45" s="246"/>
      <c r="IR45" s="246"/>
      <c r="IS45" s="246"/>
      <c r="IT45" s="246"/>
      <c r="IU45" s="246"/>
      <c r="IV45" s="243">
        <f t="shared" si="175"/>
        <v>0</v>
      </c>
      <c r="IW45" s="246"/>
      <c r="IX45" s="246">
        <v>11.8</v>
      </c>
      <c r="IY45" s="246">
        <v>5.2005999999999997</v>
      </c>
      <c r="IZ45" s="246">
        <v>5.094634518356</v>
      </c>
      <c r="JA45" s="246">
        <v>5.3082000000000003</v>
      </c>
      <c r="JB45" s="246">
        <v>4.9999998425100003</v>
      </c>
      <c r="JC45" s="246">
        <v>4.0023999999999997</v>
      </c>
      <c r="JD45" s="243">
        <f t="shared" si="176"/>
        <v>4.80288</v>
      </c>
      <c r="JE45" s="246">
        <v>5.3082000000000003</v>
      </c>
      <c r="JF45" s="246">
        <v>21096.0343705839</v>
      </c>
      <c r="JG45" s="246">
        <v>21444.12993000001</v>
      </c>
      <c r="JH45" s="246">
        <v>21713.2347576426</v>
      </c>
      <c r="JI45" s="246">
        <v>22269.769490000013</v>
      </c>
      <c r="JJ45" s="246">
        <v>22254.999299021401</v>
      </c>
      <c r="JK45" s="246">
        <v>19098.947300000007</v>
      </c>
      <c r="JL45" s="243">
        <f t="shared" si="177"/>
        <v>22918.736760000007</v>
      </c>
      <c r="JM45" s="278">
        <v>22254.999299021401</v>
      </c>
      <c r="JN45" s="246"/>
      <c r="JO45" s="246"/>
      <c r="JP45" s="246"/>
      <c r="JQ45" s="246"/>
      <c r="JR45" s="246"/>
      <c r="JS45" s="246"/>
      <c r="JT45" s="243">
        <f t="shared" si="178"/>
        <v>0</v>
      </c>
      <c r="JU45" s="246"/>
      <c r="JV45" s="246"/>
      <c r="JW45" s="246"/>
      <c r="JX45" s="246"/>
      <c r="JY45" s="246"/>
      <c r="JZ45" s="246"/>
      <c r="KA45" s="246"/>
      <c r="KB45" s="243">
        <f t="shared" si="179"/>
        <v>0</v>
      </c>
      <c r="KC45" s="246"/>
      <c r="KD45" s="246"/>
      <c r="KE45" s="246"/>
      <c r="KF45" s="246"/>
      <c r="KG45" s="246"/>
      <c r="KH45" s="246"/>
      <c r="KI45" s="246"/>
      <c r="KJ45" s="243">
        <f t="shared" si="180"/>
        <v>0</v>
      </c>
      <c r="KK45" s="246"/>
      <c r="KL45" s="246"/>
      <c r="KM45" s="246"/>
      <c r="KN45" s="246"/>
      <c r="KO45" s="246"/>
      <c r="KP45" s="246"/>
      <c r="KQ45" s="246"/>
      <c r="KR45" s="243">
        <f t="shared" si="181"/>
        <v>0</v>
      </c>
      <c r="KS45" s="246"/>
      <c r="KT45" s="246"/>
      <c r="KU45" s="246"/>
      <c r="KV45" s="246"/>
      <c r="KW45" s="246"/>
      <c r="KX45" s="246"/>
      <c r="KY45" s="246"/>
      <c r="KZ45" s="243">
        <f t="shared" si="182"/>
        <v>0</v>
      </c>
      <c r="LA45" s="246"/>
      <c r="LB45" s="246"/>
      <c r="LC45" s="246"/>
      <c r="LD45" s="246"/>
      <c r="LE45" s="246"/>
      <c r="LF45" s="246"/>
      <c r="LG45" s="246"/>
      <c r="LH45" s="243">
        <f t="shared" si="183"/>
        <v>0</v>
      </c>
      <c r="LI45" s="246"/>
      <c r="LJ45" s="246"/>
      <c r="LK45" s="246"/>
      <c r="LL45" s="246"/>
      <c r="LM45" s="246"/>
      <c r="LN45" s="246"/>
      <c r="LO45" s="246"/>
      <c r="LP45" s="243">
        <f t="shared" si="184"/>
        <v>0</v>
      </c>
      <c r="LQ45" s="246"/>
      <c r="LR45" s="246"/>
      <c r="LS45" s="246"/>
      <c r="LT45" s="244">
        <f t="shared" si="185"/>
        <v>0</v>
      </c>
      <c r="LU45" s="246">
        <v>0</v>
      </c>
      <c r="LV45" s="246"/>
      <c r="LW45" s="246"/>
      <c r="LX45" s="246"/>
      <c r="LY45" s="246"/>
      <c r="LZ45" s="246"/>
      <c r="MA45" s="246"/>
      <c r="MB45" s="243">
        <f t="shared" si="186"/>
        <v>0</v>
      </c>
      <c r="MC45" s="246"/>
      <c r="MD45" s="246">
        <v>145.35154963712802</v>
      </c>
      <c r="ME45" s="246">
        <v>86.087879999999004</v>
      </c>
      <c r="MF45" s="246">
        <v>84.333785536326005</v>
      </c>
      <c r="MG45" s="246">
        <v>35.134999999999998</v>
      </c>
      <c r="MH45" s="246">
        <v>85.999997291208004</v>
      </c>
      <c r="MI45" s="246">
        <v>41.132070000000006</v>
      </c>
      <c r="MJ45" s="243">
        <f t="shared" si="187"/>
        <v>49.358484000000011</v>
      </c>
      <c r="MK45" s="246">
        <v>60</v>
      </c>
      <c r="ML45" s="246">
        <v>0</v>
      </c>
      <c r="MM45" s="246">
        <v>1078.2319200000002</v>
      </c>
      <c r="MN45" s="246">
        <v>1272.99954771068</v>
      </c>
      <c r="MO45" s="246">
        <v>1277.367670000001</v>
      </c>
      <c r="MP45" s="246">
        <v>1304.99996406126</v>
      </c>
      <c r="MQ45" s="246">
        <v>1029.4488999999999</v>
      </c>
      <c r="MR45" s="243">
        <f t="shared" si="188"/>
        <v>1235.3386799999998</v>
      </c>
      <c r="MS45" s="271">
        <v>1277.367670000001</v>
      </c>
      <c r="MT45" s="246">
        <v>1245.882015565782</v>
      </c>
      <c r="MU45" s="246">
        <v>1126.6591599999981</v>
      </c>
      <c r="MV45" s="246">
        <v>1068.702857553387</v>
      </c>
      <c r="MW45" s="246">
        <v>1029.88922</v>
      </c>
      <c r="MX45" s="246">
        <v>1176.9999672425199</v>
      </c>
      <c r="MY45" s="246">
        <v>1089.51811</v>
      </c>
      <c r="MZ45" s="243">
        <f t="shared" si="189"/>
        <v>1307.4217319999998</v>
      </c>
      <c r="NA45" s="246">
        <v>1200</v>
      </c>
      <c r="NB45" s="246"/>
      <c r="NC45" s="246"/>
      <c r="ND45" s="243">
        <f t="shared" si="190"/>
        <v>0</v>
      </c>
      <c r="NE45" s="246">
        <v>0</v>
      </c>
      <c r="NF45" s="246"/>
      <c r="NG45" s="246"/>
      <c r="NH45" s="246"/>
      <c r="NI45" s="246"/>
      <c r="NJ45" s="246"/>
      <c r="NK45" s="246"/>
      <c r="NL45" s="243">
        <f t="shared" si="191"/>
        <v>0</v>
      </c>
      <c r="NM45" s="246"/>
      <c r="NN45" s="246"/>
      <c r="NO45" s="246"/>
      <c r="NP45" s="246"/>
      <c r="NQ45" s="246"/>
      <c r="NR45" s="246"/>
      <c r="NS45" s="246"/>
      <c r="NT45" s="243">
        <f t="shared" si="192"/>
        <v>0</v>
      </c>
      <c r="NU45" s="246"/>
      <c r="NV45" s="246">
        <v>46.661181068825002</v>
      </c>
      <c r="NW45" s="246">
        <v>34.310699999999997</v>
      </c>
      <c r="NX45" s="246">
        <v>53.611599617282003</v>
      </c>
      <c r="NY45" s="246">
        <v>51.295470000000009</v>
      </c>
      <c r="NZ45" s="246">
        <v>68.999998456618002</v>
      </c>
      <c r="OA45" s="246">
        <v>62.603580000000001</v>
      </c>
      <c r="OB45" s="243">
        <f t="shared" si="193"/>
        <v>75.124296000000001</v>
      </c>
      <c r="OC45" s="246">
        <v>70</v>
      </c>
      <c r="OD45" s="246">
        <v>106.91627602089901</v>
      </c>
      <c r="OE45" s="246">
        <v>173.50251999999898</v>
      </c>
      <c r="OF45" s="246">
        <v>169.96729750682999</v>
      </c>
      <c r="OG45" s="246">
        <v>94.015999999999991</v>
      </c>
      <c r="OH45" s="246">
        <v>87.999997228213005</v>
      </c>
      <c r="OI45" s="246">
        <v>83.306959999999989</v>
      </c>
      <c r="OJ45" s="243">
        <f t="shared" si="194"/>
        <v>99.968351999999996</v>
      </c>
      <c r="OK45" s="246">
        <v>90</v>
      </c>
      <c r="OL45" s="246">
        <v>154.94294720784401</v>
      </c>
      <c r="OM45" s="246">
        <v>170.403289999999</v>
      </c>
      <c r="ON45" s="246">
        <v>161.93122272010899</v>
      </c>
      <c r="OO45" s="246">
        <v>146.79232999999999</v>
      </c>
      <c r="OP45" s="246">
        <v>145.99999540135298</v>
      </c>
      <c r="OQ45" s="246">
        <v>129.13427999999999</v>
      </c>
      <c r="OR45" s="243">
        <f t="shared" si="195"/>
        <v>154.96113600000001</v>
      </c>
      <c r="OS45" s="246">
        <v>150</v>
      </c>
      <c r="OT45" s="246"/>
      <c r="OU45" s="246"/>
      <c r="OV45" s="246"/>
      <c r="OW45" s="246"/>
      <c r="OX45" s="246"/>
      <c r="OY45" s="246"/>
      <c r="OZ45" s="243">
        <f t="shared" si="196"/>
        <v>0</v>
      </c>
      <c r="PA45" s="247"/>
      <c r="PB45" s="246">
        <v>0</v>
      </c>
      <c r="PC45" s="246">
        <v>1.6319999999999999</v>
      </c>
      <c r="PD45" s="243">
        <f t="shared" si="197"/>
        <v>1.9583999999999997</v>
      </c>
      <c r="PE45" s="247"/>
      <c r="PF45" s="246">
        <v>0</v>
      </c>
      <c r="PG45" s="246">
        <v>2.4510000000000001</v>
      </c>
      <c r="PH45" s="246">
        <v>0</v>
      </c>
      <c r="PI45" s="246">
        <v>17.157</v>
      </c>
      <c r="PJ45" s="246">
        <v>0</v>
      </c>
      <c r="PK45" s="246">
        <v>8.9760000000000009</v>
      </c>
      <c r="PL45" s="243">
        <f t="shared" si="139"/>
        <v>10.7712</v>
      </c>
      <c r="PM45" s="247"/>
      <c r="PN45" s="246">
        <v>-315.37310612768499</v>
      </c>
      <c r="PO45" s="246">
        <v>0</v>
      </c>
      <c r="PP45" s="246">
        <v>-1151.2999526173101</v>
      </c>
      <c r="PQ45" s="246">
        <v>0</v>
      </c>
      <c r="PR45" s="246">
        <v>-928.33333333333303</v>
      </c>
      <c r="PS45" s="246">
        <v>0</v>
      </c>
      <c r="PT45" s="243">
        <f t="shared" si="198"/>
        <v>0</v>
      </c>
      <c r="PU45" s="246"/>
      <c r="PV45" s="246"/>
      <c r="PW45" s="246"/>
      <c r="PX45" s="246">
        <v>0</v>
      </c>
      <c r="PY45" s="246">
        <v>8.1699999999999995E-2</v>
      </c>
      <c r="PZ45" s="246">
        <v>8.1699997425999996E-2</v>
      </c>
      <c r="QA45" s="246">
        <v>0</v>
      </c>
      <c r="QB45" s="243">
        <f t="shared" si="199"/>
        <v>0</v>
      </c>
      <c r="QC45" s="246">
        <v>8.1699999999999995E-2</v>
      </c>
      <c r="QD45" s="246"/>
      <c r="QE45" s="246"/>
      <c r="QF45" s="246"/>
      <c r="QG45" s="246"/>
      <c r="QH45" s="246"/>
      <c r="QI45" s="246"/>
      <c r="QJ45" s="243">
        <f t="shared" si="200"/>
        <v>0</v>
      </c>
      <c r="QK45" s="246">
        <v>0</v>
      </c>
      <c r="QL45" s="246"/>
      <c r="QM45" s="246"/>
      <c r="QN45" s="246"/>
      <c r="QO45" s="246"/>
      <c r="QP45" s="243">
        <f t="shared" si="201"/>
        <v>0</v>
      </c>
      <c r="QQ45" s="243">
        <f t="shared" si="140"/>
        <v>0</v>
      </c>
      <c r="QR45" s="246"/>
      <c r="QS45" s="246"/>
      <c r="QT45" s="246"/>
      <c r="QU45" s="246"/>
      <c r="QV45" s="243">
        <f t="shared" si="202"/>
        <v>0</v>
      </c>
      <c r="QW45" s="246"/>
      <c r="QX45" s="246"/>
      <c r="QY45" s="246"/>
      <c r="QZ45" s="246"/>
      <c r="RA45" s="246"/>
      <c r="RB45" s="246">
        <v>15</v>
      </c>
      <c r="RC45" s="246">
        <v>25.215710000000001</v>
      </c>
      <c r="RD45" s="243">
        <f t="shared" si="203"/>
        <v>30.258852000000005</v>
      </c>
      <c r="RE45" s="300">
        <v>26</v>
      </c>
      <c r="RF45" s="259">
        <f t="shared" si="101"/>
        <v>33346.674818471205</v>
      </c>
      <c r="RG45" s="259">
        <f t="shared" si="141"/>
        <v>28416.842830000005</v>
      </c>
      <c r="RH45" s="259">
        <f t="shared" si="142"/>
        <v>34100.211396000013</v>
      </c>
      <c r="RI45" s="256">
        <f t="shared" si="143"/>
        <v>33739.202259021404</v>
      </c>
    </row>
    <row r="46" spans="1:478">
      <c r="A46" s="5" t="s">
        <v>85</v>
      </c>
      <c r="B46" s="263">
        <v>234.72937673803398</v>
      </c>
      <c r="C46" s="246">
        <v>271.357249999999</v>
      </c>
      <c r="D46" s="246">
        <v>275.043331104868</v>
      </c>
      <c r="E46" s="246">
        <v>333.92939999999999</v>
      </c>
      <c r="F46" s="246">
        <v>320.99998988927803</v>
      </c>
      <c r="G46" s="243">
        <v>238.75650000000002</v>
      </c>
      <c r="H46" s="243">
        <f t="shared" si="144"/>
        <v>286.50779999999997</v>
      </c>
      <c r="I46" s="246">
        <v>320</v>
      </c>
      <c r="J46" s="246">
        <v>9.6665054689709997</v>
      </c>
      <c r="K46" s="246">
        <v>8.5983400000000003</v>
      </c>
      <c r="L46" s="246">
        <v>8.4299825692329993</v>
      </c>
      <c r="M46" s="246">
        <v>9.7258200000000006</v>
      </c>
      <c r="N46" s="246">
        <v>12</v>
      </c>
      <c r="O46" s="246">
        <v>7.8498600000000005</v>
      </c>
      <c r="P46" s="243">
        <f t="shared" si="145"/>
        <v>9.4198320000000013</v>
      </c>
      <c r="Q46" s="246">
        <v>12</v>
      </c>
      <c r="R46" s="246">
        <v>24.563035322318001</v>
      </c>
      <c r="S46" s="246">
        <v>18.603450000000002</v>
      </c>
      <c r="T46" s="246">
        <v>16.239190265516001</v>
      </c>
      <c r="U46" s="246">
        <v>4.1283799999999999</v>
      </c>
      <c r="V46" s="246">
        <v>8.9999997165209997</v>
      </c>
      <c r="W46" s="247">
        <v>3.3745599999999998</v>
      </c>
      <c r="X46" s="243">
        <f t="shared" si="146"/>
        <v>4.0494719999999997</v>
      </c>
      <c r="Y46" s="246">
        <v>5</v>
      </c>
      <c r="Z46" s="246">
        <v>144.003543088453</v>
      </c>
      <c r="AA46" s="246">
        <v>86.255829999998994</v>
      </c>
      <c r="AB46" s="246">
        <v>74.566854825505004</v>
      </c>
      <c r="AC46" s="246">
        <v>88.328570000000013</v>
      </c>
      <c r="AD46" s="246">
        <v>85.689227452133991</v>
      </c>
      <c r="AE46" s="246">
        <v>22.371499999999997</v>
      </c>
      <c r="AF46" s="243">
        <f t="shared" si="147"/>
        <v>26.845799999999997</v>
      </c>
      <c r="AG46" s="246">
        <v>80</v>
      </c>
      <c r="AH46" s="246">
        <v>89.002028589841004</v>
      </c>
      <c r="AI46" s="246">
        <v>76.03822000000001</v>
      </c>
      <c r="AJ46" s="246">
        <v>77.549357896632003</v>
      </c>
      <c r="AK46" s="246">
        <v>72.003870000000006</v>
      </c>
      <c r="AL46" s="246">
        <v>75.999997606183001</v>
      </c>
      <c r="AM46" s="246">
        <v>47.748870000000004</v>
      </c>
      <c r="AN46" s="243">
        <f t="shared" si="148"/>
        <v>57.29864400000001</v>
      </c>
      <c r="AO46" s="246">
        <v>70</v>
      </c>
      <c r="AP46" s="246">
        <v>775.97856371887895</v>
      </c>
      <c r="AQ46" s="246">
        <v>717.123909999999</v>
      </c>
      <c r="AR46" s="246">
        <v>711.08033054041005</v>
      </c>
      <c r="AS46" s="246">
        <v>784.93235000000004</v>
      </c>
      <c r="AT46" s="246">
        <v>736.99997678628597</v>
      </c>
      <c r="AU46" s="246">
        <v>598.22240999999997</v>
      </c>
      <c r="AV46" s="243">
        <f t="shared" si="149"/>
        <v>717.86689200000001</v>
      </c>
      <c r="AW46" s="246">
        <v>740</v>
      </c>
      <c r="AX46" s="246">
        <v>84.072570193060002</v>
      </c>
      <c r="AY46" s="246">
        <v>79.956609999999998</v>
      </c>
      <c r="AZ46" s="246">
        <v>81.391008282735996</v>
      </c>
      <c r="BA46" s="246">
        <v>84.274460000000005</v>
      </c>
      <c r="BB46" s="246">
        <v>79.999997480193002</v>
      </c>
      <c r="BC46" s="246">
        <v>62.471669999999996</v>
      </c>
      <c r="BD46" s="243">
        <f t="shared" si="150"/>
        <v>74.966003999999998</v>
      </c>
      <c r="BE46" s="246">
        <v>80</v>
      </c>
      <c r="BF46" s="246">
        <v>496.615615715025</v>
      </c>
      <c r="BG46" s="246">
        <v>501.54104999999896</v>
      </c>
      <c r="BH46" s="246">
        <v>499.719615770046</v>
      </c>
      <c r="BI46" s="246">
        <v>757.97234000000014</v>
      </c>
      <c r="BJ46" s="246">
        <v>511.99998387324001</v>
      </c>
      <c r="BK46" s="246">
        <v>440.85427000000004</v>
      </c>
      <c r="BL46" s="243">
        <f t="shared" si="151"/>
        <v>529.02512400000001</v>
      </c>
      <c r="BM46" s="246">
        <v>600</v>
      </c>
      <c r="BN46" s="246">
        <v>9.5001873979690004</v>
      </c>
      <c r="BO46" s="246">
        <v>8.0026699999980018</v>
      </c>
      <c r="BP46" s="246">
        <v>7.8459759217849996</v>
      </c>
      <c r="BQ46" s="246">
        <v>4.6682199999999998</v>
      </c>
      <c r="BR46" s="246">
        <v>7.9999997480190004</v>
      </c>
      <c r="BS46" s="246">
        <v>4.7000100000000007</v>
      </c>
      <c r="BT46" s="243">
        <f t="shared" si="152"/>
        <v>5.6400120000000005</v>
      </c>
      <c r="BU46" s="246">
        <v>7</v>
      </c>
      <c r="BV46" s="246">
        <v>6.6501197783070003</v>
      </c>
      <c r="BW46" s="246">
        <v>7.7023799999999998</v>
      </c>
      <c r="BX46" s="246">
        <v>7.5515656675129996</v>
      </c>
      <c r="BY46" s="246">
        <v>3.9710000000000001</v>
      </c>
      <c r="BZ46" s="246">
        <v>7.9999997480190004</v>
      </c>
      <c r="CA46" s="246">
        <v>3.8084199999999999</v>
      </c>
      <c r="CB46" s="243">
        <f t="shared" si="153"/>
        <v>4.5701040000000006</v>
      </c>
      <c r="CC46" s="246">
        <v>6</v>
      </c>
      <c r="CD46" s="246">
        <v>763.41666666666697</v>
      </c>
      <c r="CE46" s="246">
        <v>768.87725</v>
      </c>
      <c r="CF46" s="246">
        <v>745.82141118029006</v>
      </c>
      <c r="CG46" s="246">
        <v>915.32003000000009</v>
      </c>
      <c r="CH46" s="246">
        <v>768.99997577836405</v>
      </c>
      <c r="CI46" s="246">
        <v>581.1158999999999</v>
      </c>
      <c r="CJ46" s="243">
        <f t="shared" si="154"/>
        <v>697.33907999999997</v>
      </c>
      <c r="CK46" s="246">
        <v>750</v>
      </c>
      <c r="CL46" s="246">
        <v>41.846484435008996</v>
      </c>
      <c r="CM46" s="246">
        <v>4.7714400000000001</v>
      </c>
      <c r="CN46" s="246">
        <v>4.6780141318139998</v>
      </c>
      <c r="CO46" s="246">
        <v>1574.55582</v>
      </c>
      <c r="CP46" s="246">
        <v>9.9999996850239992</v>
      </c>
      <c r="CQ46" s="246">
        <v>5.2546299999999997</v>
      </c>
      <c r="CR46" s="243">
        <f t="shared" si="155"/>
        <v>6.3055560000000002</v>
      </c>
      <c r="CS46" s="247">
        <v>10</v>
      </c>
      <c r="CT46" s="246">
        <v>244.84795911918499</v>
      </c>
      <c r="CU46" s="246">
        <v>259.30092999999999</v>
      </c>
      <c r="CV46" s="246">
        <v>254.22375947985699</v>
      </c>
      <c r="CW46" s="246">
        <v>208.99635000000001</v>
      </c>
      <c r="CX46" s="246">
        <v>228.99999278705499</v>
      </c>
      <c r="CY46" s="246">
        <v>193.67264999999998</v>
      </c>
      <c r="CZ46" s="243">
        <f t="shared" si="156"/>
        <v>232.40717999999995</v>
      </c>
      <c r="DA46" s="246">
        <v>230</v>
      </c>
      <c r="DB46" s="246">
        <v>232.628922268683</v>
      </c>
      <c r="DC46" s="246">
        <v>221.86674999999897</v>
      </c>
      <c r="DD46" s="246">
        <v>227.52225144325502</v>
      </c>
      <c r="DE46" s="246">
        <v>213.07313000000005</v>
      </c>
      <c r="DF46" s="246">
        <v>191.99999395246502</v>
      </c>
      <c r="DG46" s="246">
        <v>145.60910000000001</v>
      </c>
      <c r="DH46" s="243">
        <f t="shared" si="157"/>
        <v>174.73092000000003</v>
      </c>
      <c r="DI46" s="246">
        <v>200</v>
      </c>
      <c r="DJ46" s="246"/>
      <c r="DK46" s="246"/>
      <c r="DL46" s="246"/>
      <c r="DM46" s="246"/>
      <c r="DN46" s="246"/>
      <c r="DO46" s="246"/>
      <c r="DP46" s="243">
        <f t="shared" si="158"/>
        <v>0</v>
      </c>
      <c r="DQ46" s="246"/>
      <c r="DR46" s="246">
        <v>7.9168513323159999</v>
      </c>
      <c r="DS46" s="246">
        <v>7.1940200000000001</v>
      </c>
      <c r="DT46" s="246">
        <v>7.0531594706309999</v>
      </c>
      <c r="DU46" s="246">
        <v>9.1567800000000013</v>
      </c>
      <c r="DV46" s="246">
        <v>8.8573840853850001</v>
      </c>
      <c r="DW46" s="246">
        <v>6.1499900000000007</v>
      </c>
      <c r="DX46" s="243">
        <f t="shared" si="159"/>
        <v>7.3799880000000009</v>
      </c>
      <c r="DY46" s="246">
        <v>9.1567800000000013</v>
      </c>
      <c r="DZ46" s="246">
        <v>0</v>
      </c>
      <c r="EA46" s="246">
        <v>3.9898799999999999</v>
      </c>
      <c r="EB46" s="246">
        <v>3.911757252368</v>
      </c>
      <c r="EC46" s="246">
        <v>10.755380000000001</v>
      </c>
      <c r="ED46" s="246">
        <v>3.9999998740090001</v>
      </c>
      <c r="EE46" s="246">
        <v>0.8901</v>
      </c>
      <c r="EF46" s="243">
        <f t="shared" si="160"/>
        <v>1.06812</v>
      </c>
      <c r="EG46" s="246">
        <v>4</v>
      </c>
      <c r="EH46" s="246"/>
      <c r="EI46" s="246"/>
      <c r="EJ46" s="246"/>
      <c r="EK46" s="246"/>
      <c r="EL46" s="246"/>
      <c r="EM46" s="246"/>
      <c r="EN46" s="243">
        <f t="shared" si="161"/>
        <v>0</v>
      </c>
      <c r="EO46" s="246"/>
      <c r="EP46" s="246"/>
      <c r="EQ46" s="246"/>
      <c r="ER46" s="246"/>
      <c r="ES46" s="246"/>
      <c r="ET46" s="246"/>
      <c r="EU46" s="246"/>
      <c r="EV46" s="243">
        <f t="shared" si="162"/>
        <v>0</v>
      </c>
      <c r="EW46" s="246"/>
      <c r="EX46" s="246">
        <v>28.650608576951999</v>
      </c>
      <c r="EY46" s="246">
        <v>32.08466</v>
      </c>
      <c r="EZ46" s="246">
        <v>30.456385172482001</v>
      </c>
      <c r="FA46" s="246">
        <v>30.104089999999996</v>
      </c>
      <c r="FB46" s="246">
        <v>31.999998992077</v>
      </c>
      <c r="FC46" s="246">
        <v>20.959099999999999</v>
      </c>
      <c r="FD46" s="243">
        <f t="shared" si="163"/>
        <v>25.150919999999999</v>
      </c>
      <c r="FE46" s="246">
        <v>30.104089999999996</v>
      </c>
      <c r="FF46" s="246">
        <v>0</v>
      </c>
      <c r="FG46" s="246">
        <v>2.10806</v>
      </c>
      <c r="FH46" s="246">
        <v>2.0667837111459999</v>
      </c>
      <c r="FI46" s="246">
        <v>0</v>
      </c>
      <c r="FJ46" s="246">
        <v>1.999999937004</v>
      </c>
      <c r="FK46" s="246">
        <v>2.1081599999999998</v>
      </c>
      <c r="FL46" s="243">
        <f t="shared" si="164"/>
        <v>2.5297919999999996</v>
      </c>
      <c r="FM46" s="246">
        <v>0</v>
      </c>
      <c r="FN46" s="246"/>
      <c r="FO46" s="246"/>
      <c r="FP46" s="246"/>
      <c r="FQ46" s="246"/>
      <c r="FR46" s="246"/>
      <c r="FS46" s="246"/>
      <c r="FT46" s="243">
        <f t="shared" si="165"/>
        <v>0</v>
      </c>
      <c r="FU46" s="246"/>
      <c r="FV46" s="246">
        <v>92.408015352977998</v>
      </c>
      <c r="FW46" s="246">
        <v>75.05543999999999</v>
      </c>
      <c r="FX46" s="246">
        <v>71.585487819205994</v>
      </c>
      <c r="FY46" s="246">
        <v>73.231430000000003</v>
      </c>
      <c r="FZ46" s="246">
        <v>74.999997637681005</v>
      </c>
      <c r="GA46" s="246">
        <v>60.114990000000006</v>
      </c>
      <c r="GB46" s="243">
        <f t="shared" si="166"/>
        <v>72.137988000000007</v>
      </c>
      <c r="GC46" s="246">
        <v>75</v>
      </c>
      <c r="GD46" s="246">
        <v>304.87633985980904</v>
      </c>
      <c r="GE46" s="246">
        <v>337.11491999999896</v>
      </c>
      <c r="GF46" s="246">
        <v>340.51338451273102</v>
      </c>
      <c r="GG46" s="246">
        <v>371.76397000000003</v>
      </c>
      <c r="GH46" s="246">
        <v>377.48772123495996</v>
      </c>
      <c r="GI46" s="246">
        <v>280.73106999999999</v>
      </c>
      <c r="GJ46" s="243">
        <f t="shared" si="167"/>
        <v>336.87728400000003</v>
      </c>
      <c r="GK46" s="246">
        <v>370</v>
      </c>
      <c r="GL46" s="246"/>
      <c r="GM46" s="246"/>
      <c r="GN46" s="246"/>
      <c r="GO46" s="246"/>
      <c r="GP46" s="246"/>
      <c r="GQ46" s="246"/>
      <c r="GR46" s="243">
        <f t="shared" si="168"/>
        <v>0</v>
      </c>
      <c r="GS46" s="246"/>
      <c r="GT46" s="246"/>
      <c r="GU46" s="246"/>
      <c r="GV46" s="246"/>
      <c r="GW46" s="246"/>
      <c r="GX46" s="246"/>
      <c r="GY46" s="246"/>
      <c r="GZ46" s="243">
        <f t="shared" si="169"/>
        <v>0</v>
      </c>
      <c r="HA46" s="246"/>
      <c r="HB46" s="246"/>
      <c r="HC46" s="246"/>
      <c r="HD46" s="246"/>
      <c r="HE46" s="246"/>
      <c r="HF46" s="246"/>
      <c r="HG46" s="246"/>
      <c r="HH46" s="243">
        <f t="shared" si="170"/>
        <v>0</v>
      </c>
      <c r="HI46" s="246"/>
      <c r="HJ46" s="246">
        <v>505.45750609529603</v>
      </c>
      <c r="HK46" s="246">
        <v>490.20222999999896</v>
      </c>
      <c r="HL46" s="246">
        <v>575.60342709220197</v>
      </c>
      <c r="HM46" s="246">
        <v>587.53478999999993</v>
      </c>
      <c r="HN46" s="246">
        <v>539.71703364557902</v>
      </c>
      <c r="HO46" s="246">
        <v>421.39358000000004</v>
      </c>
      <c r="HP46" s="243">
        <f t="shared" si="171"/>
        <v>505.67229600000002</v>
      </c>
      <c r="HQ46" s="246">
        <v>550</v>
      </c>
      <c r="HR46" s="246">
        <v>0</v>
      </c>
      <c r="HS46" s="246">
        <v>1.2554799999999999</v>
      </c>
      <c r="HT46" s="246">
        <v>1.230897419271</v>
      </c>
      <c r="HU46" s="246">
        <v>0</v>
      </c>
      <c r="HV46" s="246">
        <v>0.99999996850200001</v>
      </c>
      <c r="HW46" s="246">
        <v>0</v>
      </c>
      <c r="HX46" s="243">
        <f t="shared" si="172"/>
        <v>0</v>
      </c>
      <c r="HY46" s="246">
        <v>0</v>
      </c>
      <c r="HZ46" s="246">
        <v>83.12693423922201</v>
      </c>
      <c r="IA46" s="246">
        <v>142.53773999999899</v>
      </c>
      <c r="IB46" s="246">
        <v>130.74663577542299</v>
      </c>
      <c r="IC46" s="246">
        <v>127.66388000000001</v>
      </c>
      <c r="ID46" s="246">
        <v>123.41059611286499</v>
      </c>
      <c r="IE46" s="246">
        <v>93.577700000000007</v>
      </c>
      <c r="IF46" s="243">
        <f t="shared" si="173"/>
        <v>112.29324</v>
      </c>
      <c r="IG46" s="246">
        <v>130</v>
      </c>
      <c r="IH46" s="246">
        <v>15.131324538765</v>
      </c>
      <c r="II46" s="246">
        <v>17.0504</v>
      </c>
      <c r="IJ46" s="246">
        <v>19.716532677219998</v>
      </c>
      <c r="IK46" s="246">
        <v>25.101140000000001</v>
      </c>
      <c r="IL46" s="246">
        <v>16.999999464538998</v>
      </c>
      <c r="IM46" s="246">
        <v>9.1855100000000007</v>
      </c>
      <c r="IN46" s="243">
        <f t="shared" si="174"/>
        <v>11.022612000000002</v>
      </c>
      <c r="IO46" s="246">
        <v>25.101140000000001</v>
      </c>
      <c r="IP46" s="246"/>
      <c r="IQ46" s="246"/>
      <c r="IR46" s="246"/>
      <c r="IS46" s="246"/>
      <c r="IT46" s="246"/>
      <c r="IU46" s="246"/>
      <c r="IV46" s="243">
        <f t="shared" si="175"/>
        <v>0</v>
      </c>
      <c r="IW46" s="246"/>
      <c r="IX46" s="246">
        <v>35.5</v>
      </c>
      <c r="IY46" s="246">
        <v>37.766089999999004</v>
      </c>
      <c r="IZ46" s="246">
        <v>37.026621465085</v>
      </c>
      <c r="JA46" s="246">
        <v>38.378259999999997</v>
      </c>
      <c r="JB46" s="246">
        <v>47</v>
      </c>
      <c r="JC46" s="246">
        <v>36.115499999999997</v>
      </c>
      <c r="JD46" s="243">
        <f t="shared" si="176"/>
        <v>43.3386</v>
      </c>
      <c r="JE46" s="246">
        <v>38.378259999999997</v>
      </c>
      <c r="JF46" s="246"/>
      <c r="JG46" s="246"/>
      <c r="JH46" s="246"/>
      <c r="JI46" s="246"/>
      <c r="JJ46" s="246"/>
      <c r="JK46" s="246"/>
      <c r="JL46" s="243">
        <f t="shared" si="177"/>
        <v>0</v>
      </c>
      <c r="JM46" s="246"/>
      <c r="JN46" s="246"/>
      <c r="JO46" s="246"/>
      <c r="JP46" s="246"/>
      <c r="JQ46" s="246"/>
      <c r="JR46" s="246"/>
      <c r="JS46" s="246"/>
      <c r="JT46" s="243">
        <f t="shared" si="178"/>
        <v>0</v>
      </c>
      <c r="JU46" s="246"/>
      <c r="JV46" s="246"/>
      <c r="JW46" s="246"/>
      <c r="JX46" s="246"/>
      <c r="JY46" s="246"/>
      <c r="JZ46" s="246"/>
      <c r="KA46" s="246"/>
      <c r="KB46" s="243">
        <f t="shared" si="179"/>
        <v>0</v>
      </c>
      <c r="KC46" s="246"/>
      <c r="KD46" s="246"/>
      <c r="KE46" s="246"/>
      <c r="KF46" s="246"/>
      <c r="KG46" s="246"/>
      <c r="KH46" s="246"/>
      <c r="KI46" s="246"/>
      <c r="KJ46" s="243">
        <f t="shared" si="180"/>
        <v>0</v>
      </c>
      <c r="KK46" s="246"/>
      <c r="KL46" s="246"/>
      <c r="KM46" s="246"/>
      <c r="KN46" s="246"/>
      <c r="KO46" s="246"/>
      <c r="KP46" s="246"/>
      <c r="KQ46" s="246"/>
      <c r="KR46" s="243">
        <f t="shared" si="181"/>
        <v>0</v>
      </c>
      <c r="KS46" s="246"/>
      <c r="KT46" s="246"/>
      <c r="KU46" s="246"/>
      <c r="KV46" s="246"/>
      <c r="KW46" s="246"/>
      <c r="KX46" s="246"/>
      <c r="KY46" s="246"/>
      <c r="KZ46" s="243">
        <f t="shared" si="182"/>
        <v>0</v>
      </c>
      <c r="LA46" s="246"/>
      <c r="LB46" s="246"/>
      <c r="LC46" s="246"/>
      <c r="LD46" s="246"/>
      <c r="LE46" s="246"/>
      <c r="LF46" s="246"/>
      <c r="LG46" s="246"/>
      <c r="LH46" s="243">
        <f t="shared" si="183"/>
        <v>0</v>
      </c>
      <c r="LI46" s="246"/>
      <c r="LJ46" s="246"/>
      <c r="LK46" s="246"/>
      <c r="LL46" s="246"/>
      <c r="LM46" s="246"/>
      <c r="LN46" s="246"/>
      <c r="LO46" s="246"/>
      <c r="LP46" s="243">
        <f t="shared" si="184"/>
        <v>0</v>
      </c>
      <c r="LQ46" s="246"/>
      <c r="LR46" s="246"/>
      <c r="LS46" s="246"/>
      <c r="LT46" s="244">
        <f t="shared" si="185"/>
        <v>0</v>
      </c>
      <c r="LU46" s="246">
        <v>0</v>
      </c>
      <c r="LV46" s="246"/>
      <c r="LW46" s="246"/>
      <c r="LX46" s="246"/>
      <c r="LY46" s="246"/>
      <c r="LZ46" s="246"/>
      <c r="MA46" s="246"/>
      <c r="MB46" s="243">
        <f t="shared" si="186"/>
        <v>0</v>
      </c>
      <c r="MC46" s="246"/>
      <c r="MD46" s="246">
        <v>3945.0962754353222</v>
      </c>
      <c r="ME46" s="246">
        <v>3854.0446999999999</v>
      </c>
      <c r="MF46" s="246">
        <v>3878.9310539766311</v>
      </c>
      <c r="MG46" s="247">
        <v>2088.1703500000012</v>
      </c>
      <c r="MH46" s="247">
        <v>4128.9639742144027</v>
      </c>
      <c r="MI46" s="247">
        <v>3152.8338100000005</v>
      </c>
      <c r="MJ46" s="244">
        <f t="shared" si="187"/>
        <v>3783.4005720000009</v>
      </c>
      <c r="MK46" s="247">
        <v>4100</v>
      </c>
      <c r="ML46" s="246"/>
      <c r="MM46" s="246"/>
      <c r="MN46" s="246"/>
      <c r="MO46" s="246"/>
      <c r="MP46" s="246"/>
      <c r="MQ46" s="246"/>
      <c r="MR46" s="243">
        <f t="shared" si="188"/>
        <v>0</v>
      </c>
      <c r="MS46" s="271"/>
      <c r="MT46" s="246">
        <v>2157.7351119780624</v>
      </c>
      <c r="MU46" s="246">
        <v>2129.9143700000013</v>
      </c>
      <c r="MV46" s="246">
        <v>2078.0607085173101</v>
      </c>
      <c r="MW46" s="246">
        <v>1951.9770200000009</v>
      </c>
      <c r="MX46" s="246">
        <v>1929.99993920968</v>
      </c>
      <c r="MY46" s="246">
        <v>1516.3861100000001</v>
      </c>
      <c r="MZ46" s="243">
        <f t="shared" si="189"/>
        <v>1819.6633320000003</v>
      </c>
      <c r="NA46" s="246">
        <v>1900</v>
      </c>
      <c r="NB46" s="246"/>
      <c r="NC46" s="246"/>
      <c r="ND46" s="243">
        <f t="shared" si="190"/>
        <v>0</v>
      </c>
      <c r="NE46" s="246">
        <v>0</v>
      </c>
      <c r="NF46" s="246"/>
      <c r="NG46" s="246"/>
      <c r="NH46" s="246"/>
      <c r="NI46" s="246"/>
      <c r="NJ46" s="246"/>
      <c r="NK46" s="246"/>
      <c r="NL46" s="243">
        <f t="shared" si="191"/>
        <v>0</v>
      </c>
      <c r="NM46" s="246"/>
      <c r="NN46" s="246"/>
      <c r="NO46" s="246"/>
      <c r="NP46" s="246"/>
      <c r="NQ46" s="246"/>
      <c r="NR46" s="246"/>
      <c r="NS46" s="246"/>
      <c r="NT46" s="243">
        <f t="shared" si="192"/>
        <v>0</v>
      </c>
      <c r="NU46" s="246"/>
      <c r="NV46" s="246"/>
      <c r="NW46" s="246"/>
      <c r="NX46" s="246"/>
      <c r="NY46" s="246"/>
      <c r="NZ46" s="246"/>
      <c r="OA46" s="246"/>
      <c r="OB46" s="243">
        <f t="shared" si="193"/>
        <v>0</v>
      </c>
      <c r="OC46" s="246"/>
      <c r="OD46" s="246">
        <v>17.605757069342999</v>
      </c>
      <c r="OE46" s="246">
        <v>20.39629</v>
      </c>
      <c r="OF46" s="246">
        <v>19.996926055149</v>
      </c>
      <c r="OG46" s="246">
        <v>9.5498399999999997</v>
      </c>
      <c r="OH46" s="246">
        <v>19.999999370047998</v>
      </c>
      <c r="OI46" s="246">
        <v>19.484870000000004</v>
      </c>
      <c r="OJ46" s="243">
        <f t="shared" si="194"/>
        <v>23.381844000000008</v>
      </c>
      <c r="OK46" s="246">
        <v>20</v>
      </c>
      <c r="OL46" s="246">
        <v>120.348601718712</v>
      </c>
      <c r="OM46" s="246">
        <v>120.81632999999901</v>
      </c>
      <c r="ON46" s="246">
        <v>130.45058152996899</v>
      </c>
      <c r="OO46" s="246">
        <v>145.66738999999998</v>
      </c>
      <c r="OP46" s="246">
        <v>149.99999527536198</v>
      </c>
      <c r="OQ46" s="246">
        <v>116.79678</v>
      </c>
      <c r="OR46" s="243">
        <f t="shared" si="195"/>
        <v>140.156136</v>
      </c>
      <c r="OS46" s="246">
        <v>140</v>
      </c>
      <c r="OT46" s="246"/>
      <c r="OU46" s="246"/>
      <c r="OV46" s="246"/>
      <c r="OW46" s="246"/>
      <c r="OX46" s="246"/>
      <c r="OY46" s="246"/>
      <c r="OZ46" s="243">
        <f t="shared" si="196"/>
        <v>0</v>
      </c>
      <c r="PA46" s="247"/>
      <c r="PB46" s="246"/>
      <c r="PC46" s="246"/>
      <c r="PD46" s="243">
        <f t="shared" si="197"/>
        <v>0</v>
      </c>
      <c r="PE46" s="247"/>
      <c r="PF46" s="246"/>
      <c r="PG46" s="246"/>
      <c r="PH46" s="246"/>
      <c r="PI46" s="246"/>
      <c r="PJ46" s="246"/>
      <c r="PK46" s="246"/>
      <c r="PL46" s="243">
        <f t="shared" si="139"/>
        <v>0</v>
      </c>
      <c r="PM46" s="247"/>
      <c r="PN46" s="246">
        <v>239.19183194680301</v>
      </c>
      <c r="PO46" s="246">
        <v>0</v>
      </c>
      <c r="PP46" s="246">
        <v>-119.499994077164</v>
      </c>
      <c r="PQ46" s="246">
        <v>0</v>
      </c>
      <c r="PR46" s="246">
        <v>-279</v>
      </c>
      <c r="PS46" s="246">
        <v>0</v>
      </c>
      <c r="PT46" s="243">
        <f t="shared" si="198"/>
        <v>0</v>
      </c>
      <c r="PU46" s="246"/>
      <c r="PV46" s="246"/>
      <c r="PW46" s="246"/>
      <c r="PX46" s="246"/>
      <c r="PY46" s="246"/>
      <c r="PZ46" s="246"/>
      <c r="QA46" s="246"/>
      <c r="QB46" s="243">
        <f t="shared" si="199"/>
        <v>0</v>
      </c>
      <c r="QC46" s="246"/>
      <c r="QD46" s="246"/>
      <c r="QE46" s="246"/>
      <c r="QF46" s="246">
        <v>0</v>
      </c>
      <c r="QG46" s="246">
        <v>6.9999999999999994E-5</v>
      </c>
      <c r="QH46" s="246">
        <v>6.9999997795169695E-5</v>
      </c>
      <c r="QI46" s="246">
        <v>0</v>
      </c>
      <c r="QJ46" s="243">
        <f t="shared" si="200"/>
        <v>0</v>
      </c>
      <c r="QK46" s="246">
        <v>0</v>
      </c>
      <c r="QL46" s="246"/>
      <c r="QM46" s="246"/>
      <c r="QN46" s="246"/>
      <c r="QO46" s="246"/>
      <c r="QP46" s="243">
        <f t="shared" si="201"/>
        <v>0</v>
      </c>
      <c r="QQ46" s="243">
        <f t="shared" si="140"/>
        <v>0</v>
      </c>
      <c r="QR46" s="246"/>
      <c r="QS46" s="246"/>
      <c r="QT46" s="246"/>
      <c r="QU46" s="246"/>
      <c r="QV46" s="243">
        <f t="shared" si="202"/>
        <v>0</v>
      </c>
      <c r="QW46" s="246"/>
      <c r="QX46" s="246"/>
      <c r="QY46" s="246"/>
      <c r="QZ46" s="246"/>
      <c r="RA46" s="246"/>
      <c r="RB46" s="246">
        <v>10</v>
      </c>
      <c r="RC46" s="246">
        <v>8.9856400000000001</v>
      </c>
      <c r="RD46" s="243">
        <f t="shared" si="203"/>
        <v>10.782768000000001</v>
      </c>
      <c r="RE46" s="300"/>
      <c r="RF46" s="259">
        <f t="shared" si="101"/>
        <v>10236.125843524873</v>
      </c>
      <c r="RG46" s="259">
        <f t="shared" si="141"/>
        <v>8101.5232600000018</v>
      </c>
      <c r="RH46" s="259">
        <f t="shared" si="142"/>
        <v>9721.8279120000007</v>
      </c>
      <c r="RI46" s="256">
        <f t="shared" si="143"/>
        <v>10501.74027</v>
      </c>
    </row>
    <row r="47" spans="1:478">
      <c r="A47" s="5" t="s">
        <v>86</v>
      </c>
      <c r="B47" s="263">
        <v>83.450252303239992</v>
      </c>
      <c r="C47" s="246">
        <v>60.641709999997992</v>
      </c>
      <c r="D47" s="246">
        <v>65.209176723924998</v>
      </c>
      <c r="E47" s="246">
        <v>103.51938000000001</v>
      </c>
      <c r="F47" s="246">
        <v>110.99999650376699</v>
      </c>
      <c r="G47" s="243">
        <v>84.353080000000006</v>
      </c>
      <c r="H47" s="243">
        <f t="shared" si="144"/>
        <v>101.22369600000002</v>
      </c>
      <c r="I47" s="246">
        <v>103.51938000000001</v>
      </c>
      <c r="J47" s="246">
        <v>23.644887273995998</v>
      </c>
      <c r="K47" s="246">
        <v>20.986099999996998</v>
      </c>
      <c r="L47" s="246">
        <v>28.538660250663998</v>
      </c>
      <c r="M47" s="246">
        <v>47.322969999999998</v>
      </c>
      <c r="N47" s="246">
        <v>46.990768859543998</v>
      </c>
      <c r="O47" s="246">
        <v>46.21322</v>
      </c>
      <c r="P47" s="243">
        <f t="shared" si="145"/>
        <v>55.455864000000005</v>
      </c>
      <c r="Q47" s="246">
        <v>50</v>
      </c>
      <c r="R47" s="246">
        <v>289.45006248713901</v>
      </c>
      <c r="S47" s="246">
        <v>291.40679999999804</v>
      </c>
      <c r="T47" s="246">
        <v>315.92968150653502</v>
      </c>
      <c r="U47" s="246">
        <v>209.49227000000002</v>
      </c>
      <c r="V47" s="246">
        <v>289.99999086570102</v>
      </c>
      <c r="W47" s="247">
        <v>91.153859999999995</v>
      </c>
      <c r="X47" s="243">
        <f t="shared" si="146"/>
        <v>109.38463199999998</v>
      </c>
      <c r="Y47" s="246">
        <v>220</v>
      </c>
      <c r="Z47" s="246">
        <v>52.111139397743003</v>
      </c>
      <c r="AA47" s="246">
        <v>31.770409999999</v>
      </c>
      <c r="AB47" s="246">
        <v>36.590587451040996</v>
      </c>
      <c r="AC47" s="246">
        <v>50.291630000000005</v>
      </c>
      <c r="AD47" s="246">
        <v>75.249667460731999</v>
      </c>
      <c r="AE47" s="246">
        <v>62.675989999999999</v>
      </c>
      <c r="AF47" s="243">
        <f t="shared" si="147"/>
        <v>75.211187999999993</v>
      </c>
      <c r="AG47" s="246">
        <v>80</v>
      </c>
      <c r="AH47" s="246">
        <v>9.5013305735150002</v>
      </c>
      <c r="AI47" s="246">
        <v>7.9838699999999996</v>
      </c>
      <c r="AJ47" s="246">
        <v>8.1899797148580014</v>
      </c>
      <c r="AK47" s="246">
        <v>11.36417</v>
      </c>
      <c r="AL47" s="246">
        <v>7.9999997480180003</v>
      </c>
      <c r="AM47" s="246">
        <v>7.2307399999999991</v>
      </c>
      <c r="AN47" s="243">
        <f t="shared" si="148"/>
        <v>8.6768879999999982</v>
      </c>
      <c r="AO47" s="246">
        <v>11.36417</v>
      </c>
      <c r="AP47" s="246">
        <v>92.602902647989993</v>
      </c>
      <c r="AQ47" s="246">
        <v>52.315639999997998</v>
      </c>
      <c r="AR47" s="246">
        <v>55.666210442454002</v>
      </c>
      <c r="AS47" s="246">
        <v>74.37509</v>
      </c>
      <c r="AT47" s="246">
        <v>71.999997732170996</v>
      </c>
      <c r="AU47" s="246">
        <v>88.540380000000013</v>
      </c>
      <c r="AV47" s="243">
        <f t="shared" si="149"/>
        <v>106.248456</v>
      </c>
      <c r="AW47" s="246">
        <v>100</v>
      </c>
      <c r="AX47" s="246">
        <v>439.85777229771901</v>
      </c>
      <c r="AY47" s="246">
        <v>302.56680999999605</v>
      </c>
      <c r="AZ47" s="246">
        <v>307.37780539840901</v>
      </c>
      <c r="BA47" s="246">
        <v>265.13246000000004</v>
      </c>
      <c r="BB47" s="246">
        <v>252.99999203111099</v>
      </c>
      <c r="BC47" s="246">
        <v>343.28210999999999</v>
      </c>
      <c r="BD47" s="243">
        <f t="shared" si="150"/>
        <v>411.93853199999995</v>
      </c>
      <c r="BE47" s="246">
        <v>265.13246000000004</v>
      </c>
      <c r="BF47" s="246">
        <v>369.82304471166304</v>
      </c>
      <c r="BG47" s="246">
        <v>328.79275999999908</v>
      </c>
      <c r="BH47" s="246">
        <v>369.2808263697151</v>
      </c>
      <c r="BI47" s="246">
        <v>435.51265999999998</v>
      </c>
      <c r="BJ47" s="246">
        <v>503.69610715221899</v>
      </c>
      <c r="BK47" s="246">
        <v>426.21995000000004</v>
      </c>
      <c r="BL47" s="243">
        <f t="shared" si="151"/>
        <v>511.46394000000009</v>
      </c>
      <c r="BM47" s="246">
        <v>510</v>
      </c>
      <c r="BN47" s="246">
        <v>8.5511177046669999</v>
      </c>
      <c r="BO47" s="246">
        <v>7.1442599999969989</v>
      </c>
      <c r="BP47" s="246">
        <v>7.3286945400750003</v>
      </c>
      <c r="BQ47" s="246">
        <v>8.6111500000000021</v>
      </c>
      <c r="BR47" s="246">
        <v>6.999999779515</v>
      </c>
      <c r="BS47" s="246">
        <v>8.0061900000000019</v>
      </c>
      <c r="BT47" s="243">
        <f t="shared" si="152"/>
        <v>9.6074280000000023</v>
      </c>
      <c r="BU47" s="246">
        <v>10</v>
      </c>
      <c r="BV47" s="246">
        <v>223.43649503651801</v>
      </c>
      <c r="BW47" s="246">
        <v>202.62965999999801</v>
      </c>
      <c r="BX47" s="246">
        <v>209.860702995141</v>
      </c>
      <c r="BY47" s="246">
        <v>197.0634</v>
      </c>
      <c r="BZ47" s="246">
        <v>184.99999417294302</v>
      </c>
      <c r="CA47" s="246">
        <v>95.802140000000009</v>
      </c>
      <c r="CB47" s="243">
        <f t="shared" si="153"/>
        <v>114.96256800000002</v>
      </c>
      <c r="CC47" s="246">
        <v>180</v>
      </c>
      <c r="CD47" s="246">
        <v>276.12121864395903</v>
      </c>
      <c r="CE47" s="246">
        <v>273.99686999999699</v>
      </c>
      <c r="CF47" s="246">
        <v>925.58971089379793</v>
      </c>
      <c r="CG47" s="246">
        <v>468.71977999999996</v>
      </c>
      <c r="CH47" s="246">
        <v>469.38942183938605</v>
      </c>
      <c r="CI47" s="246">
        <v>86.135139999999993</v>
      </c>
      <c r="CJ47" s="243">
        <f t="shared" si="154"/>
        <v>103.36216799999998</v>
      </c>
      <c r="CK47" s="246">
        <v>350</v>
      </c>
      <c r="CL47" s="246">
        <v>142.69871071103501</v>
      </c>
      <c r="CM47" s="246">
        <v>144.22289999999899</v>
      </c>
      <c r="CN47" s="246">
        <v>147.94612455089802</v>
      </c>
      <c r="CO47" s="246">
        <v>130.638630000001</v>
      </c>
      <c r="CP47" s="246">
        <v>103.999996724252</v>
      </c>
      <c r="CQ47" s="246">
        <v>102.24962000000001</v>
      </c>
      <c r="CR47" s="243">
        <f t="shared" si="155"/>
        <v>122.69954400000002</v>
      </c>
      <c r="CS47" s="246">
        <v>120</v>
      </c>
      <c r="CT47" s="246">
        <v>8.0359383760780005</v>
      </c>
      <c r="CU47" s="246">
        <v>11.477589999999999</v>
      </c>
      <c r="CV47" s="246">
        <v>7.7738938476119994</v>
      </c>
      <c r="CW47" s="246">
        <v>5.9928000000000008</v>
      </c>
      <c r="CX47" s="246">
        <v>10.999999653525</v>
      </c>
      <c r="CY47" s="246">
        <v>12.186960000000001</v>
      </c>
      <c r="CZ47" s="243">
        <f t="shared" si="156"/>
        <v>14.624352</v>
      </c>
      <c r="DA47" s="246">
        <v>12</v>
      </c>
      <c r="DB47" s="246">
        <v>2.6960912294290003</v>
      </c>
      <c r="DC47" s="246">
        <v>2.634649999998</v>
      </c>
      <c r="DD47" s="246">
        <v>2.7026655062950002</v>
      </c>
      <c r="DE47" s="246">
        <v>4.3933400000000002</v>
      </c>
      <c r="DF47" s="246">
        <v>2.9999999055059998</v>
      </c>
      <c r="DG47" s="246">
        <v>3.84938</v>
      </c>
      <c r="DH47" s="243">
        <f t="shared" si="157"/>
        <v>4.619256</v>
      </c>
      <c r="DI47" s="246">
        <v>4.3933400000000002</v>
      </c>
      <c r="DJ47" s="246">
        <v>3.8504105736969998</v>
      </c>
      <c r="DK47" s="246">
        <v>3.9399999999990003</v>
      </c>
      <c r="DL47" s="246">
        <v>4.0417141156529999</v>
      </c>
      <c r="DM47" s="246">
        <v>4.9380000000000006</v>
      </c>
      <c r="DN47" s="246">
        <v>3.9999998740090001</v>
      </c>
      <c r="DO47" s="246">
        <v>6.8990299999999998</v>
      </c>
      <c r="DP47" s="243">
        <f t="shared" si="158"/>
        <v>8.2788359999999983</v>
      </c>
      <c r="DQ47" s="246">
        <v>7</v>
      </c>
      <c r="DR47" s="246">
        <v>185.68300780309301</v>
      </c>
      <c r="DS47" s="246">
        <v>249.762429999999</v>
      </c>
      <c r="DT47" s="246">
        <v>297.09548346620596</v>
      </c>
      <c r="DU47" s="246">
        <v>245.87263999999999</v>
      </c>
      <c r="DV47" s="246">
        <v>267.35731327567203</v>
      </c>
      <c r="DW47" s="246">
        <v>165.14568</v>
      </c>
      <c r="DX47" s="243">
        <f t="shared" si="159"/>
        <v>198.17481600000002</v>
      </c>
      <c r="DY47" s="246">
        <v>250</v>
      </c>
      <c r="DZ47" s="246">
        <v>85.512317210918994</v>
      </c>
      <c r="EA47" s="246">
        <v>86.384609999997011</v>
      </c>
      <c r="EB47" s="246">
        <v>100.614696440763</v>
      </c>
      <c r="EC47" s="246">
        <v>120.96558999999999</v>
      </c>
      <c r="ED47" s="246">
        <v>124.99999606279999</v>
      </c>
      <c r="EE47" s="246">
        <v>95.17273999999999</v>
      </c>
      <c r="EF47" s="243">
        <f t="shared" si="160"/>
        <v>114.20728799999998</v>
      </c>
      <c r="EG47" s="246">
        <v>120</v>
      </c>
      <c r="EH47" s="246">
        <v>0.97010093352799998</v>
      </c>
      <c r="EI47" s="246">
        <v>1.39066</v>
      </c>
      <c r="EJ47" s="246">
        <v>1.426560952302</v>
      </c>
      <c r="EK47" s="246">
        <v>3.1005000000000003</v>
      </c>
      <c r="EL47" s="246">
        <v>3.1994998992229999</v>
      </c>
      <c r="EM47" s="246">
        <v>3.2479999999999998</v>
      </c>
      <c r="EN47" s="243">
        <f t="shared" si="161"/>
        <v>3.8975999999999997</v>
      </c>
      <c r="EO47" s="246">
        <v>4</v>
      </c>
      <c r="EP47" s="246">
        <v>3</v>
      </c>
      <c r="EQ47" s="246">
        <v>1.4633599999990001</v>
      </c>
      <c r="ER47" s="246">
        <v>1.501137758447</v>
      </c>
      <c r="ES47" s="246">
        <v>4.452</v>
      </c>
      <c r="ET47" s="246">
        <v>3.443999891522</v>
      </c>
      <c r="EU47" s="246">
        <v>4.1783599999999996</v>
      </c>
      <c r="EV47" s="243">
        <f t="shared" si="162"/>
        <v>5.0140320000000003</v>
      </c>
      <c r="EW47" s="246">
        <v>5</v>
      </c>
      <c r="EX47" s="246">
        <v>10.451505436890001</v>
      </c>
      <c r="EY47" s="246">
        <v>3.5932099999999991</v>
      </c>
      <c r="EZ47" s="246">
        <v>3.685971466372</v>
      </c>
      <c r="FA47" s="246">
        <v>7.9195399999999987</v>
      </c>
      <c r="FB47" s="246">
        <v>8.1524497432169998</v>
      </c>
      <c r="FC47" s="246">
        <v>8.5650899999999996</v>
      </c>
      <c r="FD47" s="243">
        <f t="shared" si="163"/>
        <v>10.278108</v>
      </c>
      <c r="FE47" s="246">
        <v>10</v>
      </c>
      <c r="FF47" s="246">
        <v>187.964424818694</v>
      </c>
      <c r="FG47" s="246">
        <v>155.50898999999998</v>
      </c>
      <c r="FH47" s="246">
        <v>164.52358114071299</v>
      </c>
      <c r="FI47" s="246">
        <v>179.47901999999999</v>
      </c>
      <c r="FJ47" s="246">
        <v>184.999994172947</v>
      </c>
      <c r="FK47" s="246">
        <v>131.90391</v>
      </c>
      <c r="FL47" s="243">
        <f t="shared" si="164"/>
        <v>158.28469200000001</v>
      </c>
      <c r="FM47" s="246">
        <v>180</v>
      </c>
      <c r="FN47" s="246">
        <v>4.800509426144</v>
      </c>
      <c r="FO47" s="246">
        <v>7.2279499999979997</v>
      </c>
      <c r="FP47" s="246">
        <v>7.4145450614810002</v>
      </c>
      <c r="FQ47" s="246">
        <v>9.7634900000000009</v>
      </c>
      <c r="FR47" s="246">
        <v>6.9999997795160001</v>
      </c>
      <c r="FS47" s="246">
        <v>9.8472400000000011</v>
      </c>
      <c r="FT47" s="243">
        <f t="shared" si="165"/>
        <v>11.816688000000003</v>
      </c>
      <c r="FU47" s="246">
        <v>9.7634900000000009</v>
      </c>
      <c r="FV47" s="246">
        <v>9.0263001500409992</v>
      </c>
      <c r="FW47" s="246">
        <v>5.8429999999989999</v>
      </c>
      <c r="FX47" s="246">
        <v>5.9938415171989998</v>
      </c>
      <c r="FY47" s="246">
        <v>5.9203900000000012</v>
      </c>
      <c r="FZ47" s="246">
        <v>5.9999998110139998</v>
      </c>
      <c r="GA47" s="246">
        <v>4.8167999999999997</v>
      </c>
      <c r="GB47" s="243">
        <f t="shared" si="166"/>
        <v>5.7801600000000004</v>
      </c>
      <c r="GC47" s="246">
        <v>5.9203900000000012</v>
      </c>
      <c r="GD47" s="246">
        <v>5.6215702320750003</v>
      </c>
      <c r="GE47" s="246">
        <v>7.4624499999990004</v>
      </c>
      <c r="GF47" s="246">
        <v>7.6550988584649993</v>
      </c>
      <c r="GG47" s="246">
        <v>10.015029999999999</v>
      </c>
      <c r="GH47" s="246">
        <v>6.999999779515</v>
      </c>
      <c r="GI47" s="246">
        <v>10.389999999999999</v>
      </c>
      <c r="GJ47" s="243">
        <f t="shared" si="167"/>
        <v>12.468</v>
      </c>
      <c r="GK47" s="246">
        <v>10.015029999999999</v>
      </c>
      <c r="GL47" s="246">
        <v>1.8210608059660001</v>
      </c>
      <c r="GM47" s="246">
        <v>1.4213999999989999</v>
      </c>
      <c r="GN47" s="246">
        <v>1.45809452893</v>
      </c>
      <c r="GO47" s="246">
        <v>1.5771999999999999</v>
      </c>
      <c r="GP47" s="246">
        <v>3.1533999006749998</v>
      </c>
      <c r="GQ47" s="246">
        <v>2.2904</v>
      </c>
      <c r="GR47" s="243">
        <f t="shared" si="168"/>
        <v>2.7484799999999998</v>
      </c>
      <c r="GS47" s="246">
        <f>3+2</f>
        <v>5</v>
      </c>
      <c r="GT47" s="246"/>
      <c r="GU47" s="246"/>
      <c r="GV47" s="246">
        <v>0</v>
      </c>
      <c r="GW47" s="246">
        <v>0.17499999999999999</v>
      </c>
      <c r="GX47" s="246">
        <v>0.17499999448699999</v>
      </c>
      <c r="GY47" s="246">
        <v>1.09E-2</v>
      </c>
      <c r="GZ47" s="243">
        <f t="shared" si="169"/>
        <v>1.3080000000000001E-2</v>
      </c>
      <c r="HA47" s="246">
        <v>0.17499999999999999</v>
      </c>
      <c r="HB47" s="246">
        <v>21.802429111466999</v>
      </c>
      <c r="HC47" s="246">
        <v>14.007779999999</v>
      </c>
      <c r="HD47" s="246">
        <v>16.369401562175</v>
      </c>
      <c r="HE47" s="246">
        <v>7.3203199999999997</v>
      </c>
      <c r="HF47" s="246">
        <v>13.999999559033</v>
      </c>
      <c r="HG47" s="246">
        <v>2.7010000000000005</v>
      </c>
      <c r="HH47" s="243">
        <f t="shared" si="170"/>
        <v>3.241200000000001</v>
      </c>
      <c r="HI47" s="246">
        <v>7.3203199999999997</v>
      </c>
      <c r="HJ47" s="246">
        <v>1.90027371581</v>
      </c>
      <c r="HK47" s="246">
        <v>0.69199999999999995</v>
      </c>
      <c r="HL47" s="246">
        <v>2.7098645096520002</v>
      </c>
      <c r="HM47" s="246">
        <v>1.5385600000000001</v>
      </c>
      <c r="HN47" s="246">
        <v>15.999999496037999</v>
      </c>
      <c r="HO47" s="246">
        <v>2.41953</v>
      </c>
      <c r="HP47" s="243">
        <f t="shared" si="171"/>
        <v>2.9034360000000001</v>
      </c>
      <c r="HQ47" s="246">
        <v>10</v>
      </c>
      <c r="HR47" s="246">
        <v>3.3254790026459999</v>
      </c>
      <c r="HS47" s="246">
        <v>4.0490000000000004</v>
      </c>
      <c r="HT47" s="246">
        <v>4.1535280340809999</v>
      </c>
      <c r="HU47" s="246">
        <v>8.5390000000000015</v>
      </c>
      <c r="HV47" s="246">
        <v>3.9999998740080001</v>
      </c>
      <c r="HW47" s="246">
        <v>9.5685400000000005</v>
      </c>
      <c r="HX47" s="243">
        <f t="shared" si="172"/>
        <v>11.482248000000002</v>
      </c>
      <c r="HY47" s="246">
        <v>10</v>
      </c>
      <c r="HZ47" s="246">
        <v>81.049030277998995</v>
      </c>
      <c r="IA47" s="246">
        <v>13.382999999999001</v>
      </c>
      <c r="IB47" s="246">
        <v>10.728492388269999</v>
      </c>
      <c r="IC47" s="246">
        <v>25.039069999999999</v>
      </c>
      <c r="ID47" s="246">
        <v>23.425359262156</v>
      </c>
      <c r="IE47" s="246">
        <v>10.517799999999999</v>
      </c>
      <c r="IF47" s="243">
        <f t="shared" si="173"/>
        <v>12.621359999999999</v>
      </c>
      <c r="IG47" s="246">
        <v>25.039069999999999</v>
      </c>
      <c r="IH47" s="246">
        <v>736.07295166350502</v>
      </c>
      <c r="II47" s="246">
        <v>660.89721999999699</v>
      </c>
      <c r="IJ47" s="246">
        <v>742.95884519437413</v>
      </c>
      <c r="IK47" s="246">
        <v>824.85145000000011</v>
      </c>
      <c r="IL47" s="246">
        <v>830.99997382551214</v>
      </c>
      <c r="IM47" s="246">
        <v>802.65503999999999</v>
      </c>
      <c r="IN47" s="243">
        <f t="shared" si="174"/>
        <v>963.18604799999991</v>
      </c>
      <c r="IO47" s="246">
        <v>860</v>
      </c>
      <c r="IP47" s="246">
        <v>0</v>
      </c>
      <c r="IQ47" s="246">
        <v>0.98580000000000001</v>
      </c>
      <c r="IR47" s="246">
        <v>1.0112491815240001</v>
      </c>
      <c r="IS47" s="246">
        <v>2.8517999999999999</v>
      </c>
      <c r="IT47" s="246">
        <v>0.99999996850200001</v>
      </c>
      <c r="IU47" s="246">
        <v>2.8260000000000001</v>
      </c>
      <c r="IV47" s="243">
        <f t="shared" si="175"/>
        <v>3.3912000000000004</v>
      </c>
      <c r="IW47" s="246">
        <v>2.8517999999999999</v>
      </c>
      <c r="IX47" s="246">
        <v>195</v>
      </c>
      <c r="IY47" s="246">
        <v>113.70424999999899</v>
      </c>
      <c r="IZ47" s="246">
        <v>116.63961224234501</v>
      </c>
      <c r="JA47" s="246">
        <v>152.37514999999999</v>
      </c>
      <c r="JB47" s="246">
        <v>153.99999514937201</v>
      </c>
      <c r="JC47" s="246">
        <v>128.13596000000001</v>
      </c>
      <c r="JD47" s="243">
        <f t="shared" si="176"/>
        <v>153.76315199999999</v>
      </c>
      <c r="JE47" s="246">
        <v>150</v>
      </c>
      <c r="JF47" s="246">
        <v>0</v>
      </c>
      <c r="JG47" s="246">
        <v>0.69099999999999995</v>
      </c>
      <c r="JH47" s="246">
        <v>49.708838693886996</v>
      </c>
      <c r="JI47" s="246">
        <v>52.961999999999996</v>
      </c>
      <c r="JJ47" s="246">
        <v>45.999998551110998</v>
      </c>
      <c r="JK47" s="246">
        <v>34.669000000000004</v>
      </c>
      <c r="JL47" s="243">
        <f t="shared" si="177"/>
        <v>41.602800000000002</v>
      </c>
      <c r="JM47" s="246">
        <v>48</v>
      </c>
      <c r="JN47" s="246"/>
      <c r="JO47" s="246"/>
      <c r="JP47" s="246"/>
      <c r="JQ47" s="246"/>
      <c r="JR47" s="246"/>
      <c r="JS47" s="246"/>
      <c r="JT47" s="243">
        <f t="shared" si="178"/>
        <v>0</v>
      </c>
      <c r="JU47" s="246"/>
      <c r="JV47" s="246">
        <v>0</v>
      </c>
      <c r="JW47" s="246">
        <v>0.03</v>
      </c>
      <c r="JX47" s="246">
        <v>3.0774472960999999E-2</v>
      </c>
      <c r="JY47" s="246">
        <v>9.6000000000000002E-2</v>
      </c>
      <c r="JZ47" s="246">
        <v>9.5999996975999993E-2</v>
      </c>
      <c r="KA47" s="246">
        <v>4.8000000000000001E-2</v>
      </c>
      <c r="KB47" s="243">
        <f t="shared" si="179"/>
        <v>5.7600000000000005E-2</v>
      </c>
      <c r="KC47" s="246">
        <v>9.6000000000000002E-2</v>
      </c>
      <c r="KD47" s="246">
        <v>0</v>
      </c>
      <c r="KE47" s="246">
        <v>0.06</v>
      </c>
      <c r="KF47" s="246">
        <v>6.1548945922999997E-2</v>
      </c>
      <c r="KG47" s="246">
        <v>0.64800000000000002</v>
      </c>
      <c r="KH47" s="246">
        <v>0</v>
      </c>
      <c r="KI47" s="246">
        <v>0.33899999999999997</v>
      </c>
      <c r="KJ47" s="243">
        <f t="shared" si="180"/>
        <v>0.40679999999999999</v>
      </c>
      <c r="KK47" s="246">
        <v>0</v>
      </c>
      <c r="KL47" s="246"/>
      <c r="KM47" s="246"/>
      <c r="KN47" s="246"/>
      <c r="KO47" s="246"/>
      <c r="KP47" s="246"/>
      <c r="KQ47" s="246"/>
      <c r="KR47" s="243">
        <f t="shared" si="181"/>
        <v>0</v>
      </c>
      <c r="KS47" s="246"/>
      <c r="KT47" s="246">
        <v>2.7711976638540001</v>
      </c>
      <c r="KU47" s="246">
        <v>1.0189999999999999</v>
      </c>
      <c r="KV47" s="246">
        <v>1.0453062649360001</v>
      </c>
      <c r="KW47" s="246">
        <v>1.0900000000000001</v>
      </c>
      <c r="KX47" s="246">
        <v>1.177999962895</v>
      </c>
      <c r="KY47" s="246">
        <v>1.0179999999999998</v>
      </c>
      <c r="KZ47" s="243">
        <f t="shared" si="182"/>
        <v>1.2215999999999996</v>
      </c>
      <c r="LA47" s="246">
        <v>1.0900000000000001</v>
      </c>
      <c r="LB47" s="246"/>
      <c r="LC47" s="246"/>
      <c r="LD47" s="246">
        <v>0</v>
      </c>
      <c r="LE47" s="246">
        <v>0.96549999999999991</v>
      </c>
      <c r="LF47" s="246">
        <v>0</v>
      </c>
      <c r="LG47" s="246">
        <v>2.9975000000000001</v>
      </c>
      <c r="LH47" s="243">
        <f t="shared" si="183"/>
        <v>3.5970000000000004</v>
      </c>
      <c r="LI47" s="246">
        <v>4</v>
      </c>
      <c r="LJ47" s="246">
        <v>2.9003117212719998</v>
      </c>
      <c r="LK47" s="246">
        <v>1.9649999999999999</v>
      </c>
      <c r="LL47" s="246">
        <v>6.0157279789990001</v>
      </c>
      <c r="LM47" s="246">
        <v>4.1469999999999994</v>
      </c>
      <c r="LN47" s="246">
        <v>1.999999937004</v>
      </c>
      <c r="LO47" s="246">
        <v>3.6510000000000002</v>
      </c>
      <c r="LP47" s="243">
        <f t="shared" si="184"/>
        <v>4.3812000000000006</v>
      </c>
      <c r="LQ47" s="246">
        <v>4.1469999999999994</v>
      </c>
      <c r="LR47" s="246"/>
      <c r="LS47" s="246"/>
      <c r="LT47" s="244">
        <f t="shared" si="185"/>
        <v>0</v>
      </c>
      <c r="LU47" s="246">
        <v>0</v>
      </c>
      <c r="LV47" s="246"/>
      <c r="LW47" s="246"/>
      <c r="LX47" s="246"/>
      <c r="LY47" s="246"/>
      <c r="LZ47" s="246"/>
      <c r="MA47" s="246"/>
      <c r="MB47" s="243">
        <f t="shared" si="186"/>
        <v>0</v>
      </c>
      <c r="MC47" s="246"/>
      <c r="MD47" s="246">
        <v>171.02463442184199</v>
      </c>
      <c r="ME47" s="246">
        <v>113.34855</v>
      </c>
      <c r="MF47" s="246">
        <v>116.27472957459401</v>
      </c>
      <c r="MG47" s="246">
        <v>67.950030000000012</v>
      </c>
      <c r="MH47" s="246">
        <v>112.999996440774</v>
      </c>
      <c r="MI47" s="246">
        <v>67.088700000000017</v>
      </c>
      <c r="MJ47" s="243">
        <f t="shared" si="187"/>
        <v>80.506440000000026</v>
      </c>
      <c r="MK47" s="246">
        <v>110</v>
      </c>
      <c r="ML47" s="246">
        <v>0</v>
      </c>
      <c r="MM47" s="246">
        <v>48.763999999998994</v>
      </c>
      <c r="MN47" s="246">
        <v>50.022879983692</v>
      </c>
      <c r="MO47" s="246">
        <v>57.312749999999994</v>
      </c>
      <c r="MP47" s="246">
        <v>59.150938165446</v>
      </c>
      <c r="MQ47" s="246">
        <v>45.120249999999992</v>
      </c>
      <c r="MR47" s="243">
        <f t="shared" si="188"/>
        <v>54.144299999999994</v>
      </c>
      <c r="MS47" s="271">
        <v>57.312749999999994</v>
      </c>
      <c r="MT47" s="246">
        <v>221.432015985471</v>
      </c>
      <c r="MU47" s="246">
        <v>121.42669999999801</v>
      </c>
      <c r="MV47" s="246">
        <v>166.56143235329</v>
      </c>
      <c r="MW47" s="246">
        <v>198.91683</v>
      </c>
      <c r="MX47" s="246">
        <v>250.999992094107</v>
      </c>
      <c r="MY47" s="246">
        <v>49.641279999999995</v>
      </c>
      <c r="MZ47" s="243">
        <f t="shared" si="189"/>
        <v>59.569535999999999</v>
      </c>
      <c r="NA47" s="246">
        <v>200</v>
      </c>
      <c r="NB47" s="246"/>
      <c r="NC47" s="246"/>
      <c r="ND47" s="243">
        <f t="shared" si="190"/>
        <v>0</v>
      </c>
      <c r="NE47" s="246">
        <v>0</v>
      </c>
      <c r="NF47" s="246"/>
      <c r="NG47" s="246"/>
      <c r="NH47" s="246"/>
      <c r="NI47" s="246"/>
      <c r="NJ47" s="246"/>
      <c r="NK47" s="246"/>
      <c r="NL47" s="243">
        <f t="shared" si="191"/>
        <v>0</v>
      </c>
      <c r="NM47" s="246"/>
      <c r="NN47" s="246"/>
      <c r="NO47" s="246"/>
      <c r="NP47" s="246"/>
      <c r="NQ47" s="246"/>
      <c r="NR47" s="246"/>
      <c r="NS47" s="246"/>
      <c r="NT47" s="243">
        <f t="shared" si="192"/>
        <v>0</v>
      </c>
      <c r="NU47" s="246"/>
      <c r="NV47" s="246">
        <v>4</v>
      </c>
      <c r="NW47" s="246">
        <v>6.9478000000000009</v>
      </c>
      <c r="NX47" s="246">
        <v>17.127162774807001</v>
      </c>
      <c r="NY47" s="246">
        <v>15.418510000000001</v>
      </c>
      <c r="NZ47" s="246">
        <v>18.999999496038001</v>
      </c>
      <c r="OA47" s="246">
        <v>9.8905800000000017</v>
      </c>
      <c r="OB47" s="243">
        <f t="shared" si="193"/>
        <v>11.868696000000003</v>
      </c>
      <c r="OC47" s="246">
        <v>17.127162774807001</v>
      </c>
      <c r="OD47" s="246">
        <v>22.878079302730001</v>
      </c>
      <c r="OE47" s="246">
        <v>17.398979999999</v>
      </c>
      <c r="OF47" s="246">
        <v>17.848147985781001</v>
      </c>
      <c r="OG47" s="246">
        <v>18.566770000000002</v>
      </c>
      <c r="OH47" s="246">
        <v>23.999999244057999</v>
      </c>
      <c r="OI47" s="246">
        <v>22.963360000000002</v>
      </c>
      <c r="OJ47" s="243">
        <f t="shared" si="194"/>
        <v>27.556032000000002</v>
      </c>
      <c r="OK47" s="246">
        <v>25</v>
      </c>
      <c r="OL47" s="246">
        <v>27.010871752238003</v>
      </c>
      <c r="OM47" s="246">
        <v>29.978699999998994</v>
      </c>
      <c r="ON47" s="246">
        <v>39.752623624465997</v>
      </c>
      <c r="OO47" s="246">
        <v>28.119430000000001</v>
      </c>
      <c r="OP47" s="246">
        <v>29.999999055069999</v>
      </c>
      <c r="OQ47" s="246">
        <v>12.7</v>
      </c>
      <c r="OR47" s="243">
        <f t="shared" si="195"/>
        <v>15.24</v>
      </c>
      <c r="OS47" s="246">
        <v>28.119430000000001</v>
      </c>
      <c r="OT47" s="246">
        <v>0</v>
      </c>
      <c r="OU47" s="246">
        <v>98.155000000000001</v>
      </c>
      <c r="OV47" s="246">
        <v>0</v>
      </c>
      <c r="OW47" s="246">
        <v>35.579000000000001</v>
      </c>
      <c r="OX47" s="246">
        <v>0</v>
      </c>
      <c r="OY47" s="246">
        <v>47.19</v>
      </c>
      <c r="OZ47" s="243">
        <f t="shared" si="196"/>
        <v>56.627999999999993</v>
      </c>
      <c r="PA47" s="247"/>
      <c r="PB47" s="246"/>
      <c r="PC47" s="246">
        <v>39.6</v>
      </c>
      <c r="PD47" s="243">
        <f t="shared" si="197"/>
        <v>47.519999999999996</v>
      </c>
      <c r="PE47" s="247"/>
      <c r="PF47" s="246">
        <v>0</v>
      </c>
      <c r="PG47" s="246">
        <v>146.21841999999901</v>
      </c>
      <c r="PH47" s="246">
        <v>0</v>
      </c>
      <c r="PI47" s="246">
        <v>232.10784999999998</v>
      </c>
      <c r="PJ47" s="246">
        <v>0</v>
      </c>
      <c r="PK47" s="246">
        <v>107.65345000000001</v>
      </c>
      <c r="PL47" s="243">
        <f t="shared" si="139"/>
        <v>129.18414000000001</v>
      </c>
      <c r="PM47" s="247"/>
      <c r="PN47" s="246">
        <v>-186.25532579877901</v>
      </c>
      <c r="PO47" s="246">
        <v>0</v>
      </c>
      <c r="PP47" s="246">
        <v>-942.49995584794704</v>
      </c>
      <c r="PQ47" s="246">
        <v>0</v>
      </c>
      <c r="PR47" s="246">
        <v>-200.416666666667</v>
      </c>
      <c r="PS47" s="246">
        <v>0</v>
      </c>
      <c r="PT47" s="243">
        <f t="shared" si="198"/>
        <v>0</v>
      </c>
      <c r="PU47" s="246"/>
      <c r="PV47" s="246"/>
      <c r="PW47" s="246"/>
      <c r="PX47" s="246"/>
      <c r="PY47" s="246"/>
      <c r="PZ47" s="246"/>
      <c r="QA47" s="246"/>
      <c r="QB47" s="243">
        <f t="shared" si="199"/>
        <v>0</v>
      </c>
      <c r="QC47" s="246"/>
      <c r="QD47" s="246">
        <v>0</v>
      </c>
      <c r="QE47" s="246">
        <v>0</v>
      </c>
      <c r="QF47" s="246">
        <v>0</v>
      </c>
      <c r="QG47" s="246">
        <v>-184.607</v>
      </c>
      <c r="QH47" s="246"/>
      <c r="QI47" s="246"/>
      <c r="QJ47" s="243">
        <f t="shared" si="200"/>
        <v>0</v>
      </c>
      <c r="QK47" s="246">
        <v>0</v>
      </c>
      <c r="QL47" s="246"/>
      <c r="QM47" s="246"/>
      <c r="QN47" s="246"/>
      <c r="QO47" s="246"/>
      <c r="QP47" s="243">
        <f t="shared" si="201"/>
        <v>0</v>
      </c>
      <c r="QQ47" s="243">
        <f t="shared" si="140"/>
        <v>0</v>
      </c>
      <c r="QR47" s="246"/>
      <c r="QS47" s="246"/>
      <c r="QT47" s="246"/>
      <c r="QU47" s="246"/>
      <c r="QV47" s="243">
        <f t="shared" si="202"/>
        <v>0</v>
      </c>
      <c r="QW47" s="246"/>
      <c r="QX47" s="246">
        <v>0</v>
      </c>
      <c r="QY47" s="246">
        <v>1.3849999999999998</v>
      </c>
      <c r="QZ47" s="246">
        <v>0</v>
      </c>
      <c r="RA47" s="246">
        <v>0.60199999999999998</v>
      </c>
      <c r="RB47" s="246">
        <v>0</v>
      </c>
      <c r="RC47" s="246">
        <v>44.876429999999999</v>
      </c>
      <c r="RD47" s="243">
        <f t="shared" si="203"/>
        <v>53.851716000000003</v>
      </c>
      <c r="RE47" s="300">
        <v>26</v>
      </c>
      <c r="RF47" s="259">
        <f t="shared" si="101"/>
        <v>4147.2411680244204</v>
      </c>
      <c r="RG47" s="259">
        <f t="shared" si="141"/>
        <v>3348.6373300000009</v>
      </c>
      <c r="RH47" s="259">
        <f t="shared" si="142"/>
        <v>4018.3647959999998</v>
      </c>
      <c r="RI47" s="256">
        <f t="shared" si="143"/>
        <v>4209.386792774807</v>
      </c>
    </row>
    <row r="48" spans="1:478">
      <c r="A48" s="5" t="s">
        <v>103</v>
      </c>
      <c r="B48" s="263"/>
      <c r="C48" s="246"/>
      <c r="D48" s="246"/>
      <c r="E48" s="246"/>
      <c r="F48" s="246"/>
      <c r="G48" s="243"/>
      <c r="H48" s="243">
        <f t="shared" si="144"/>
        <v>0</v>
      </c>
      <c r="I48" s="246"/>
      <c r="J48" s="246"/>
      <c r="K48" s="246"/>
      <c r="L48" s="246"/>
      <c r="M48" s="246"/>
      <c r="N48" s="246"/>
      <c r="O48" s="246"/>
      <c r="P48" s="243">
        <f t="shared" si="145"/>
        <v>0</v>
      </c>
      <c r="Q48" s="246"/>
      <c r="R48" s="246"/>
      <c r="S48" s="246"/>
      <c r="T48" s="246"/>
      <c r="U48" s="246"/>
      <c r="V48" s="246"/>
      <c r="W48" s="247"/>
      <c r="X48" s="243">
        <f t="shared" si="146"/>
        <v>0</v>
      </c>
      <c r="Y48" s="246"/>
      <c r="Z48" s="246">
        <v>4.0311810563800003</v>
      </c>
      <c r="AA48" s="246">
        <v>0</v>
      </c>
      <c r="AB48" s="246"/>
      <c r="AC48" s="246"/>
      <c r="AD48" s="246"/>
      <c r="AE48" s="246"/>
      <c r="AF48" s="243">
        <f t="shared" si="147"/>
        <v>0</v>
      </c>
      <c r="AG48" s="246"/>
      <c r="AH48" s="246"/>
      <c r="AI48" s="246"/>
      <c r="AJ48" s="246"/>
      <c r="AK48" s="246"/>
      <c r="AL48" s="246"/>
      <c r="AM48" s="246"/>
      <c r="AN48" s="243">
        <f t="shared" si="148"/>
        <v>0</v>
      </c>
      <c r="AO48" s="246"/>
      <c r="AP48" s="246"/>
      <c r="AQ48" s="246"/>
      <c r="AR48" s="246"/>
      <c r="AS48" s="246"/>
      <c r="AT48" s="246"/>
      <c r="AU48" s="246"/>
      <c r="AV48" s="243">
        <f t="shared" si="149"/>
        <v>0</v>
      </c>
      <c r="AW48" s="246"/>
      <c r="AX48" s="246"/>
      <c r="AY48" s="246"/>
      <c r="AZ48" s="246"/>
      <c r="BA48" s="246"/>
      <c r="BB48" s="246"/>
      <c r="BC48" s="246"/>
      <c r="BD48" s="243">
        <f t="shared" si="150"/>
        <v>0</v>
      </c>
      <c r="BE48" s="246"/>
      <c r="BF48" s="246">
        <v>26.050225294306003</v>
      </c>
      <c r="BG48" s="246">
        <v>0</v>
      </c>
      <c r="BH48" s="246">
        <v>7.9999956924819999</v>
      </c>
      <c r="BI48" s="246">
        <v>45.4572</v>
      </c>
      <c r="BJ48" s="246">
        <v>40.999998708599001</v>
      </c>
      <c r="BK48" s="246">
        <v>30.3048</v>
      </c>
      <c r="BL48" s="243">
        <f t="shared" si="151"/>
        <v>36.365759999999995</v>
      </c>
      <c r="BM48" s="246">
        <v>45.4572</v>
      </c>
      <c r="BN48" s="246"/>
      <c r="BO48" s="246"/>
      <c r="BP48" s="246"/>
      <c r="BQ48" s="246"/>
      <c r="BR48" s="246"/>
      <c r="BS48" s="246"/>
      <c r="BT48" s="243">
        <f t="shared" si="152"/>
        <v>0</v>
      </c>
      <c r="BU48" s="246"/>
      <c r="BV48" s="246"/>
      <c r="BW48" s="246"/>
      <c r="BX48" s="246"/>
      <c r="BY48" s="246"/>
      <c r="BZ48" s="246"/>
      <c r="CA48" s="246"/>
      <c r="CB48" s="243">
        <f t="shared" si="153"/>
        <v>0</v>
      </c>
      <c r="CC48" s="246"/>
      <c r="CD48" s="246"/>
      <c r="CE48" s="246"/>
      <c r="CF48" s="246"/>
      <c r="CG48" s="246"/>
      <c r="CH48" s="246"/>
      <c r="CI48" s="246"/>
      <c r="CJ48" s="243">
        <f t="shared" si="154"/>
        <v>0</v>
      </c>
      <c r="CK48" s="246"/>
      <c r="CL48" s="246">
        <v>90.255915105373006</v>
      </c>
      <c r="CM48" s="246">
        <v>45.4572</v>
      </c>
      <c r="CN48" s="246">
        <v>51.635995551302997</v>
      </c>
      <c r="CO48" s="246">
        <v>75.762</v>
      </c>
      <c r="CP48" s="246">
        <v>144.999997826667</v>
      </c>
      <c r="CQ48" s="246">
        <v>121.2192</v>
      </c>
      <c r="CR48" s="243">
        <f t="shared" si="155"/>
        <v>145.46303999999998</v>
      </c>
      <c r="CS48" s="246">
        <v>145</v>
      </c>
      <c r="CT48" s="246"/>
      <c r="CU48" s="246"/>
      <c r="CV48" s="246"/>
      <c r="CW48" s="246"/>
      <c r="CX48" s="246"/>
      <c r="CY48" s="246"/>
      <c r="CZ48" s="243">
        <f t="shared" si="156"/>
        <v>0</v>
      </c>
      <c r="DA48" s="246"/>
      <c r="DB48" s="246"/>
      <c r="DC48" s="246"/>
      <c r="DD48" s="246"/>
      <c r="DE48" s="246"/>
      <c r="DF48" s="246"/>
      <c r="DG48" s="246"/>
      <c r="DH48" s="243">
        <f t="shared" si="157"/>
        <v>0</v>
      </c>
      <c r="DI48" s="246"/>
      <c r="DJ48" s="246"/>
      <c r="DK48" s="246"/>
      <c r="DL48" s="246"/>
      <c r="DM48" s="246"/>
      <c r="DN48" s="246"/>
      <c r="DO48" s="246"/>
      <c r="DP48" s="243">
        <f t="shared" si="158"/>
        <v>0</v>
      </c>
      <c r="DQ48" s="246"/>
      <c r="DR48" s="246"/>
      <c r="DS48" s="246"/>
      <c r="DT48" s="246"/>
      <c r="DU48" s="246"/>
      <c r="DV48" s="246"/>
      <c r="DW48" s="246"/>
      <c r="DX48" s="243">
        <f t="shared" si="159"/>
        <v>0</v>
      </c>
      <c r="DY48" s="246"/>
      <c r="DZ48" s="246"/>
      <c r="EA48" s="246"/>
      <c r="EB48" s="246"/>
      <c r="EC48" s="246"/>
      <c r="ED48" s="246"/>
      <c r="EE48" s="246"/>
      <c r="EF48" s="243">
        <f t="shared" si="160"/>
        <v>0</v>
      </c>
      <c r="EG48" s="246"/>
      <c r="EH48" s="246"/>
      <c r="EI48" s="246"/>
      <c r="EJ48" s="246"/>
      <c r="EK48" s="246"/>
      <c r="EL48" s="246"/>
      <c r="EM48" s="246"/>
      <c r="EN48" s="243">
        <f t="shared" si="161"/>
        <v>0</v>
      </c>
      <c r="EO48" s="246"/>
      <c r="EP48" s="246"/>
      <c r="EQ48" s="246"/>
      <c r="ER48" s="246"/>
      <c r="ES48" s="246"/>
      <c r="ET48" s="246"/>
      <c r="EU48" s="246"/>
      <c r="EV48" s="243">
        <f t="shared" si="162"/>
        <v>0</v>
      </c>
      <c r="EW48" s="246"/>
      <c r="EX48" s="246"/>
      <c r="EY48" s="246"/>
      <c r="EZ48" s="246"/>
      <c r="FA48" s="246"/>
      <c r="FB48" s="246"/>
      <c r="FC48" s="246"/>
      <c r="FD48" s="243">
        <f t="shared" si="163"/>
        <v>0</v>
      </c>
      <c r="FE48" s="246"/>
      <c r="FF48" s="246"/>
      <c r="FG48" s="246"/>
      <c r="FH48" s="246"/>
      <c r="FI48" s="246"/>
      <c r="FJ48" s="246"/>
      <c r="FK48" s="246"/>
      <c r="FL48" s="243">
        <f t="shared" si="164"/>
        <v>0</v>
      </c>
      <c r="FM48" s="246"/>
      <c r="FN48" s="246"/>
      <c r="FO48" s="246"/>
      <c r="FP48" s="246"/>
      <c r="FQ48" s="246"/>
      <c r="FR48" s="246"/>
      <c r="FS48" s="246"/>
      <c r="FT48" s="243">
        <f t="shared" si="165"/>
        <v>0</v>
      </c>
      <c r="FU48" s="246"/>
      <c r="FV48" s="246"/>
      <c r="FW48" s="246"/>
      <c r="FX48" s="246"/>
      <c r="FY48" s="246"/>
      <c r="FZ48" s="246"/>
      <c r="GA48" s="246"/>
      <c r="GB48" s="243">
        <f t="shared" si="166"/>
        <v>0</v>
      </c>
      <c r="GC48" s="246"/>
      <c r="GD48" s="246"/>
      <c r="GE48" s="246"/>
      <c r="GF48" s="246"/>
      <c r="GG48" s="246"/>
      <c r="GH48" s="246"/>
      <c r="GI48" s="246"/>
      <c r="GJ48" s="243">
        <f t="shared" si="167"/>
        <v>0</v>
      </c>
      <c r="GK48" s="246"/>
      <c r="GL48" s="246"/>
      <c r="GM48" s="246"/>
      <c r="GN48" s="246"/>
      <c r="GO48" s="246"/>
      <c r="GP48" s="246"/>
      <c r="GQ48" s="246"/>
      <c r="GR48" s="243">
        <f t="shared" si="168"/>
        <v>0</v>
      </c>
      <c r="GS48" s="246"/>
      <c r="GT48" s="246"/>
      <c r="GU48" s="246"/>
      <c r="GV48" s="246"/>
      <c r="GW48" s="246"/>
      <c r="GX48" s="246"/>
      <c r="GY48" s="246"/>
      <c r="GZ48" s="243">
        <f t="shared" si="169"/>
        <v>0</v>
      </c>
      <c r="HA48" s="246"/>
      <c r="HB48" s="246"/>
      <c r="HC48" s="246"/>
      <c r="HD48" s="246"/>
      <c r="HE48" s="246"/>
      <c r="HF48" s="246"/>
      <c r="HG48" s="246"/>
      <c r="HH48" s="243">
        <f t="shared" si="170"/>
        <v>0</v>
      </c>
      <c r="HI48" s="246"/>
      <c r="HJ48" s="246"/>
      <c r="HK48" s="246"/>
      <c r="HL48" s="246"/>
      <c r="HM48" s="246"/>
      <c r="HN48" s="246"/>
      <c r="HO48" s="246"/>
      <c r="HP48" s="243">
        <f t="shared" si="171"/>
        <v>0</v>
      </c>
      <c r="HQ48" s="246"/>
      <c r="HR48" s="246"/>
      <c r="HS48" s="246"/>
      <c r="HT48" s="246"/>
      <c r="HU48" s="246"/>
      <c r="HV48" s="246"/>
      <c r="HW48" s="246"/>
      <c r="HX48" s="243">
        <f t="shared" si="172"/>
        <v>0</v>
      </c>
      <c r="HY48" s="246"/>
      <c r="HZ48" s="246">
        <v>78.904921475349994</v>
      </c>
      <c r="IA48" s="246">
        <v>0</v>
      </c>
      <c r="IB48" s="246"/>
      <c r="IC48" s="246"/>
      <c r="ID48" s="246"/>
      <c r="IE48" s="246"/>
      <c r="IF48" s="243">
        <f t="shared" si="173"/>
        <v>0</v>
      </c>
      <c r="IG48" s="246"/>
      <c r="IH48" s="246"/>
      <c r="II48" s="246"/>
      <c r="IJ48" s="246"/>
      <c r="IK48" s="246"/>
      <c r="IL48" s="246"/>
      <c r="IM48" s="246"/>
      <c r="IN48" s="243">
        <f t="shared" si="174"/>
        <v>0</v>
      </c>
      <c r="IO48" s="246"/>
      <c r="IP48" s="246"/>
      <c r="IQ48" s="246"/>
      <c r="IR48" s="246"/>
      <c r="IS48" s="246"/>
      <c r="IT48" s="246"/>
      <c r="IU48" s="246"/>
      <c r="IV48" s="243">
        <f t="shared" si="175"/>
        <v>0</v>
      </c>
      <c r="IW48" s="246"/>
      <c r="IX48" s="246"/>
      <c r="IY48" s="246"/>
      <c r="IZ48" s="246"/>
      <c r="JA48" s="246"/>
      <c r="JB48" s="246"/>
      <c r="JC48" s="246"/>
      <c r="JD48" s="243">
        <f t="shared" si="176"/>
        <v>0</v>
      </c>
      <c r="JE48" s="246"/>
      <c r="JF48" s="246"/>
      <c r="JG48" s="246"/>
      <c r="JH48" s="246"/>
      <c r="JI48" s="246"/>
      <c r="JJ48" s="246"/>
      <c r="JK48" s="246"/>
      <c r="JL48" s="243">
        <f t="shared" si="177"/>
        <v>0</v>
      </c>
      <c r="JM48" s="246"/>
      <c r="JN48" s="246"/>
      <c r="JO48" s="246"/>
      <c r="JP48" s="246"/>
      <c r="JQ48" s="246"/>
      <c r="JR48" s="246"/>
      <c r="JS48" s="246"/>
      <c r="JT48" s="243">
        <f t="shared" si="178"/>
        <v>0</v>
      </c>
      <c r="JU48" s="246"/>
      <c r="JV48" s="246"/>
      <c r="JW48" s="246"/>
      <c r="JX48" s="246"/>
      <c r="JY48" s="246"/>
      <c r="JZ48" s="246"/>
      <c r="KA48" s="246"/>
      <c r="KB48" s="243">
        <f t="shared" si="179"/>
        <v>0</v>
      </c>
      <c r="KC48" s="246"/>
      <c r="KD48" s="246"/>
      <c r="KE48" s="246"/>
      <c r="KF48" s="246"/>
      <c r="KG48" s="246"/>
      <c r="KH48" s="246"/>
      <c r="KI48" s="246"/>
      <c r="KJ48" s="243">
        <f t="shared" si="180"/>
        <v>0</v>
      </c>
      <c r="KK48" s="246"/>
      <c r="KL48" s="246"/>
      <c r="KM48" s="246"/>
      <c r="KN48" s="246"/>
      <c r="KO48" s="246"/>
      <c r="KP48" s="246"/>
      <c r="KQ48" s="246"/>
      <c r="KR48" s="243">
        <f t="shared" si="181"/>
        <v>0</v>
      </c>
      <c r="KS48" s="246"/>
      <c r="KT48" s="246"/>
      <c r="KU48" s="246"/>
      <c r="KV48" s="246"/>
      <c r="KW48" s="246"/>
      <c r="KX48" s="246"/>
      <c r="KY48" s="246"/>
      <c r="KZ48" s="243">
        <f t="shared" si="182"/>
        <v>0</v>
      </c>
      <c r="LA48" s="246"/>
      <c r="LB48" s="246"/>
      <c r="LC48" s="246"/>
      <c r="LD48" s="246"/>
      <c r="LE48" s="246"/>
      <c r="LF48" s="246"/>
      <c r="LG48" s="246"/>
      <c r="LH48" s="243">
        <f t="shared" si="183"/>
        <v>0</v>
      </c>
      <c r="LI48" s="246"/>
      <c r="LJ48" s="246"/>
      <c r="LK48" s="246"/>
      <c r="LL48" s="246"/>
      <c r="LM48" s="246"/>
      <c r="LN48" s="246"/>
      <c r="LO48" s="246"/>
      <c r="LP48" s="243">
        <f t="shared" si="184"/>
        <v>0</v>
      </c>
      <c r="LQ48" s="246"/>
      <c r="LR48" s="246"/>
      <c r="LS48" s="246"/>
      <c r="LT48" s="244">
        <f t="shared" si="185"/>
        <v>0</v>
      </c>
      <c r="LU48" s="246">
        <v>0</v>
      </c>
      <c r="LV48" s="246"/>
      <c r="LW48" s="246"/>
      <c r="LX48" s="246"/>
      <c r="LY48" s="246"/>
      <c r="LZ48" s="246"/>
      <c r="MA48" s="246"/>
      <c r="MB48" s="243">
        <f t="shared" si="186"/>
        <v>0</v>
      </c>
      <c r="MC48" s="246"/>
      <c r="MD48" s="246">
        <v>53.768934285415</v>
      </c>
      <c r="ME48" s="246">
        <v>42.576689999999999</v>
      </c>
      <c r="MF48" s="246">
        <v>48.363950604726995</v>
      </c>
      <c r="MG48" s="246">
        <v>0</v>
      </c>
      <c r="MH48" s="246">
        <v>42.999998645604002</v>
      </c>
      <c r="MI48" s="246">
        <v>22.653739999999999</v>
      </c>
      <c r="MJ48" s="243">
        <f t="shared" si="187"/>
        <v>27.184488000000002</v>
      </c>
      <c r="MK48" s="246">
        <v>30</v>
      </c>
      <c r="ML48" s="246"/>
      <c r="MM48" s="246"/>
      <c r="MN48" s="246"/>
      <c r="MO48" s="246"/>
      <c r="MP48" s="246"/>
      <c r="MQ48" s="246"/>
      <c r="MR48" s="243">
        <f t="shared" si="188"/>
        <v>0</v>
      </c>
      <c r="MS48" s="271"/>
      <c r="MT48" s="246"/>
      <c r="MU48" s="246"/>
      <c r="MV48" s="246"/>
      <c r="MW48" s="246"/>
      <c r="MX48" s="246"/>
      <c r="MY48" s="246"/>
      <c r="MZ48" s="243">
        <f t="shared" si="189"/>
        <v>0</v>
      </c>
      <c r="NA48" s="246"/>
      <c r="NB48" s="246"/>
      <c r="NC48" s="246"/>
      <c r="ND48" s="243">
        <f t="shared" si="190"/>
        <v>0</v>
      </c>
      <c r="NE48" s="246">
        <v>0</v>
      </c>
      <c r="NF48" s="246"/>
      <c r="NG48" s="246"/>
      <c r="NH48" s="246"/>
      <c r="NI48" s="246"/>
      <c r="NJ48" s="246"/>
      <c r="NK48" s="246"/>
      <c r="NL48" s="243">
        <f t="shared" si="191"/>
        <v>0</v>
      </c>
      <c r="NM48" s="246"/>
      <c r="NN48" s="246"/>
      <c r="NO48" s="246"/>
      <c r="NP48" s="246"/>
      <c r="NQ48" s="246"/>
      <c r="NR48" s="246"/>
      <c r="NS48" s="246"/>
      <c r="NT48" s="243">
        <f t="shared" si="192"/>
        <v>0</v>
      </c>
      <c r="NU48" s="246"/>
      <c r="NV48" s="246"/>
      <c r="NW48" s="246"/>
      <c r="NX48" s="246"/>
      <c r="NY48" s="246"/>
      <c r="NZ48" s="246"/>
      <c r="OA48" s="246"/>
      <c r="OB48" s="243">
        <f t="shared" si="193"/>
        <v>0</v>
      </c>
      <c r="OC48" s="246"/>
      <c r="OD48" s="246"/>
      <c r="OE48" s="246"/>
      <c r="OF48" s="246"/>
      <c r="OG48" s="246"/>
      <c r="OH48" s="246"/>
      <c r="OI48" s="246"/>
      <c r="OJ48" s="243">
        <f t="shared" si="194"/>
        <v>0</v>
      </c>
      <c r="OK48" s="246"/>
      <c r="OL48" s="246"/>
      <c r="OM48" s="246"/>
      <c r="ON48" s="246"/>
      <c r="OO48" s="246"/>
      <c r="OP48" s="246"/>
      <c r="OQ48" s="246"/>
      <c r="OR48" s="243">
        <f t="shared" si="195"/>
        <v>0</v>
      </c>
      <c r="OS48" s="246"/>
      <c r="OT48" s="246"/>
      <c r="OU48" s="246"/>
      <c r="OV48" s="246"/>
      <c r="OW48" s="246"/>
      <c r="OX48" s="246"/>
      <c r="OY48" s="246"/>
      <c r="OZ48" s="243">
        <f t="shared" si="196"/>
        <v>0</v>
      </c>
      <c r="PA48" s="247"/>
      <c r="PB48" s="246"/>
      <c r="PC48" s="246"/>
      <c r="PD48" s="243">
        <f t="shared" si="197"/>
        <v>0</v>
      </c>
      <c r="PE48" s="247"/>
      <c r="PF48" s="246"/>
      <c r="PG48" s="246"/>
      <c r="PH48" s="246"/>
      <c r="PI48" s="246"/>
      <c r="PJ48" s="246"/>
      <c r="PK48" s="246"/>
      <c r="PL48" s="243">
        <f t="shared" si="139"/>
        <v>0</v>
      </c>
      <c r="PM48" s="247"/>
      <c r="PN48" s="246">
        <v>16.999998051921999</v>
      </c>
      <c r="PO48" s="246">
        <v>0</v>
      </c>
      <c r="PP48" s="246">
        <v>-7.9999956924819999</v>
      </c>
      <c r="PQ48" s="246">
        <v>0</v>
      </c>
      <c r="PR48" s="246">
        <v>-70</v>
      </c>
      <c r="PS48" s="246">
        <v>0</v>
      </c>
      <c r="PT48" s="243">
        <f t="shared" si="198"/>
        <v>0</v>
      </c>
      <c r="PU48" s="246"/>
      <c r="PV48" s="246"/>
      <c r="PW48" s="246"/>
      <c r="PX48" s="246"/>
      <c r="PY48" s="246"/>
      <c r="PZ48" s="246"/>
      <c r="QA48" s="246"/>
      <c r="QB48" s="243">
        <f t="shared" si="199"/>
        <v>0</v>
      </c>
      <c r="QC48" s="246"/>
      <c r="QD48" s="246"/>
      <c r="QE48" s="246"/>
      <c r="QF48" s="246"/>
      <c r="QG48" s="246"/>
      <c r="QH48" s="246"/>
      <c r="QI48" s="246"/>
      <c r="QJ48" s="243">
        <f t="shared" si="200"/>
        <v>0</v>
      </c>
      <c r="QK48" s="246">
        <v>0</v>
      </c>
      <c r="QL48" s="246"/>
      <c r="QM48" s="246"/>
      <c r="QN48" s="246"/>
      <c r="QO48" s="246"/>
      <c r="QP48" s="243">
        <f t="shared" si="201"/>
        <v>0</v>
      </c>
      <c r="QQ48" s="243">
        <f t="shared" si="140"/>
        <v>0</v>
      </c>
      <c r="QR48" s="246"/>
      <c r="QS48" s="246"/>
      <c r="QT48" s="246"/>
      <c r="QU48" s="246"/>
      <c r="QV48" s="243">
        <f t="shared" si="202"/>
        <v>0</v>
      </c>
      <c r="QW48" s="246"/>
      <c r="QX48" s="246"/>
      <c r="QY48" s="246"/>
      <c r="QZ48" s="246"/>
      <c r="RA48" s="246"/>
      <c r="RB48" s="246"/>
      <c r="RC48" s="246"/>
      <c r="RD48" s="243">
        <f t="shared" si="203"/>
        <v>0</v>
      </c>
      <c r="RE48" s="300"/>
      <c r="RF48" s="259">
        <f t="shared" si="101"/>
        <v>158.99999518087</v>
      </c>
      <c r="RG48" s="259">
        <f t="shared" si="141"/>
        <v>174.17774</v>
      </c>
      <c r="RH48" s="259">
        <f t="shared" si="142"/>
        <v>209.01328799999996</v>
      </c>
      <c r="RI48" s="256">
        <f t="shared" si="143"/>
        <v>220.4572</v>
      </c>
    </row>
    <row r="49" spans="1:477">
      <c r="A49" s="5" t="s">
        <v>87</v>
      </c>
      <c r="B49" s="263">
        <v>178.39173066696301</v>
      </c>
      <c r="C49" s="246">
        <v>199.57650000000001</v>
      </c>
      <c r="D49" s="246">
        <v>221.27496580746498</v>
      </c>
      <c r="E49" s="246">
        <v>269.49415999999997</v>
      </c>
      <c r="F49" s="246">
        <v>269.99999149565201</v>
      </c>
      <c r="G49" s="243">
        <v>211.63665000000003</v>
      </c>
      <c r="H49" s="243">
        <f t="shared" si="144"/>
        <v>253.96398000000002</v>
      </c>
      <c r="I49" s="246">
        <v>269.49415999999997</v>
      </c>
      <c r="J49" s="246">
        <v>194.14781505578901</v>
      </c>
      <c r="K49" s="246">
        <v>195.25492999999801</v>
      </c>
      <c r="L49" s="246">
        <v>201.96710562790201</v>
      </c>
      <c r="M49" s="246">
        <v>225.58123999999998</v>
      </c>
      <c r="N49" s="246">
        <v>226</v>
      </c>
      <c r="O49" s="246">
        <v>185.58175</v>
      </c>
      <c r="P49" s="243">
        <f t="shared" si="145"/>
        <v>222.69809999999998</v>
      </c>
      <c r="Q49" s="246">
        <v>220</v>
      </c>
      <c r="R49" s="246">
        <v>206.473691838012</v>
      </c>
      <c r="S49" s="246">
        <v>176.89179999999703</v>
      </c>
      <c r="T49" s="246">
        <v>181.39490627771701</v>
      </c>
      <c r="U49" s="246">
        <v>183.04001</v>
      </c>
      <c r="V49" s="246">
        <v>188.99999404695501</v>
      </c>
      <c r="W49" s="247">
        <v>165.48334999999997</v>
      </c>
      <c r="X49" s="243">
        <f t="shared" si="146"/>
        <v>198.58001999999999</v>
      </c>
      <c r="Y49" s="246">
        <v>200</v>
      </c>
      <c r="Z49" s="246">
        <v>251.36090517420999</v>
      </c>
      <c r="AA49" s="246">
        <v>214.26954999999901</v>
      </c>
      <c r="AB49" s="246">
        <v>217.30157104881201</v>
      </c>
      <c r="AC49" s="246">
        <v>232.00370999999996</v>
      </c>
      <c r="AD49" s="246">
        <v>243.01069505472603</v>
      </c>
      <c r="AE49" s="246">
        <v>198.43156999999999</v>
      </c>
      <c r="AF49" s="243">
        <f t="shared" si="147"/>
        <v>238.11788399999998</v>
      </c>
      <c r="AG49" s="246">
        <v>245</v>
      </c>
      <c r="AH49" s="246">
        <v>49.803737007282997</v>
      </c>
      <c r="AI49" s="246">
        <v>58.496269999999001</v>
      </c>
      <c r="AJ49" s="246">
        <v>62.324021456902003</v>
      </c>
      <c r="AK49" s="246">
        <v>63.8904</v>
      </c>
      <c r="AL49" s="246">
        <v>57.999998173139005</v>
      </c>
      <c r="AM49" s="246">
        <v>32.552099999999996</v>
      </c>
      <c r="AN49" s="243">
        <f t="shared" si="148"/>
        <v>39.062519999999992</v>
      </c>
      <c r="AO49" s="246">
        <v>55</v>
      </c>
      <c r="AP49" s="246">
        <v>326.35493658148602</v>
      </c>
      <c r="AQ49" s="246">
        <v>276.32422999999704</v>
      </c>
      <c r="AR49" s="246">
        <v>287.23436271991699</v>
      </c>
      <c r="AS49" s="246">
        <v>368.98755999999997</v>
      </c>
      <c r="AT49" s="246">
        <v>344.999989133334</v>
      </c>
      <c r="AU49" s="246">
        <v>290.50678999999997</v>
      </c>
      <c r="AV49" s="243">
        <f t="shared" si="149"/>
        <v>348.60814799999991</v>
      </c>
      <c r="AW49" s="246">
        <v>360</v>
      </c>
      <c r="AX49" s="246">
        <v>311.71870521508299</v>
      </c>
      <c r="AY49" s="246">
        <v>341.10949999999895</v>
      </c>
      <c r="AZ49" s="246">
        <v>354.93638570775704</v>
      </c>
      <c r="BA49" s="246">
        <v>412.62442000000004</v>
      </c>
      <c r="BB49" s="246">
        <v>425.45812692762394</v>
      </c>
      <c r="BC49" s="246">
        <v>373.84278</v>
      </c>
      <c r="BD49" s="243">
        <f t="shared" si="150"/>
        <v>448.61133600000005</v>
      </c>
      <c r="BE49" s="246">
        <v>412.62442000000004</v>
      </c>
      <c r="BF49" s="246">
        <v>305.94671243569798</v>
      </c>
      <c r="BG49" s="246">
        <v>351.79805999999604</v>
      </c>
      <c r="BH49" s="246">
        <v>378.91690380158809</v>
      </c>
      <c r="BI49" s="246">
        <v>423.11381999999998</v>
      </c>
      <c r="BJ49" s="246">
        <v>442.548938154094</v>
      </c>
      <c r="BK49" s="246">
        <v>356.13700999999998</v>
      </c>
      <c r="BL49" s="243">
        <f t="shared" si="151"/>
        <v>427.36441200000002</v>
      </c>
      <c r="BM49" s="246">
        <v>440</v>
      </c>
      <c r="BN49" s="246">
        <v>150.778075991207</v>
      </c>
      <c r="BO49" s="246">
        <v>152.400119999998</v>
      </c>
      <c r="BP49" s="246">
        <v>154.55665506190599</v>
      </c>
      <c r="BQ49" s="246">
        <v>128.20649</v>
      </c>
      <c r="BR49" s="246">
        <v>141.999995527343</v>
      </c>
      <c r="BS49" s="246">
        <v>135.45976000000002</v>
      </c>
      <c r="BT49" s="243">
        <f t="shared" si="152"/>
        <v>162.55171200000001</v>
      </c>
      <c r="BU49" s="246">
        <v>145</v>
      </c>
      <c r="BV49" s="246">
        <v>264.709678145726</v>
      </c>
      <c r="BW49" s="246">
        <v>264.787539999996</v>
      </c>
      <c r="BX49" s="246">
        <v>283.53440900333499</v>
      </c>
      <c r="BY49" s="246">
        <v>292.79241000000002</v>
      </c>
      <c r="BZ49" s="246">
        <v>314.65436087575199</v>
      </c>
      <c r="CA49" s="246">
        <v>269.74768</v>
      </c>
      <c r="CB49" s="243">
        <f t="shared" si="153"/>
        <v>323.69721600000003</v>
      </c>
      <c r="CC49" s="246">
        <v>320</v>
      </c>
      <c r="CD49" s="246">
        <v>269.099924261696</v>
      </c>
      <c r="CE49" s="246">
        <v>294.87093999999905</v>
      </c>
      <c r="CF49" s="246">
        <v>301.04351436398201</v>
      </c>
      <c r="CG49" s="246">
        <v>296.78433999999993</v>
      </c>
      <c r="CH49" s="246">
        <v>294.99999070821298</v>
      </c>
      <c r="CI49" s="246">
        <v>227.08008000000001</v>
      </c>
      <c r="CJ49" s="243">
        <f t="shared" si="154"/>
        <v>272.49609599999997</v>
      </c>
      <c r="CK49" s="246">
        <v>290</v>
      </c>
      <c r="CL49" s="246">
        <v>85.252079890223982</v>
      </c>
      <c r="CM49" s="246">
        <v>85.315099999999006</v>
      </c>
      <c r="CN49" s="246">
        <v>88.522353503920996</v>
      </c>
      <c r="CO49" s="246">
        <v>101.00729999999999</v>
      </c>
      <c r="CP49" s="246">
        <v>99.99999685024099</v>
      </c>
      <c r="CQ49" s="246">
        <v>87.750900000000001</v>
      </c>
      <c r="CR49" s="243">
        <f t="shared" si="155"/>
        <v>105.30108000000001</v>
      </c>
      <c r="CS49" s="246">
        <v>101</v>
      </c>
      <c r="CT49" s="246">
        <v>88.764773180956993</v>
      </c>
      <c r="CU49" s="246">
        <v>82.419489999999996</v>
      </c>
      <c r="CV49" s="246">
        <v>98.58577084382199</v>
      </c>
      <c r="CW49" s="246">
        <v>110.56611000000001</v>
      </c>
      <c r="CX49" s="246">
        <v>111.99999647227</v>
      </c>
      <c r="CY49" s="246">
        <v>75.971730000000008</v>
      </c>
      <c r="CZ49" s="243">
        <f t="shared" si="156"/>
        <v>91.166076000000004</v>
      </c>
      <c r="DA49" s="246">
        <v>110</v>
      </c>
      <c r="DB49" s="246">
        <v>83.454827263276997</v>
      </c>
      <c r="DC49" s="246">
        <v>76.066749999999004</v>
      </c>
      <c r="DD49" s="246">
        <v>80.143137053114003</v>
      </c>
      <c r="DE49" s="246">
        <v>89.165590000000009</v>
      </c>
      <c r="DF49" s="246">
        <v>85.999997291207009</v>
      </c>
      <c r="DG49" s="246">
        <v>78.499129999999994</v>
      </c>
      <c r="DH49" s="243">
        <f t="shared" si="157"/>
        <v>94.198955999999981</v>
      </c>
      <c r="DI49" s="246">
        <v>90</v>
      </c>
      <c r="DJ49" s="246">
        <v>2.7420188655820001</v>
      </c>
      <c r="DK49" s="246">
        <v>3.2250000000000001</v>
      </c>
      <c r="DL49" s="246">
        <v>3.2706353024829999</v>
      </c>
      <c r="DM49" s="246">
        <v>4.8360000000000003</v>
      </c>
      <c r="DN49" s="246">
        <v>2.9999999055069999</v>
      </c>
      <c r="DO49" s="246">
        <v>3.7321599999999999</v>
      </c>
      <c r="DP49" s="243">
        <f t="shared" si="158"/>
        <v>4.4785919999999999</v>
      </c>
      <c r="DQ49" s="246">
        <v>4.8360000000000003</v>
      </c>
      <c r="DR49" s="246">
        <v>62.552837156593007</v>
      </c>
      <c r="DS49" s="246">
        <v>66.864409999998003</v>
      </c>
      <c r="DT49" s="246">
        <v>82.810575743121007</v>
      </c>
      <c r="DU49" s="246">
        <v>122.46020999999999</v>
      </c>
      <c r="DV49" s="246">
        <v>247.52042273633799</v>
      </c>
      <c r="DW49" s="246">
        <v>136.85572999999999</v>
      </c>
      <c r="DX49" s="243">
        <f t="shared" si="159"/>
        <v>164.226876</v>
      </c>
      <c r="DY49" s="246">
        <v>220</v>
      </c>
      <c r="DZ49" s="246">
        <v>82.186163484008006</v>
      </c>
      <c r="EA49" s="246">
        <v>89.640619999997995</v>
      </c>
      <c r="EB49" s="246">
        <v>95.909078463543011</v>
      </c>
      <c r="EC49" s="246">
        <v>151.02013999999997</v>
      </c>
      <c r="ED49" s="246">
        <v>154.999995117873</v>
      </c>
      <c r="EE49" s="246">
        <v>117.6998</v>
      </c>
      <c r="EF49" s="243">
        <f t="shared" si="160"/>
        <v>141.23975999999999</v>
      </c>
      <c r="EG49" s="246">
        <v>150</v>
      </c>
      <c r="EH49" s="246">
        <v>10.671362040821</v>
      </c>
      <c r="EI49" s="246">
        <v>11.679829999997999</v>
      </c>
      <c r="EJ49" s="246">
        <v>12.845105755492</v>
      </c>
      <c r="EK49" s="246">
        <v>14.33672</v>
      </c>
      <c r="EL49" s="246">
        <v>13.999999559032</v>
      </c>
      <c r="EM49" s="246">
        <v>11.63233</v>
      </c>
      <c r="EN49" s="243">
        <f t="shared" si="161"/>
        <v>13.958796</v>
      </c>
      <c r="EO49" s="246">
        <v>15</v>
      </c>
      <c r="EP49" s="246">
        <v>1.9502251591299999</v>
      </c>
      <c r="EQ49" s="246">
        <v>2.6269999999989997</v>
      </c>
      <c r="ER49" s="246">
        <v>2.6641733146100002</v>
      </c>
      <c r="ES49" s="246">
        <v>2.3109999999999999</v>
      </c>
      <c r="ET49" s="246">
        <v>2.9999999055060003</v>
      </c>
      <c r="EU49" s="246">
        <v>1.988</v>
      </c>
      <c r="EV49" s="243">
        <f t="shared" si="162"/>
        <v>2.3856000000000002</v>
      </c>
      <c r="EW49" s="246">
        <v>3</v>
      </c>
      <c r="EX49" s="246">
        <v>21.849062090156998</v>
      </c>
      <c r="EY49" s="246">
        <v>20.388159999999001</v>
      </c>
      <c r="EZ49" s="246">
        <v>30.915136126692001</v>
      </c>
      <c r="FA49" s="246">
        <v>26.670249999999996</v>
      </c>
      <c r="FB49" s="246">
        <v>29.999999055071001</v>
      </c>
      <c r="FC49" s="246">
        <v>24.814999999999998</v>
      </c>
      <c r="FD49" s="243">
        <f t="shared" si="163"/>
        <v>29.777999999999995</v>
      </c>
      <c r="FE49" s="246">
        <v>30</v>
      </c>
      <c r="FF49" s="246">
        <v>77.972653834822992</v>
      </c>
      <c r="FG49" s="246">
        <v>73.244540000000015</v>
      </c>
      <c r="FH49" s="246">
        <v>74.280985500193992</v>
      </c>
      <c r="FI49" s="246">
        <v>76.297809999999998</v>
      </c>
      <c r="FJ49" s="246">
        <v>81.999997606182987</v>
      </c>
      <c r="FK49" s="246">
        <v>70.685410000000005</v>
      </c>
      <c r="FL49" s="243">
        <f t="shared" si="164"/>
        <v>84.822492000000011</v>
      </c>
      <c r="FM49" s="246">
        <v>80</v>
      </c>
      <c r="FN49" s="246">
        <v>61.056155427394003</v>
      </c>
      <c r="FO49" s="246">
        <v>55.677089999999005</v>
      </c>
      <c r="FP49" s="246">
        <v>56.464947625896997</v>
      </c>
      <c r="FQ49" s="246">
        <v>60.47186</v>
      </c>
      <c r="FR49" s="246">
        <v>61.999998047148992</v>
      </c>
      <c r="FS49" s="246">
        <v>45.665349999999997</v>
      </c>
      <c r="FT49" s="243">
        <f t="shared" si="165"/>
        <v>54.79842</v>
      </c>
      <c r="FU49" s="246">
        <v>62</v>
      </c>
      <c r="FV49" s="246">
        <v>160.72707461269601</v>
      </c>
      <c r="FW49" s="246">
        <v>158.78915000000001</v>
      </c>
      <c r="FX49" s="246">
        <v>165.03610098861901</v>
      </c>
      <c r="FY49" s="246">
        <v>181.35648999999998</v>
      </c>
      <c r="FZ49" s="246">
        <v>178.999994361934</v>
      </c>
      <c r="GA49" s="246">
        <v>143.84966000000003</v>
      </c>
      <c r="GB49" s="243">
        <f t="shared" si="166"/>
        <v>172.61959200000001</v>
      </c>
      <c r="GC49" s="246">
        <v>180</v>
      </c>
      <c r="GD49" s="246">
        <v>119.20527524203801</v>
      </c>
      <c r="GE49" s="246">
        <v>126.173959999999</v>
      </c>
      <c r="GF49" s="246">
        <v>128.959383349772</v>
      </c>
      <c r="GG49" s="246">
        <v>155.07627000000002</v>
      </c>
      <c r="GH49" s="246">
        <v>155.600576407007</v>
      </c>
      <c r="GI49" s="246">
        <v>125.11243999999999</v>
      </c>
      <c r="GJ49" s="243">
        <f t="shared" si="167"/>
        <v>150.134928</v>
      </c>
      <c r="GK49" s="246">
        <v>155.07627000000002</v>
      </c>
      <c r="GL49" s="246">
        <v>23.753166467204</v>
      </c>
      <c r="GM49" s="246">
        <v>22.873980000000003</v>
      </c>
      <c r="GN49" s="246">
        <v>23.197657828305999</v>
      </c>
      <c r="GO49" s="246">
        <v>18.887800000000002</v>
      </c>
      <c r="GP49" s="246">
        <v>22.999999275555002</v>
      </c>
      <c r="GQ49" s="246">
        <v>20.0808</v>
      </c>
      <c r="GR49" s="243">
        <f t="shared" si="168"/>
        <v>24.096960000000003</v>
      </c>
      <c r="GS49" s="246">
        <f>25+16</f>
        <v>41</v>
      </c>
      <c r="GT49" s="246">
        <v>0.95009017376000005</v>
      </c>
      <c r="GU49" s="246">
        <v>0.8137999999990001</v>
      </c>
      <c r="GV49" s="246">
        <v>0.82531566175500004</v>
      </c>
      <c r="GW49" s="246">
        <v>0</v>
      </c>
      <c r="GX49" s="246">
        <v>0.99999996850200001</v>
      </c>
      <c r="GY49" s="246">
        <v>0</v>
      </c>
      <c r="GZ49" s="243">
        <f t="shared" si="169"/>
        <v>0</v>
      </c>
      <c r="HA49" s="246">
        <v>1</v>
      </c>
      <c r="HB49" s="246">
        <v>11.226116815158999</v>
      </c>
      <c r="HC49" s="246">
        <v>15.938039999998001</v>
      </c>
      <c r="HD49" s="246">
        <v>31.163570938414001</v>
      </c>
      <c r="HE49" s="246">
        <v>12.94444</v>
      </c>
      <c r="HF49" s="246">
        <v>15.999999496037999</v>
      </c>
      <c r="HG49" s="246">
        <v>11.611039999999999</v>
      </c>
      <c r="HH49" s="243">
        <f t="shared" si="170"/>
        <v>13.933247999999999</v>
      </c>
      <c r="HI49" s="246">
        <v>16</v>
      </c>
      <c r="HJ49" s="246">
        <v>34.363048313987001</v>
      </c>
      <c r="HK49" s="246">
        <v>31.118329999998998</v>
      </c>
      <c r="HL49" s="246">
        <v>33.849374790581003</v>
      </c>
      <c r="HM49" s="246">
        <v>60.676410000000004</v>
      </c>
      <c r="HN49" s="246">
        <v>89.888434913751993</v>
      </c>
      <c r="HO49" s="246">
        <v>17.853399999999997</v>
      </c>
      <c r="HP49" s="243">
        <f t="shared" si="171"/>
        <v>21.424079999999996</v>
      </c>
      <c r="HQ49" s="246">
        <v>60</v>
      </c>
      <c r="HR49" s="246">
        <v>101.03033119305501</v>
      </c>
      <c r="HS49" s="246">
        <v>96.528299999999021</v>
      </c>
      <c r="HT49" s="246">
        <v>105.894229989362</v>
      </c>
      <c r="HU49" s="246">
        <v>121.34521000000001</v>
      </c>
      <c r="HV49" s="246">
        <v>121.999996157296</v>
      </c>
      <c r="HW49" s="246">
        <v>91.295000000000002</v>
      </c>
      <c r="HX49" s="243">
        <f t="shared" si="172"/>
        <v>109.554</v>
      </c>
      <c r="HY49" s="246">
        <v>122</v>
      </c>
      <c r="HZ49" s="246">
        <v>86.255762001099001</v>
      </c>
      <c r="IA49" s="246">
        <v>77.134500000000003</v>
      </c>
      <c r="IB49" s="246">
        <v>79.225991383662006</v>
      </c>
      <c r="IC49" s="246">
        <v>81.492100000000008</v>
      </c>
      <c r="ID49" s="246">
        <v>81.999997417196994</v>
      </c>
      <c r="IE49" s="246">
        <v>74.395499999999998</v>
      </c>
      <c r="IF49" s="243">
        <f t="shared" si="173"/>
        <v>89.274599999999992</v>
      </c>
      <c r="IG49" s="246">
        <v>90</v>
      </c>
      <c r="IH49" s="246">
        <v>336.577993055626</v>
      </c>
      <c r="II49" s="246">
        <v>372.55699999999797</v>
      </c>
      <c r="IJ49" s="246">
        <v>386.82888027907495</v>
      </c>
      <c r="IK49" s="246">
        <v>404.39947999999993</v>
      </c>
      <c r="IL49" s="246">
        <v>407.999987148988</v>
      </c>
      <c r="IM49" s="246">
        <v>403.19682</v>
      </c>
      <c r="IN49" s="243">
        <f t="shared" si="174"/>
        <v>483.836184</v>
      </c>
      <c r="IO49" s="246">
        <v>450</v>
      </c>
      <c r="IP49" s="246">
        <v>42.755768050195002</v>
      </c>
      <c r="IQ49" s="246">
        <v>36.998119999999005</v>
      </c>
      <c r="IR49" s="246">
        <v>37.521661208527</v>
      </c>
      <c r="IS49" s="246">
        <v>57.881169999999997</v>
      </c>
      <c r="IT49" s="246">
        <v>48.999998456618002</v>
      </c>
      <c r="IU49" s="246">
        <v>70.574000000000012</v>
      </c>
      <c r="IV49" s="243">
        <f t="shared" si="175"/>
        <v>84.688800000000015</v>
      </c>
      <c r="IW49" s="246">
        <v>57.881169999999997</v>
      </c>
      <c r="IX49" s="246">
        <v>115.14008199838301</v>
      </c>
      <c r="IY49" s="246">
        <v>72.491799999999998</v>
      </c>
      <c r="IZ49" s="246">
        <v>73.517593866834005</v>
      </c>
      <c r="JA49" s="246">
        <v>96.952190000000002</v>
      </c>
      <c r="JB49" s="246">
        <v>91.999997102222011</v>
      </c>
      <c r="JC49" s="246">
        <v>76.598119999999994</v>
      </c>
      <c r="JD49" s="243">
        <f t="shared" si="176"/>
        <v>91.917743999999999</v>
      </c>
      <c r="JE49" s="246">
        <v>92</v>
      </c>
      <c r="JF49" s="246">
        <v>90.928100019904008</v>
      </c>
      <c r="JG49" s="246">
        <v>83.022999999998007</v>
      </c>
      <c r="JH49" s="246">
        <v>132.19782295460502</v>
      </c>
      <c r="JI49" s="246">
        <v>151.37699999999998</v>
      </c>
      <c r="JJ49" s="246">
        <v>127.99999596831</v>
      </c>
      <c r="JK49" s="246">
        <v>94.397600000000011</v>
      </c>
      <c r="JL49" s="243">
        <f t="shared" si="177"/>
        <v>113.27712000000002</v>
      </c>
      <c r="JM49" s="246">
        <v>130</v>
      </c>
      <c r="JN49" s="246"/>
      <c r="JO49" s="246"/>
      <c r="JP49" s="246"/>
      <c r="JQ49" s="246"/>
      <c r="JR49" s="246"/>
      <c r="JS49" s="246"/>
      <c r="JT49" s="243">
        <f t="shared" si="178"/>
        <v>0</v>
      </c>
      <c r="JU49" s="246"/>
      <c r="JV49" s="246">
        <v>36.439993674787999</v>
      </c>
      <c r="JW49" s="246">
        <v>27.973800000000001</v>
      </c>
      <c r="JX49" s="246">
        <v>25.369643813187999</v>
      </c>
      <c r="JY49" s="246">
        <v>17.854600000000001</v>
      </c>
      <c r="JZ49" s="246">
        <v>27.633463169397999</v>
      </c>
      <c r="KA49" s="246">
        <v>18.482999999999997</v>
      </c>
      <c r="KB49" s="243">
        <f t="shared" si="179"/>
        <v>22.179599999999994</v>
      </c>
      <c r="KC49" s="246">
        <v>20</v>
      </c>
      <c r="KD49" s="246">
        <v>49.823317907875001</v>
      </c>
      <c r="KE49" s="246">
        <v>42.142129999999</v>
      </c>
      <c r="KF49" s="246">
        <v>41.738463580062003</v>
      </c>
      <c r="KG49" s="246">
        <v>45.486660000000001</v>
      </c>
      <c r="KH49" s="246">
        <v>41.999998677100997</v>
      </c>
      <c r="KI49" s="246">
        <v>34.892200000000003</v>
      </c>
      <c r="KJ49" s="243">
        <f t="shared" si="180"/>
        <v>41.870640000000009</v>
      </c>
      <c r="KK49" s="246">
        <v>45.486660000000001</v>
      </c>
      <c r="KL49" s="246"/>
      <c r="KM49" s="246"/>
      <c r="KN49" s="246"/>
      <c r="KO49" s="246"/>
      <c r="KP49" s="246"/>
      <c r="KQ49" s="246"/>
      <c r="KR49" s="243">
        <f t="shared" si="181"/>
        <v>0</v>
      </c>
      <c r="KS49" s="246"/>
      <c r="KT49" s="246">
        <v>25.895667933317</v>
      </c>
      <c r="KU49" s="246">
        <v>21.338000000000001</v>
      </c>
      <c r="KV49" s="246">
        <v>21.639942971901</v>
      </c>
      <c r="KW49" s="246">
        <v>25.065999999999995</v>
      </c>
      <c r="KX49" s="246">
        <v>25.999999181063</v>
      </c>
      <c r="KY49" s="246">
        <v>16.759999999999998</v>
      </c>
      <c r="KZ49" s="243">
        <f t="shared" si="182"/>
        <v>20.111999999999995</v>
      </c>
      <c r="LA49" s="246">
        <v>28</v>
      </c>
      <c r="LB49" s="246">
        <v>29.998470658214998</v>
      </c>
      <c r="LC49" s="246">
        <v>29.918500000000002</v>
      </c>
      <c r="LD49" s="246">
        <v>30.341861177468999</v>
      </c>
      <c r="LE49" s="246">
        <v>29.870000000000005</v>
      </c>
      <c r="LF49" s="246">
        <v>30.011999054694002</v>
      </c>
      <c r="LG49" s="246">
        <v>25.793330000000001</v>
      </c>
      <c r="LH49" s="243">
        <f t="shared" si="183"/>
        <v>30.951996000000001</v>
      </c>
      <c r="LI49" s="246">
        <v>29.870000000000005</v>
      </c>
      <c r="LJ49" s="246">
        <v>46.831566110576006</v>
      </c>
      <c r="LK49" s="246">
        <v>33.644000000000005</v>
      </c>
      <c r="LL49" s="246">
        <v>44.120079872767</v>
      </c>
      <c r="LM49" s="246">
        <v>40.187800000000003</v>
      </c>
      <c r="LN49" s="246">
        <v>33.999998929081002</v>
      </c>
      <c r="LO49" s="246">
        <v>42.457999999999998</v>
      </c>
      <c r="LP49" s="243">
        <f t="shared" si="184"/>
        <v>50.949600000000004</v>
      </c>
      <c r="LQ49" s="246">
        <v>50</v>
      </c>
      <c r="LR49" s="246"/>
      <c r="LS49" s="246"/>
      <c r="LT49" s="244">
        <f t="shared" si="185"/>
        <v>0</v>
      </c>
      <c r="LU49" s="246">
        <v>0</v>
      </c>
      <c r="LV49" s="246"/>
      <c r="LW49" s="246"/>
      <c r="LX49" s="246"/>
      <c r="LY49" s="246"/>
      <c r="LZ49" s="246"/>
      <c r="MA49" s="246"/>
      <c r="MB49" s="243">
        <f t="shared" si="186"/>
        <v>0</v>
      </c>
      <c r="MC49" s="246"/>
      <c r="MD49" s="246">
        <v>472.21374291213999</v>
      </c>
      <c r="ME49" s="246">
        <v>565.16054999999994</v>
      </c>
      <c r="MF49" s="246">
        <v>871.15781423100702</v>
      </c>
      <c r="MG49" s="246">
        <v>817.71064999999999</v>
      </c>
      <c r="MH49" s="246">
        <v>806.99997458145594</v>
      </c>
      <c r="MI49" s="246">
        <v>494.13558</v>
      </c>
      <c r="MJ49" s="243">
        <f t="shared" si="187"/>
        <v>592.96269600000005</v>
      </c>
      <c r="MK49" s="246">
        <v>810</v>
      </c>
      <c r="ML49" s="246">
        <v>171.43101283784401</v>
      </c>
      <c r="MM49" s="246">
        <v>190.005519999999</v>
      </c>
      <c r="MN49" s="246">
        <v>192.69418957477302</v>
      </c>
      <c r="MO49" s="246">
        <v>208.03110000000001</v>
      </c>
      <c r="MP49" s="246">
        <v>209.74150258043701</v>
      </c>
      <c r="MQ49" s="246">
        <v>179.91250000000008</v>
      </c>
      <c r="MR49" s="243">
        <f t="shared" si="188"/>
        <v>215.8950000000001</v>
      </c>
      <c r="MS49" s="271">
        <v>208.03110000000001</v>
      </c>
      <c r="MT49" s="246">
        <v>279.607662532495</v>
      </c>
      <c r="MU49" s="246">
        <v>267.90005999999698</v>
      </c>
      <c r="MV49" s="246">
        <v>271.690974813433</v>
      </c>
      <c r="MW49" s="246">
        <v>286.62047000000007</v>
      </c>
      <c r="MX49" s="246">
        <v>267.99999155864799</v>
      </c>
      <c r="MY49" s="246">
        <v>219.03241000000003</v>
      </c>
      <c r="MZ49" s="243">
        <f t="shared" si="189"/>
        <v>262.83889199999999</v>
      </c>
      <c r="NA49" s="246">
        <v>265</v>
      </c>
      <c r="NB49" s="246"/>
      <c r="NC49" s="246"/>
      <c r="ND49" s="243">
        <f t="shared" si="190"/>
        <v>0</v>
      </c>
      <c r="NE49" s="246">
        <v>0</v>
      </c>
      <c r="NF49" s="246">
        <v>0</v>
      </c>
      <c r="NG49" s="246">
        <v>1.4999999999999999E-2</v>
      </c>
      <c r="NH49" s="246">
        <v>1.5212257220000001E-2</v>
      </c>
      <c r="NI49" s="246">
        <v>0.14599999999999999</v>
      </c>
      <c r="NJ49" s="246">
        <v>0.145999995401</v>
      </c>
      <c r="NK49" s="246">
        <v>0.14199999999999999</v>
      </c>
      <c r="NL49" s="243">
        <f t="shared" si="191"/>
        <v>0.1704</v>
      </c>
      <c r="NM49" s="246">
        <v>0.14599999999999999</v>
      </c>
      <c r="NN49" s="246">
        <v>9.5012437837460002</v>
      </c>
      <c r="NO49" s="246">
        <v>10.939999999998999</v>
      </c>
      <c r="NP49" s="246">
        <v>11.094806266407</v>
      </c>
      <c r="NQ49" s="246">
        <v>10.222</v>
      </c>
      <c r="NR49" s="246">
        <v>10.999999653526</v>
      </c>
      <c r="NS49" s="246">
        <v>8.52</v>
      </c>
      <c r="NT49" s="243">
        <f t="shared" si="192"/>
        <v>10.224</v>
      </c>
      <c r="NU49" s="246">
        <v>11</v>
      </c>
      <c r="NV49" s="246">
        <v>21.186248803388001</v>
      </c>
      <c r="NW49" s="246">
        <v>15.00497</v>
      </c>
      <c r="NX49" s="246">
        <v>15.217297548743</v>
      </c>
      <c r="NY49" s="246">
        <v>14.1496</v>
      </c>
      <c r="NZ49" s="246">
        <v>18.999999559033</v>
      </c>
      <c r="OA49" s="246">
        <v>10.951000000000001</v>
      </c>
      <c r="OB49" s="243">
        <f t="shared" si="193"/>
        <v>13.1412</v>
      </c>
      <c r="OC49" s="246">
        <v>15.217297548743</v>
      </c>
      <c r="OD49" s="246">
        <v>150.60079872706399</v>
      </c>
      <c r="OE49" s="246">
        <v>164.51249999999999</v>
      </c>
      <c r="OF49" s="246">
        <v>166.84043106968701</v>
      </c>
      <c r="OG49" s="246">
        <v>168.75314</v>
      </c>
      <c r="OH49" s="246">
        <v>179.99999433043601</v>
      </c>
      <c r="OI49" s="246">
        <v>171.06611999999998</v>
      </c>
      <c r="OJ49" s="243">
        <f t="shared" si="194"/>
        <v>205.27934399999998</v>
      </c>
      <c r="OK49" s="246">
        <v>180</v>
      </c>
      <c r="OL49" s="246">
        <v>146.612286090694</v>
      </c>
      <c r="OM49" s="246">
        <v>150.18947999999904</v>
      </c>
      <c r="ON49" s="246">
        <v>161.31473667236301</v>
      </c>
      <c r="OO49" s="246">
        <v>211.08709999999999</v>
      </c>
      <c r="OP49" s="246">
        <v>199.99999370048198</v>
      </c>
      <c r="OQ49" s="246">
        <v>200.87233999999995</v>
      </c>
      <c r="OR49" s="243">
        <f t="shared" si="195"/>
        <v>241.04680799999994</v>
      </c>
      <c r="OS49" s="246">
        <v>202</v>
      </c>
      <c r="OT49" s="246"/>
      <c r="OU49" s="246"/>
      <c r="OV49" s="246">
        <v>0</v>
      </c>
      <c r="OW49" s="246">
        <v>0.50819999999999999</v>
      </c>
      <c r="OX49" s="246"/>
      <c r="OY49" s="246"/>
      <c r="OZ49" s="243">
        <f t="shared" si="196"/>
        <v>0</v>
      </c>
      <c r="PA49" s="247">
        <v>0</v>
      </c>
      <c r="PB49" s="246">
        <v>0</v>
      </c>
      <c r="PC49" s="246">
        <v>1.9979999999999998</v>
      </c>
      <c r="PD49" s="243">
        <f t="shared" si="197"/>
        <v>2.3975999999999997</v>
      </c>
      <c r="PE49" s="247"/>
      <c r="PF49" s="246">
        <v>0</v>
      </c>
      <c r="PG49" s="246">
        <v>48.679299999999003</v>
      </c>
      <c r="PH49" s="246">
        <v>0</v>
      </c>
      <c r="PI49" s="246">
        <v>60.152279999999998</v>
      </c>
      <c r="PJ49" s="246">
        <v>0</v>
      </c>
      <c r="PK49" s="246">
        <v>37.503169999999997</v>
      </c>
      <c r="PL49" s="243">
        <f t="shared" si="139"/>
        <v>45.003804000000002</v>
      </c>
      <c r="PM49" s="247"/>
      <c r="PN49" s="246">
        <v>-258.239388253931</v>
      </c>
      <c r="PO49" s="246">
        <v>0</v>
      </c>
      <c r="PP49" s="246">
        <v>-522.60959169721605</v>
      </c>
      <c r="PQ49" s="246">
        <v>0</v>
      </c>
      <c r="PR49" s="246">
        <v>-335.80021459227402</v>
      </c>
      <c r="PS49" s="246">
        <v>0</v>
      </c>
      <c r="PT49" s="243">
        <f t="shared" si="198"/>
        <v>0</v>
      </c>
      <c r="PU49" s="246"/>
      <c r="PV49" s="246">
        <v>0</v>
      </c>
      <c r="PW49" s="246">
        <v>0</v>
      </c>
      <c r="PX49" s="246">
        <v>0</v>
      </c>
      <c r="PY49" s="246">
        <v>0.25559999999999999</v>
      </c>
      <c r="PZ49" s="246">
        <v>0.25559999194900002</v>
      </c>
      <c r="QA49" s="246">
        <v>0</v>
      </c>
      <c r="QB49" s="243">
        <f t="shared" si="199"/>
        <v>0</v>
      </c>
      <c r="QC49" s="246">
        <v>0.25559999999999999</v>
      </c>
      <c r="QD49" s="246"/>
      <c r="QE49" s="246"/>
      <c r="QF49" s="246"/>
      <c r="QG49" s="246"/>
      <c r="QH49" s="246"/>
      <c r="QI49" s="246"/>
      <c r="QJ49" s="243">
        <f t="shared" si="200"/>
        <v>0</v>
      </c>
      <c r="QK49" s="246">
        <v>0</v>
      </c>
      <c r="QL49" s="246">
        <v>0</v>
      </c>
      <c r="QM49" s="246">
        <v>9.999778782798785E-13</v>
      </c>
      <c r="QN49" s="246">
        <v>0.71</v>
      </c>
      <c r="QO49" s="246">
        <v>0</v>
      </c>
      <c r="QP49" s="243">
        <f t="shared" si="201"/>
        <v>0</v>
      </c>
      <c r="QQ49" s="243">
        <f t="shared" si="140"/>
        <v>0</v>
      </c>
      <c r="QR49" s="246">
        <v>0</v>
      </c>
      <c r="QS49" s="246">
        <v>14.56</v>
      </c>
      <c r="QT49" s="246">
        <v>19.999999370047998</v>
      </c>
      <c r="QU49" s="246">
        <v>0</v>
      </c>
      <c r="QV49" s="243">
        <f t="shared" si="202"/>
        <v>0</v>
      </c>
      <c r="QW49" s="246">
        <v>20</v>
      </c>
      <c r="QX49" s="246">
        <v>0</v>
      </c>
      <c r="QY49" s="246">
        <v>26.000100000000003</v>
      </c>
      <c r="QZ49" s="246">
        <v>0</v>
      </c>
      <c r="RA49" s="246">
        <v>15.19556</v>
      </c>
      <c r="RB49" s="246">
        <v>30</v>
      </c>
      <c r="RC49" s="246">
        <v>14.2</v>
      </c>
      <c r="RD49" s="243">
        <f t="shared" si="203"/>
        <v>17.04</v>
      </c>
      <c r="RE49" s="300">
        <v>10</v>
      </c>
      <c r="RF49" s="259">
        <f t="shared" si="101"/>
        <v>6760.3797590571066</v>
      </c>
      <c r="RG49" s="259">
        <f t="shared" si="141"/>
        <v>5707.4390900000026</v>
      </c>
      <c r="RH49" s="259">
        <f t="shared" si="142"/>
        <v>6848.9269080000022</v>
      </c>
      <c r="RI49" s="256">
        <f t="shared" si="143"/>
        <v>7112.9186775487433</v>
      </c>
    </row>
    <row r="50" spans="1:477">
      <c r="A50" s="5" t="s">
        <v>107</v>
      </c>
      <c r="B50" s="263"/>
      <c r="C50" s="246"/>
      <c r="D50" s="246"/>
      <c r="E50" s="246"/>
      <c r="F50" s="246"/>
      <c r="G50" s="243"/>
      <c r="H50" s="243">
        <f t="shared" si="144"/>
        <v>0</v>
      </c>
      <c r="I50" s="246"/>
      <c r="J50" s="246"/>
      <c r="K50" s="246"/>
      <c r="L50" s="246"/>
      <c r="M50" s="246"/>
      <c r="N50" s="246"/>
      <c r="O50" s="246"/>
      <c r="P50" s="243">
        <f t="shared" si="145"/>
        <v>0</v>
      </c>
      <c r="Q50" s="246"/>
      <c r="R50" s="246"/>
      <c r="S50" s="246"/>
      <c r="T50" s="246"/>
      <c r="U50" s="246"/>
      <c r="V50" s="246"/>
      <c r="W50" s="247"/>
      <c r="X50" s="243">
        <f t="shared" si="146"/>
        <v>0</v>
      </c>
      <c r="Y50" s="246"/>
      <c r="Z50" s="246"/>
      <c r="AA50" s="246"/>
      <c r="AB50" s="246"/>
      <c r="AC50" s="246"/>
      <c r="AD50" s="246"/>
      <c r="AE50" s="246"/>
      <c r="AF50" s="243">
        <f t="shared" si="147"/>
        <v>0</v>
      </c>
      <c r="AG50" s="246"/>
      <c r="AH50" s="246"/>
      <c r="AI50" s="246"/>
      <c r="AJ50" s="246"/>
      <c r="AK50" s="246"/>
      <c r="AL50" s="246"/>
      <c r="AM50" s="246"/>
      <c r="AN50" s="243">
        <f t="shared" si="148"/>
        <v>0</v>
      </c>
      <c r="AO50" s="246"/>
      <c r="AP50" s="246"/>
      <c r="AQ50" s="246"/>
      <c r="AR50" s="246">
        <v>396</v>
      </c>
      <c r="AS50" s="246">
        <v>383.30354</v>
      </c>
      <c r="AT50" s="246">
        <v>335.999989416814</v>
      </c>
      <c r="AU50" s="246">
        <v>165.161</v>
      </c>
      <c r="AV50" s="243">
        <f t="shared" si="149"/>
        <v>198.19320000000002</v>
      </c>
      <c r="AW50" s="246">
        <v>300</v>
      </c>
      <c r="AX50" s="246"/>
      <c r="AY50" s="246"/>
      <c r="AZ50" s="246">
        <v>58</v>
      </c>
      <c r="BA50" s="246">
        <v>116.39972</v>
      </c>
      <c r="BB50" s="246">
        <v>139.99999559033901</v>
      </c>
      <c r="BC50" s="246">
        <v>96.197990000000004</v>
      </c>
      <c r="BD50" s="243">
        <f t="shared" si="150"/>
        <v>115.43758800000001</v>
      </c>
      <c r="BE50" s="246">
        <v>116.39972</v>
      </c>
      <c r="BF50" s="246"/>
      <c r="BG50" s="246"/>
      <c r="BH50" s="246"/>
      <c r="BI50" s="246"/>
      <c r="BJ50" s="246"/>
      <c r="BK50" s="246"/>
      <c r="BL50" s="243">
        <f t="shared" si="151"/>
        <v>0</v>
      </c>
      <c r="BM50" s="246"/>
      <c r="BN50" s="246"/>
      <c r="BO50" s="246"/>
      <c r="BP50" s="246"/>
      <c r="BQ50" s="246"/>
      <c r="BR50" s="246"/>
      <c r="BS50" s="246"/>
      <c r="BT50" s="243">
        <f t="shared" si="152"/>
        <v>0</v>
      </c>
      <c r="BU50" s="246"/>
      <c r="BV50" s="246"/>
      <c r="BW50" s="246"/>
      <c r="BX50" s="246">
        <v>0</v>
      </c>
      <c r="BY50" s="246">
        <v>19.399930000000001</v>
      </c>
      <c r="BZ50" s="246">
        <v>19.999999370047998</v>
      </c>
      <c r="CA50" s="246">
        <v>0</v>
      </c>
      <c r="CB50" s="243">
        <f t="shared" si="153"/>
        <v>0</v>
      </c>
      <c r="CC50" s="246">
        <v>20</v>
      </c>
      <c r="CD50" s="246"/>
      <c r="CE50" s="246"/>
      <c r="CF50" s="246"/>
      <c r="CG50" s="246"/>
      <c r="CH50" s="246"/>
      <c r="CI50" s="246"/>
      <c r="CJ50" s="243">
        <f t="shared" si="154"/>
        <v>0</v>
      </c>
      <c r="CK50" s="246"/>
      <c r="CL50" s="246"/>
      <c r="CM50" s="246"/>
      <c r="CN50" s="246"/>
      <c r="CO50" s="246"/>
      <c r="CP50" s="246"/>
      <c r="CQ50" s="246"/>
      <c r="CR50" s="243">
        <f t="shared" si="155"/>
        <v>0</v>
      </c>
      <c r="CS50" s="246"/>
      <c r="CT50" s="246"/>
      <c r="CU50" s="246"/>
      <c r="CV50" s="246"/>
      <c r="CW50" s="246"/>
      <c r="CX50" s="246"/>
      <c r="CY50" s="246"/>
      <c r="CZ50" s="243">
        <f t="shared" si="156"/>
        <v>0</v>
      </c>
      <c r="DA50" s="246"/>
      <c r="DB50" s="246"/>
      <c r="DC50" s="246"/>
      <c r="DD50" s="246"/>
      <c r="DE50" s="246"/>
      <c r="DF50" s="246"/>
      <c r="DG50" s="246"/>
      <c r="DH50" s="243">
        <f t="shared" si="157"/>
        <v>0</v>
      </c>
      <c r="DI50" s="246"/>
      <c r="DJ50" s="246"/>
      <c r="DK50" s="246"/>
      <c r="DL50" s="246"/>
      <c r="DM50" s="246"/>
      <c r="DN50" s="246"/>
      <c r="DO50" s="246"/>
      <c r="DP50" s="243">
        <f t="shared" si="158"/>
        <v>0</v>
      </c>
      <c r="DQ50" s="246"/>
      <c r="DR50" s="246"/>
      <c r="DS50" s="246"/>
      <c r="DT50" s="246"/>
      <c r="DU50" s="246"/>
      <c r="DV50" s="246"/>
      <c r="DW50" s="246"/>
      <c r="DX50" s="243">
        <f t="shared" si="159"/>
        <v>0</v>
      </c>
      <c r="DY50" s="246"/>
      <c r="DZ50" s="246"/>
      <c r="EA50" s="246"/>
      <c r="EB50" s="246"/>
      <c r="EC50" s="246"/>
      <c r="ED50" s="246"/>
      <c r="EE50" s="246"/>
      <c r="EF50" s="243">
        <f t="shared" si="160"/>
        <v>0</v>
      </c>
      <c r="EG50" s="246"/>
      <c r="EH50" s="246"/>
      <c r="EI50" s="246"/>
      <c r="EJ50" s="246"/>
      <c r="EK50" s="246"/>
      <c r="EL50" s="246"/>
      <c r="EM50" s="246"/>
      <c r="EN50" s="243">
        <f t="shared" si="161"/>
        <v>0</v>
      </c>
      <c r="EO50" s="246"/>
      <c r="EP50" s="246"/>
      <c r="EQ50" s="246"/>
      <c r="ER50" s="246"/>
      <c r="ES50" s="246"/>
      <c r="ET50" s="246"/>
      <c r="EU50" s="246"/>
      <c r="EV50" s="243">
        <f t="shared" si="162"/>
        <v>0</v>
      </c>
      <c r="EW50" s="246"/>
      <c r="EX50" s="246"/>
      <c r="EY50" s="246"/>
      <c r="EZ50" s="246"/>
      <c r="FA50" s="246"/>
      <c r="FB50" s="246"/>
      <c r="FC50" s="246"/>
      <c r="FD50" s="243">
        <f t="shared" si="163"/>
        <v>0</v>
      </c>
      <c r="FE50" s="246"/>
      <c r="FF50" s="246"/>
      <c r="FG50" s="246"/>
      <c r="FH50" s="246"/>
      <c r="FI50" s="246"/>
      <c r="FJ50" s="246"/>
      <c r="FK50" s="246"/>
      <c r="FL50" s="243">
        <f t="shared" si="164"/>
        <v>0</v>
      </c>
      <c r="FM50" s="246"/>
      <c r="FN50" s="246"/>
      <c r="FO50" s="246"/>
      <c r="FP50" s="246"/>
      <c r="FQ50" s="246"/>
      <c r="FR50" s="246"/>
      <c r="FS50" s="246"/>
      <c r="FT50" s="243">
        <f t="shared" si="165"/>
        <v>0</v>
      </c>
      <c r="FU50" s="246"/>
      <c r="FV50" s="246"/>
      <c r="FW50" s="246"/>
      <c r="FX50" s="246"/>
      <c r="FY50" s="246"/>
      <c r="FZ50" s="246"/>
      <c r="GA50" s="246"/>
      <c r="GB50" s="243">
        <f t="shared" si="166"/>
        <v>0</v>
      </c>
      <c r="GC50" s="246"/>
      <c r="GD50" s="246"/>
      <c r="GE50" s="246"/>
      <c r="GF50" s="246"/>
      <c r="GG50" s="246"/>
      <c r="GH50" s="246"/>
      <c r="GI50" s="246"/>
      <c r="GJ50" s="243">
        <f t="shared" si="167"/>
        <v>0</v>
      </c>
      <c r="GK50" s="246"/>
      <c r="GL50" s="246"/>
      <c r="GM50" s="246"/>
      <c r="GN50" s="246"/>
      <c r="GO50" s="246"/>
      <c r="GP50" s="246"/>
      <c r="GQ50" s="246"/>
      <c r="GR50" s="243">
        <f t="shared" si="168"/>
        <v>0</v>
      </c>
      <c r="GS50" s="246"/>
      <c r="GT50" s="246"/>
      <c r="GU50" s="246"/>
      <c r="GV50" s="246"/>
      <c r="GW50" s="246"/>
      <c r="GX50" s="246"/>
      <c r="GY50" s="246"/>
      <c r="GZ50" s="243">
        <f t="shared" si="169"/>
        <v>0</v>
      </c>
      <c r="HA50" s="246"/>
      <c r="HB50" s="246"/>
      <c r="HC50" s="246"/>
      <c r="HD50" s="246"/>
      <c r="HE50" s="246"/>
      <c r="HF50" s="246"/>
      <c r="HG50" s="246"/>
      <c r="HH50" s="243">
        <f t="shared" si="170"/>
        <v>0</v>
      </c>
      <c r="HI50" s="246"/>
      <c r="HJ50" s="246"/>
      <c r="HK50" s="246"/>
      <c r="HL50" s="246"/>
      <c r="HM50" s="246"/>
      <c r="HN50" s="246"/>
      <c r="HO50" s="246"/>
      <c r="HP50" s="243">
        <f t="shared" si="171"/>
        <v>0</v>
      </c>
      <c r="HQ50" s="246"/>
      <c r="HR50" s="246"/>
      <c r="HS50" s="246"/>
      <c r="HT50" s="246"/>
      <c r="HU50" s="246"/>
      <c r="HV50" s="246"/>
      <c r="HW50" s="246"/>
      <c r="HX50" s="243">
        <f t="shared" si="172"/>
        <v>0</v>
      </c>
      <c r="HY50" s="246"/>
      <c r="HZ50" s="246"/>
      <c r="IA50" s="246"/>
      <c r="IB50" s="246"/>
      <c r="IC50" s="246"/>
      <c r="ID50" s="246"/>
      <c r="IE50" s="246"/>
      <c r="IF50" s="243">
        <f t="shared" si="173"/>
        <v>0</v>
      </c>
      <c r="IG50" s="246"/>
      <c r="IH50" s="246"/>
      <c r="II50" s="246"/>
      <c r="IJ50" s="246"/>
      <c r="IK50" s="246"/>
      <c r="IL50" s="246"/>
      <c r="IM50" s="246"/>
      <c r="IN50" s="243">
        <f t="shared" si="174"/>
        <v>0</v>
      </c>
      <c r="IO50" s="246"/>
      <c r="IP50" s="246"/>
      <c r="IQ50" s="246"/>
      <c r="IR50" s="246"/>
      <c r="IS50" s="246"/>
      <c r="IT50" s="246"/>
      <c r="IU50" s="246"/>
      <c r="IV50" s="243">
        <f t="shared" si="175"/>
        <v>0</v>
      </c>
      <c r="IW50" s="246"/>
      <c r="IX50" s="246"/>
      <c r="IY50" s="246"/>
      <c r="IZ50" s="246"/>
      <c r="JA50" s="246"/>
      <c r="JB50" s="246"/>
      <c r="JC50" s="246"/>
      <c r="JD50" s="243">
        <f t="shared" si="176"/>
        <v>0</v>
      </c>
      <c r="JE50" s="246"/>
      <c r="JF50" s="246"/>
      <c r="JG50" s="246"/>
      <c r="JH50" s="246"/>
      <c r="JI50" s="246"/>
      <c r="JJ50" s="246"/>
      <c r="JK50" s="246"/>
      <c r="JL50" s="243">
        <f t="shared" si="177"/>
        <v>0</v>
      </c>
      <c r="JM50" s="246"/>
      <c r="JN50" s="246"/>
      <c r="JO50" s="246"/>
      <c r="JP50" s="246"/>
      <c r="JQ50" s="246"/>
      <c r="JR50" s="246"/>
      <c r="JS50" s="246"/>
      <c r="JT50" s="243">
        <f t="shared" si="178"/>
        <v>0</v>
      </c>
      <c r="JU50" s="246"/>
      <c r="JV50" s="246"/>
      <c r="JW50" s="246"/>
      <c r="JX50" s="246"/>
      <c r="JY50" s="246"/>
      <c r="JZ50" s="246"/>
      <c r="KA50" s="246"/>
      <c r="KB50" s="243">
        <f t="shared" si="179"/>
        <v>0</v>
      </c>
      <c r="KC50" s="246"/>
      <c r="KD50" s="246"/>
      <c r="KE50" s="246"/>
      <c r="KF50" s="246"/>
      <c r="KG50" s="246"/>
      <c r="KH50" s="246"/>
      <c r="KI50" s="246"/>
      <c r="KJ50" s="243">
        <f t="shared" si="180"/>
        <v>0</v>
      </c>
      <c r="KK50" s="246"/>
      <c r="KL50" s="246"/>
      <c r="KM50" s="246"/>
      <c r="KN50" s="246"/>
      <c r="KO50" s="246"/>
      <c r="KP50" s="246"/>
      <c r="KQ50" s="246"/>
      <c r="KR50" s="243">
        <f t="shared" si="181"/>
        <v>0</v>
      </c>
      <c r="KS50" s="246"/>
      <c r="KT50" s="246"/>
      <c r="KU50" s="246"/>
      <c r="KV50" s="246"/>
      <c r="KW50" s="246"/>
      <c r="KX50" s="246"/>
      <c r="KY50" s="246"/>
      <c r="KZ50" s="243">
        <f t="shared" si="182"/>
        <v>0</v>
      </c>
      <c r="LA50" s="246"/>
      <c r="LB50" s="246"/>
      <c r="LC50" s="246"/>
      <c r="LD50" s="246"/>
      <c r="LE50" s="246"/>
      <c r="LF50" s="246"/>
      <c r="LG50" s="246"/>
      <c r="LH50" s="243">
        <f t="shared" si="183"/>
        <v>0</v>
      </c>
      <c r="LI50" s="246"/>
      <c r="LJ50" s="246"/>
      <c r="LK50" s="246"/>
      <c r="LL50" s="246"/>
      <c r="LM50" s="246"/>
      <c r="LN50" s="246"/>
      <c r="LO50" s="246"/>
      <c r="LP50" s="243">
        <f t="shared" si="184"/>
        <v>0</v>
      </c>
      <c r="LQ50" s="246"/>
      <c r="LR50" s="246"/>
      <c r="LS50" s="246"/>
      <c r="LT50" s="244">
        <f t="shared" si="185"/>
        <v>0</v>
      </c>
      <c r="LU50" s="246">
        <v>0</v>
      </c>
      <c r="LV50" s="246"/>
      <c r="LW50" s="246"/>
      <c r="LX50" s="246"/>
      <c r="LY50" s="246"/>
      <c r="LZ50" s="246"/>
      <c r="MA50" s="246"/>
      <c r="MB50" s="243">
        <f t="shared" si="186"/>
        <v>0</v>
      </c>
      <c r="MC50" s="246"/>
      <c r="MD50" s="246"/>
      <c r="ME50" s="246"/>
      <c r="MF50" s="246"/>
      <c r="MG50" s="246"/>
      <c r="MH50" s="246"/>
      <c r="MI50" s="246"/>
      <c r="MJ50" s="243">
        <f t="shared" si="187"/>
        <v>0</v>
      </c>
      <c r="MK50" s="246"/>
      <c r="ML50" s="246"/>
      <c r="MM50" s="246"/>
      <c r="MN50" s="246"/>
      <c r="MO50" s="246"/>
      <c r="MP50" s="246"/>
      <c r="MQ50" s="246"/>
      <c r="MR50" s="243">
        <f t="shared" si="188"/>
        <v>0</v>
      </c>
      <c r="MS50" s="271"/>
      <c r="MT50" s="246"/>
      <c r="MU50" s="246"/>
      <c r="MV50" s="246"/>
      <c r="MW50" s="246"/>
      <c r="MX50" s="246"/>
      <c r="MY50" s="246"/>
      <c r="MZ50" s="243">
        <f t="shared" si="189"/>
        <v>0</v>
      </c>
      <c r="NA50" s="246"/>
      <c r="NB50" s="246"/>
      <c r="NC50" s="246"/>
      <c r="ND50" s="243">
        <f t="shared" si="190"/>
        <v>0</v>
      </c>
      <c r="NE50" s="246">
        <v>0</v>
      </c>
      <c r="NF50" s="246"/>
      <c r="NG50" s="246"/>
      <c r="NH50" s="246"/>
      <c r="NI50" s="246"/>
      <c r="NJ50" s="246"/>
      <c r="NK50" s="246"/>
      <c r="NL50" s="243">
        <f t="shared" si="191"/>
        <v>0</v>
      </c>
      <c r="NM50" s="246"/>
      <c r="NN50" s="246"/>
      <c r="NO50" s="246"/>
      <c r="NP50" s="246"/>
      <c r="NQ50" s="246"/>
      <c r="NR50" s="246"/>
      <c r="NS50" s="246"/>
      <c r="NT50" s="243">
        <f t="shared" si="192"/>
        <v>0</v>
      </c>
      <c r="NU50" s="246"/>
      <c r="NV50" s="246"/>
      <c r="NW50" s="246"/>
      <c r="NX50" s="246"/>
      <c r="NY50" s="246"/>
      <c r="NZ50" s="246"/>
      <c r="OA50" s="246"/>
      <c r="OB50" s="243">
        <f t="shared" si="193"/>
        <v>0</v>
      </c>
      <c r="OC50" s="246"/>
      <c r="OD50" s="246"/>
      <c r="OE50" s="246"/>
      <c r="OF50" s="246"/>
      <c r="OG50" s="246"/>
      <c r="OH50" s="246"/>
      <c r="OI50" s="246"/>
      <c r="OJ50" s="243">
        <f t="shared" si="194"/>
        <v>0</v>
      </c>
      <c r="OK50" s="246"/>
      <c r="OL50" s="246"/>
      <c r="OM50" s="246"/>
      <c r="ON50" s="246"/>
      <c r="OO50" s="246"/>
      <c r="OP50" s="246"/>
      <c r="OQ50" s="246"/>
      <c r="OR50" s="243">
        <f t="shared" si="195"/>
        <v>0</v>
      </c>
      <c r="OS50" s="246"/>
      <c r="OT50" s="246"/>
      <c r="OU50" s="246"/>
      <c r="OV50" s="246"/>
      <c r="OW50" s="246"/>
      <c r="OX50" s="246"/>
      <c r="OY50" s="246"/>
      <c r="OZ50" s="243">
        <f t="shared" si="196"/>
        <v>0</v>
      </c>
      <c r="PA50" s="247"/>
      <c r="PB50" s="246"/>
      <c r="PC50" s="246"/>
      <c r="PD50" s="243">
        <f t="shared" si="197"/>
        <v>0</v>
      </c>
      <c r="PE50" s="247"/>
      <c r="PF50" s="246"/>
      <c r="PG50" s="246"/>
      <c r="PH50" s="246"/>
      <c r="PI50" s="246"/>
      <c r="PJ50" s="246"/>
      <c r="PK50" s="246"/>
      <c r="PL50" s="243">
        <f t="shared" si="139"/>
        <v>0</v>
      </c>
      <c r="PM50" s="247"/>
      <c r="PN50" s="246"/>
      <c r="PO50" s="246"/>
      <c r="PP50" s="246">
        <v>-454</v>
      </c>
      <c r="PQ50" s="246">
        <v>0</v>
      </c>
      <c r="PR50" s="246"/>
      <c r="PS50" s="246"/>
      <c r="PT50" s="243">
        <f t="shared" si="198"/>
        <v>0</v>
      </c>
      <c r="PU50" s="246"/>
      <c r="PV50" s="246"/>
      <c r="PW50" s="246"/>
      <c r="PX50" s="246"/>
      <c r="PY50" s="246"/>
      <c r="PZ50" s="246"/>
      <c r="QA50" s="246"/>
      <c r="QB50" s="243">
        <f t="shared" si="199"/>
        <v>0</v>
      </c>
      <c r="QC50" s="246"/>
      <c r="QD50" s="246"/>
      <c r="QE50" s="246"/>
      <c r="QF50" s="246"/>
      <c r="QG50" s="246"/>
      <c r="QH50" s="246"/>
      <c r="QI50" s="246"/>
      <c r="QJ50" s="243">
        <f t="shared" si="200"/>
        <v>0</v>
      </c>
      <c r="QK50" s="246">
        <v>0</v>
      </c>
      <c r="QL50" s="246"/>
      <c r="QM50" s="246"/>
      <c r="QN50" s="246"/>
      <c r="QO50" s="246"/>
      <c r="QP50" s="243">
        <f t="shared" si="201"/>
        <v>0</v>
      </c>
      <c r="QQ50" s="243">
        <f t="shared" si="140"/>
        <v>0</v>
      </c>
      <c r="QR50" s="246"/>
      <c r="QS50" s="246"/>
      <c r="QT50" s="246"/>
      <c r="QU50" s="246"/>
      <c r="QV50" s="243">
        <f t="shared" si="202"/>
        <v>0</v>
      </c>
      <c r="QW50" s="246"/>
      <c r="QX50" s="246"/>
      <c r="QY50" s="246"/>
      <c r="QZ50" s="246"/>
      <c r="RA50" s="246"/>
      <c r="RB50" s="246"/>
      <c r="RC50" s="246"/>
      <c r="RD50" s="243">
        <f t="shared" si="203"/>
        <v>0</v>
      </c>
      <c r="RE50" s="300"/>
      <c r="RF50" s="259">
        <f t="shared" si="101"/>
        <v>495.99998437720103</v>
      </c>
      <c r="RG50" s="259">
        <f t="shared" si="141"/>
        <v>261.35899000000001</v>
      </c>
      <c r="RH50" s="259">
        <f t="shared" si="142"/>
        <v>313.63078800000005</v>
      </c>
      <c r="RI50" s="256">
        <f t="shared" si="143"/>
        <v>436.39972</v>
      </c>
    </row>
    <row r="51" spans="1:477">
      <c r="A51" s="5" t="s">
        <v>109</v>
      </c>
      <c r="B51" s="263"/>
      <c r="C51" s="246"/>
      <c r="D51" s="246"/>
      <c r="E51" s="246"/>
      <c r="F51" s="246"/>
      <c r="G51" s="243"/>
      <c r="H51" s="243">
        <f t="shared" si="144"/>
        <v>0</v>
      </c>
      <c r="I51" s="246"/>
      <c r="J51" s="246"/>
      <c r="K51" s="246"/>
      <c r="L51" s="246"/>
      <c r="M51" s="246"/>
      <c r="N51" s="246"/>
      <c r="O51" s="246"/>
      <c r="P51" s="243">
        <f t="shared" si="145"/>
        <v>0</v>
      </c>
      <c r="Q51" s="246"/>
      <c r="R51" s="246"/>
      <c r="S51" s="246"/>
      <c r="T51" s="246"/>
      <c r="U51" s="246"/>
      <c r="V51" s="246"/>
      <c r="W51" s="247"/>
      <c r="X51" s="243">
        <f t="shared" si="146"/>
        <v>0</v>
      </c>
      <c r="Y51" s="246"/>
      <c r="Z51" s="246"/>
      <c r="AA51" s="246"/>
      <c r="AB51" s="246"/>
      <c r="AC51" s="246"/>
      <c r="AD51" s="246"/>
      <c r="AE51" s="246"/>
      <c r="AF51" s="243">
        <f t="shared" si="147"/>
        <v>0</v>
      </c>
      <c r="AG51" s="246"/>
      <c r="AH51" s="246"/>
      <c r="AI51" s="246"/>
      <c r="AJ51" s="246"/>
      <c r="AK51" s="246"/>
      <c r="AL51" s="246"/>
      <c r="AM51" s="246"/>
      <c r="AN51" s="243">
        <f t="shared" si="148"/>
        <v>0</v>
      </c>
      <c r="AO51" s="246"/>
      <c r="AP51" s="246"/>
      <c r="AQ51" s="246"/>
      <c r="AR51" s="246"/>
      <c r="AS51" s="246"/>
      <c r="AT51" s="246"/>
      <c r="AU51" s="246"/>
      <c r="AV51" s="243">
        <f t="shared" si="149"/>
        <v>0</v>
      </c>
      <c r="AW51" s="246"/>
      <c r="AX51" s="246"/>
      <c r="AY51" s="246"/>
      <c r="AZ51" s="246"/>
      <c r="BA51" s="246"/>
      <c r="BB51" s="246"/>
      <c r="BC51" s="246"/>
      <c r="BD51" s="243">
        <f t="shared" si="150"/>
        <v>0</v>
      </c>
      <c r="BE51" s="246"/>
      <c r="BF51" s="246"/>
      <c r="BG51" s="246"/>
      <c r="BH51" s="246"/>
      <c r="BI51" s="246"/>
      <c r="BJ51" s="246"/>
      <c r="BK51" s="246"/>
      <c r="BL51" s="243">
        <f t="shared" si="151"/>
        <v>0</v>
      </c>
      <c r="BM51" s="246"/>
      <c r="BN51" s="246"/>
      <c r="BO51" s="246"/>
      <c r="BP51" s="246"/>
      <c r="BQ51" s="246"/>
      <c r="BR51" s="246"/>
      <c r="BS51" s="246"/>
      <c r="BT51" s="243">
        <f t="shared" si="152"/>
        <v>0</v>
      </c>
      <c r="BU51" s="246"/>
      <c r="BV51" s="246"/>
      <c r="BW51" s="246"/>
      <c r="BX51" s="246"/>
      <c r="BY51" s="246"/>
      <c r="BZ51" s="246">
        <v>15.999999496038001</v>
      </c>
      <c r="CA51" s="246">
        <v>18.216279999999998</v>
      </c>
      <c r="CB51" s="243">
        <f t="shared" si="153"/>
        <v>21.859535999999999</v>
      </c>
      <c r="CC51" s="246">
        <v>30</v>
      </c>
      <c r="CD51" s="246"/>
      <c r="CE51" s="246"/>
      <c r="CF51" s="246"/>
      <c r="CG51" s="246"/>
      <c r="CH51" s="246"/>
      <c r="CI51" s="246"/>
      <c r="CJ51" s="243">
        <f t="shared" si="154"/>
        <v>0</v>
      </c>
      <c r="CK51" s="246"/>
      <c r="CL51" s="246"/>
      <c r="CM51" s="246"/>
      <c r="CN51" s="246"/>
      <c r="CO51" s="246"/>
      <c r="CP51" s="246"/>
      <c r="CQ51" s="246"/>
      <c r="CR51" s="243">
        <f t="shared" si="155"/>
        <v>0</v>
      </c>
      <c r="CS51" s="246"/>
      <c r="CT51" s="246"/>
      <c r="CU51" s="246"/>
      <c r="CV51" s="246"/>
      <c r="CW51" s="246"/>
      <c r="CX51" s="246"/>
      <c r="CY51" s="246"/>
      <c r="CZ51" s="243">
        <f t="shared" si="156"/>
        <v>0</v>
      </c>
      <c r="DA51" s="246"/>
      <c r="DB51" s="246"/>
      <c r="DC51" s="246"/>
      <c r="DD51" s="246"/>
      <c r="DE51" s="246"/>
      <c r="DF51" s="246"/>
      <c r="DG51" s="246"/>
      <c r="DH51" s="243">
        <f t="shared" si="157"/>
        <v>0</v>
      </c>
      <c r="DI51" s="246"/>
      <c r="DJ51" s="246"/>
      <c r="DK51" s="246"/>
      <c r="DL51" s="246"/>
      <c r="DM51" s="246"/>
      <c r="DN51" s="246"/>
      <c r="DO51" s="246"/>
      <c r="DP51" s="243">
        <f t="shared" si="158"/>
        <v>0</v>
      </c>
      <c r="DQ51" s="246"/>
      <c r="DR51" s="246"/>
      <c r="DS51" s="246"/>
      <c r="DT51" s="246"/>
      <c r="DU51" s="246"/>
      <c r="DV51" s="246"/>
      <c r="DW51" s="246"/>
      <c r="DX51" s="243">
        <f t="shared" si="159"/>
        <v>0</v>
      </c>
      <c r="DY51" s="246"/>
      <c r="DZ51" s="246"/>
      <c r="EA51" s="246"/>
      <c r="EB51" s="246"/>
      <c r="EC51" s="246"/>
      <c r="ED51" s="246"/>
      <c r="EE51" s="246"/>
      <c r="EF51" s="243">
        <f t="shared" si="160"/>
        <v>0</v>
      </c>
      <c r="EG51" s="246"/>
      <c r="EH51" s="246"/>
      <c r="EI51" s="246"/>
      <c r="EJ51" s="246"/>
      <c r="EK51" s="246"/>
      <c r="EL51" s="246"/>
      <c r="EM51" s="246"/>
      <c r="EN51" s="243">
        <f t="shared" si="161"/>
        <v>0</v>
      </c>
      <c r="EO51" s="246"/>
      <c r="EP51" s="246"/>
      <c r="EQ51" s="246"/>
      <c r="ER51" s="246"/>
      <c r="ES51" s="246"/>
      <c r="ET51" s="246"/>
      <c r="EU51" s="246"/>
      <c r="EV51" s="243">
        <f t="shared" si="162"/>
        <v>0</v>
      </c>
      <c r="EW51" s="246"/>
      <c r="EX51" s="246"/>
      <c r="EY51" s="246"/>
      <c r="EZ51" s="246"/>
      <c r="FA51" s="246"/>
      <c r="FB51" s="246"/>
      <c r="FC51" s="246"/>
      <c r="FD51" s="243">
        <f t="shared" si="163"/>
        <v>0</v>
      </c>
      <c r="FE51" s="246"/>
      <c r="FF51" s="246"/>
      <c r="FG51" s="246"/>
      <c r="FH51" s="246"/>
      <c r="FI51" s="246"/>
      <c r="FJ51" s="246">
        <v>401.99999303903496</v>
      </c>
      <c r="FK51" s="246">
        <v>369.81634000000003</v>
      </c>
      <c r="FL51" s="243">
        <f t="shared" si="164"/>
        <v>443.779608</v>
      </c>
      <c r="FM51" s="246">
        <v>410</v>
      </c>
      <c r="FN51" s="246"/>
      <c r="FO51" s="246"/>
      <c r="FP51" s="246"/>
      <c r="FQ51" s="246"/>
      <c r="FR51" s="246"/>
      <c r="FS51" s="246"/>
      <c r="FT51" s="243">
        <f t="shared" si="165"/>
        <v>0</v>
      </c>
      <c r="FU51" s="246"/>
      <c r="FV51" s="246"/>
      <c r="FW51" s="246"/>
      <c r="FX51" s="246"/>
      <c r="FY51" s="246"/>
      <c r="FZ51" s="246"/>
      <c r="GA51" s="246"/>
      <c r="GB51" s="243">
        <f t="shared" si="166"/>
        <v>0</v>
      </c>
      <c r="GC51" s="246"/>
      <c r="GD51" s="246"/>
      <c r="GE51" s="246"/>
      <c r="GF51" s="246"/>
      <c r="GG51" s="246"/>
      <c r="GH51" s="246"/>
      <c r="GI51" s="246"/>
      <c r="GJ51" s="243">
        <f t="shared" si="167"/>
        <v>0</v>
      </c>
      <c r="GK51" s="246"/>
      <c r="GL51" s="246"/>
      <c r="GM51" s="246"/>
      <c r="GN51" s="246"/>
      <c r="GO51" s="246"/>
      <c r="GP51" s="246"/>
      <c r="GQ51" s="246"/>
      <c r="GR51" s="243">
        <f t="shared" si="168"/>
        <v>0</v>
      </c>
      <c r="GS51" s="246"/>
      <c r="GT51" s="246"/>
      <c r="GU51" s="246"/>
      <c r="GV51" s="246"/>
      <c r="GW51" s="246"/>
      <c r="GX51" s="246"/>
      <c r="GY51" s="246"/>
      <c r="GZ51" s="243">
        <f t="shared" si="169"/>
        <v>0</v>
      </c>
      <c r="HA51" s="246"/>
      <c r="HB51" s="246"/>
      <c r="HC51" s="246"/>
      <c r="HD51" s="246"/>
      <c r="HE51" s="246"/>
      <c r="HF51" s="246"/>
      <c r="HG51" s="246"/>
      <c r="HH51" s="243">
        <f t="shared" si="170"/>
        <v>0</v>
      </c>
      <c r="HI51" s="246"/>
      <c r="HJ51" s="246"/>
      <c r="HK51" s="246"/>
      <c r="HL51" s="246"/>
      <c r="HM51" s="246"/>
      <c r="HN51" s="246"/>
      <c r="HO51" s="246"/>
      <c r="HP51" s="243">
        <f t="shared" si="171"/>
        <v>0</v>
      </c>
      <c r="HQ51" s="246"/>
      <c r="HR51" s="246"/>
      <c r="HS51" s="246"/>
      <c r="HT51" s="246"/>
      <c r="HU51" s="246"/>
      <c r="HV51" s="246"/>
      <c r="HW51" s="246"/>
      <c r="HX51" s="243">
        <f t="shared" si="172"/>
        <v>0</v>
      </c>
      <c r="HY51" s="246"/>
      <c r="HZ51" s="246"/>
      <c r="IA51" s="246"/>
      <c r="IB51" s="246"/>
      <c r="IC51" s="246"/>
      <c r="ID51" s="246"/>
      <c r="IE51" s="246"/>
      <c r="IF51" s="243">
        <f t="shared" si="173"/>
        <v>0</v>
      </c>
      <c r="IG51" s="246"/>
      <c r="IH51" s="246"/>
      <c r="II51" s="246"/>
      <c r="IJ51" s="246"/>
      <c r="IK51" s="246"/>
      <c r="IL51" s="246"/>
      <c r="IM51" s="246"/>
      <c r="IN51" s="243">
        <f t="shared" si="174"/>
        <v>0</v>
      </c>
      <c r="IO51" s="246"/>
      <c r="IP51" s="246"/>
      <c r="IQ51" s="246"/>
      <c r="IR51" s="246"/>
      <c r="IS51" s="246"/>
      <c r="IT51" s="246"/>
      <c r="IU51" s="246"/>
      <c r="IV51" s="243">
        <f t="shared" si="175"/>
        <v>0</v>
      </c>
      <c r="IW51" s="246"/>
      <c r="IX51" s="246"/>
      <c r="IY51" s="246"/>
      <c r="IZ51" s="246"/>
      <c r="JA51" s="246"/>
      <c r="JB51" s="246">
        <v>19.999999370047998</v>
      </c>
      <c r="JC51" s="246">
        <v>0</v>
      </c>
      <c r="JD51" s="243">
        <f t="shared" si="176"/>
        <v>0</v>
      </c>
      <c r="JE51" s="246"/>
      <c r="JF51" s="246"/>
      <c r="JG51" s="246"/>
      <c r="JH51" s="246"/>
      <c r="JI51" s="246"/>
      <c r="JJ51" s="246"/>
      <c r="JK51" s="246"/>
      <c r="JL51" s="243">
        <f t="shared" si="177"/>
        <v>0</v>
      </c>
      <c r="JM51" s="246"/>
      <c r="JN51" s="246"/>
      <c r="JO51" s="246"/>
      <c r="JP51" s="246"/>
      <c r="JQ51" s="246"/>
      <c r="JR51" s="246"/>
      <c r="JS51" s="246"/>
      <c r="JT51" s="243">
        <f t="shared" si="178"/>
        <v>0</v>
      </c>
      <c r="JU51" s="246"/>
      <c r="JV51" s="246"/>
      <c r="JW51" s="246"/>
      <c r="JX51" s="246"/>
      <c r="JY51" s="246"/>
      <c r="JZ51" s="246"/>
      <c r="KA51" s="246"/>
      <c r="KB51" s="243">
        <f t="shared" si="179"/>
        <v>0</v>
      </c>
      <c r="KC51" s="246"/>
      <c r="KD51" s="246"/>
      <c r="KE51" s="246"/>
      <c r="KF51" s="246"/>
      <c r="KG51" s="246"/>
      <c r="KH51" s="246"/>
      <c r="KI51" s="246"/>
      <c r="KJ51" s="243">
        <f t="shared" si="180"/>
        <v>0</v>
      </c>
      <c r="KK51" s="246"/>
      <c r="KL51" s="246"/>
      <c r="KM51" s="246"/>
      <c r="KN51" s="246"/>
      <c r="KO51" s="246"/>
      <c r="KP51" s="246"/>
      <c r="KQ51" s="246"/>
      <c r="KR51" s="243">
        <f t="shared" si="181"/>
        <v>0</v>
      </c>
      <c r="KS51" s="246"/>
      <c r="KT51" s="246"/>
      <c r="KU51" s="246"/>
      <c r="KV51" s="246"/>
      <c r="KW51" s="246"/>
      <c r="KX51" s="246"/>
      <c r="KY51" s="246"/>
      <c r="KZ51" s="243">
        <f t="shared" si="182"/>
        <v>0</v>
      </c>
      <c r="LA51" s="246"/>
      <c r="LB51" s="246"/>
      <c r="LC51" s="246"/>
      <c r="LD51" s="246"/>
      <c r="LE51" s="246"/>
      <c r="LF51" s="246"/>
      <c r="LG51" s="246"/>
      <c r="LH51" s="243">
        <f t="shared" si="183"/>
        <v>0</v>
      </c>
      <c r="LI51" s="246"/>
      <c r="LJ51" s="246"/>
      <c r="LK51" s="246"/>
      <c r="LL51" s="246"/>
      <c r="LM51" s="246"/>
      <c r="LN51" s="246"/>
      <c r="LO51" s="246"/>
      <c r="LP51" s="243">
        <f t="shared" si="184"/>
        <v>0</v>
      </c>
      <c r="LQ51" s="246"/>
      <c r="LR51" s="246"/>
      <c r="LS51" s="246"/>
      <c r="LT51" s="244">
        <f t="shared" si="185"/>
        <v>0</v>
      </c>
      <c r="LU51" s="246">
        <v>0</v>
      </c>
      <c r="LV51" s="246"/>
      <c r="LW51" s="246"/>
      <c r="LX51" s="246"/>
      <c r="LY51" s="246"/>
      <c r="LZ51" s="246"/>
      <c r="MA51" s="246"/>
      <c r="MB51" s="243">
        <f t="shared" si="186"/>
        <v>0</v>
      </c>
      <c r="MC51" s="246"/>
      <c r="MD51" s="246"/>
      <c r="ME51" s="246"/>
      <c r="MF51" s="246"/>
      <c r="MG51" s="246"/>
      <c r="MH51" s="246"/>
      <c r="MI51" s="246"/>
      <c r="MJ51" s="243">
        <f t="shared" si="187"/>
        <v>0</v>
      </c>
      <c r="MK51" s="246"/>
      <c r="ML51" s="246"/>
      <c r="MM51" s="246"/>
      <c r="MN51" s="246"/>
      <c r="MO51" s="246"/>
      <c r="MP51" s="246"/>
      <c r="MQ51" s="246"/>
      <c r="MR51" s="243">
        <f t="shared" si="188"/>
        <v>0</v>
      </c>
      <c r="MS51" s="271"/>
      <c r="MT51" s="246"/>
      <c r="MU51" s="246"/>
      <c r="MV51" s="246"/>
      <c r="MW51" s="246"/>
      <c r="MX51" s="246"/>
      <c r="MY51" s="246"/>
      <c r="MZ51" s="243">
        <f t="shared" si="189"/>
        <v>0</v>
      </c>
      <c r="NA51" s="246"/>
      <c r="NB51" s="246"/>
      <c r="NC51" s="246"/>
      <c r="ND51" s="243">
        <f t="shared" si="190"/>
        <v>0</v>
      </c>
      <c r="NE51" s="246">
        <v>0</v>
      </c>
      <c r="NF51" s="246"/>
      <c r="NG51" s="246"/>
      <c r="NH51" s="246"/>
      <c r="NI51" s="246"/>
      <c r="NJ51" s="246"/>
      <c r="NK51" s="246"/>
      <c r="NL51" s="243">
        <f t="shared" si="191"/>
        <v>0</v>
      </c>
      <c r="NM51" s="246"/>
      <c r="NN51" s="246"/>
      <c r="NO51" s="246"/>
      <c r="NP51" s="246"/>
      <c r="NQ51" s="246"/>
      <c r="NR51" s="246"/>
      <c r="NS51" s="246"/>
      <c r="NT51" s="243">
        <f t="shared" si="192"/>
        <v>0</v>
      </c>
      <c r="NU51" s="246"/>
      <c r="NV51" s="246"/>
      <c r="NW51" s="246"/>
      <c r="NX51" s="246"/>
      <c r="NY51" s="246"/>
      <c r="NZ51" s="246"/>
      <c r="OA51" s="246"/>
      <c r="OB51" s="243">
        <f t="shared" si="193"/>
        <v>0</v>
      </c>
      <c r="OC51" s="246"/>
      <c r="OD51" s="246"/>
      <c r="OE51" s="246"/>
      <c r="OF51" s="246"/>
      <c r="OG51" s="246"/>
      <c r="OH51" s="246"/>
      <c r="OI51" s="246"/>
      <c r="OJ51" s="243">
        <f t="shared" si="194"/>
        <v>0</v>
      </c>
      <c r="OK51" s="246"/>
      <c r="OL51" s="246"/>
      <c r="OM51" s="246"/>
      <c r="ON51" s="246"/>
      <c r="OO51" s="246"/>
      <c r="OP51" s="246"/>
      <c r="OQ51" s="246"/>
      <c r="OR51" s="243">
        <f t="shared" si="195"/>
        <v>0</v>
      </c>
      <c r="OS51" s="246"/>
      <c r="OT51" s="246"/>
      <c r="OU51" s="246"/>
      <c r="OV51" s="246"/>
      <c r="OW51" s="246"/>
      <c r="OX51" s="246">
        <v>0</v>
      </c>
      <c r="OY51" s="246">
        <v>426.2201</v>
      </c>
      <c r="OZ51" s="243">
        <f t="shared" si="196"/>
        <v>511.46412000000004</v>
      </c>
      <c r="PA51" s="247">
        <v>0</v>
      </c>
      <c r="PB51" s="246"/>
      <c r="PC51" s="246"/>
      <c r="PD51" s="243">
        <f t="shared" si="197"/>
        <v>0</v>
      </c>
      <c r="PE51" s="247"/>
      <c r="PF51" s="246"/>
      <c r="PG51" s="246"/>
      <c r="PH51" s="246"/>
      <c r="PI51" s="246"/>
      <c r="PJ51" s="246"/>
      <c r="PK51" s="246"/>
      <c r="PL51" s="243">
        <f t="shared" si="139"/>
        <v>0</v>
      </c>
      <c r="PM51" s="247"/>
      <c r="PN51" s="246"/>
      <c r="PO51" s="246"/>
      <c r="PP51" s="246"/>
      <c r="PQ51" s="246"/>
      <c r="PR51" s="246">
        <v>-160</v>
      </c>
      <c r="PS51" s="246">
        <v>0</v>
      </c>
      <c r="PT51" s="243">
        <f t="shared" si="198"/>
        <v>0</v>
      </c>
      <c r="PU51" s="246"/>
      <c r="PV51" s="246"/>
      <c r="PW51" s="246"/>
      <c r="PX51" s="246"/>
      <c r="PY51" s="246"/>
      <c r="PZ51" s="246"/>
      <c r="QA51" s="246"/>
      <c r="QB51" s="243">
        <f t="shared" si="199"/>
        <v>0</v>
      </c>
      <c r="QC51" s="246"/>
      <c r="QD51" s="246"/>
      <c r="QE51" s="246"/>
      <c r="QF51" s="246"/>
      <c r="QG51" s="246"/>
      <c r="QH51" s="246"/>
      <c r="QI51" s="246"/>
      <c r="QJ51" s="243">
        <f t="shared" si="200"/>
        <v>0</v>
      </c>
      <c r="QK51" s="246">
        <v>0</v>
      </c>
      <c r="QL51" s="246"/>
      <c r="QM51" s="246"/>
      <c r="QN51" s="246"/>
      <c r="QO51" s="246"/>
      <c r="QP51" s="243">
        <f t="shared" si="201"/>
        <v>0</v>
      </c>
      <c r="QQ51" s="243">
        <f t="shared" si="140"/>
        <v>0</v>
      </c>
      <c r="QR51" s="246"/>
      <c r="QS51" s="246"/>
      <c r="QT51" s="246"/>
      <c r="QU51" s="246"/>
      <c r="QV51" s="243">
        <f t="shared" si="202"/>
        <v>0</v>
      </c>
      <c r="QW51" s="246"/>
      <c r="QX51" s="246"/>
      <c r="QY51" s="246"/>
      <c r="QZ51" s="246"/>
      <c r="RA51" s="246"/>
      <c r="RB51" s="246"/>
      <c r="RC51" s="246"/>
      <c r="RD51" s="243">
        <f t="shared" si="203"/>
        <v>0</v>
      </c>
      <c r="RE51" s="300"/>
      <c r="RF51" s="259">
        <f t="shared" si="101"/>
        <v>277.99999190512096</v>
      </c>
      <c r="RG51" s="259">
        <f t="shared" si="141"/>
        <v>814.25272000000007</v>
      </c>
      <c r="RH51" s="259">
        <f t="shared" si="142"/>
        <v>977.10326400000008</v>
      </c>
      <c r="RI51" s="256">
        <f t="shared" si="143"/>
        <v>440</v>
      </c>
    </row>
    <row r="52" spans="1:477">
      <c r="A52" s="5" t="s">
        <v>88</v>
      </c>
      <c r="B52" s="263">
        <v>79937.65124545226</v>
      </c>
      <c r="C52" s="246">
        <v>80453.576940000086</v>
      </c>
      <c r="D52" s="246">
        <v>92803.816277566904</v>
      </c>
      <c r="E52" s="246">
        <v>83788.37466000003</v>
      </c>
      <c r="F52" s="278">
        <v>895.99997628232495</v>
      </c>
      <c r="G52" s="243">
        <v>1844.1955699999999</v>
      </c>
      <c r="H52" s="243">
        <f t="shared" si="144"/>
        <v>2213.0346840000002</v>
      </c>
      <c r="I52" s="278">
        <v>2000</v>
      </c>
      <c r="J52" s="246">
        <v>349.54712024449702</v>
      </c>
      <c r="K52" s="246">
        <v>286.939989999999</v>
      </c>
      <c r="L52" s="246">
        <v>632.17346805713009</v>
      </c>
      <c r="M52" s="246">
        <v>524.95193000000006</v>
      </c>
      <c r="N52" s="246">
        <v>224</v>
      </c>
      <c r="O52" s="246">
        <v>208.26242999999999</v>
      </c>
      <c r="P52" s="243">
        <f t="shared" si="145"/>
        <v>249.91491599999998</v>
      </c>
      <c r="Q52" s="246">
        <v>240</v>
      </c>
      <c r="R52" s="246">
        <v>558.46949837953196</v>
      </c>
      <c r="S52" s="246">
        <v>582.67120999999906</v>
      </c>
      <c r="T52" s="246">
        <v>551.66847637328203</v>
      </c>
      <c r="U52" s="246">
        <v>424.23043999999999</v>
      </c>
      <c r="V52" s="246">
        <v>382.999987936428</v>
      </c>
      <c r="W52" s="247">
        <v>198.56875000000002</v>
      </c>
      <c r="X52" s="243">
        <f t="shared" si="146"/>
        <v>238.28250000000003</v>
      </c>
      <c r="Y52" s="246">
        <v>380</v>
      </c>
      <c r="Z52" s="246">
        <v>249.99950898008302</v>
      </c>
      <c r="AA52" s="246">
        <v>332.50980000000004</v>
      </c>
      <c r="AB52" s="246">
        <v>325.50824940368102</v>
      </c>
      <c r="AC52" s="246">
        <v>224.13217999999998</v>
      </c>
      <c r="AD52" s="246">
        <v>255.88515460941801</v>
      </c>
      <c r="AE52" s="246">
        <v>165.22997999999998</v>
      </c>
      <c r="AF52" s="243">
        <f t="shared" si="147"/>
        <v>198.27597599999996</v>
      </c>
      <c r="AG52" s="246">
        <v>220</v>
      </c>
      <c r="AH52" s="246">
        <v>1027.93719671701</v>
      </c>
      <c r="AI52" s="246">
        <v>1028.739799999998</v>
      </c>
      <c r="AJ52" s="246">
        <v>934.73501393951699</v>
      </c>
      <c r="AK52" s="246">
        <v>929.93592000000012</v>
      </c>
      <c r="AL52" s="246">
        <v>1028.9999675889921</v>
      </c>
      <c r="AM52" s="246">
        <v>808.10212999999999</v>
      </c>
      <c r="AN52" s="243">
        <f t="shared" si="148"/>
        <v>969.72255600000005</v>
      </c>
      <c r="AO52" s="246">
        <v>1000</v>
      </c>
      <c r="AP52" s="246">
        <v>1951.6774360592708</v>
      </c>
      <c r="AQ52" s="246">
        <v>2108.1069800000005</v>
      </c>
      <c r="AR52" s="246">
        <v>2001.5215482685339</v>
      </c>
      <c r="AS52" s="246">
        <v>2103.0448900000001</v>
      </c>
      <c r="AT52" s="246">
        <v>2257.999928878472</v>
      </c>
      <c r="AU52" s="246">
        <v>1759.0111899999999</v>
      </c>
      <c r="AV52" s="243">
        <f t="shared" si="149"/>
        <v>2110.8134279999999</v>
      </c>
      <c r="AW52" s="246">
        <v>2200</v>
      </c>
      <c r="AX52" s="246">
        <v>678.41543803622801</v>
      </c>
      <c r="AY52" s="246">
        <v>617.16676999999891</v>
      </c>
      <c r="AZ52" s="246">
        <v>625.16392166357605</v>
      </c>
      <c r="BA52" s="246">
        <v>512.49129000000005</v>
      </c>
      <c r="BB52" s="246">
        <v>476.99998497565599</v>
      </c>
      <c r="BC52" s="246">
        <v>463.90531999999996</v>
      </c>
      <c r="BD52" s="243">
        <f t="shared" si="150"/>
        <v>556.68638399999986</v>
      </c>
      <c r="BE52" s="246">
        <v>512.49129000000005</v>
      </c>
      <c r="BF52" s="246">
        <v>609.49402329110603</v>
      </c>
      <c r="BG52" s="246">
        <v>527.8983099999989</v>
      </c>
      <c r="BH52" s="246">
        <v>923.99565069540699</v>
      </c>
      <c r="BI52" s="246">
        <v>496.80790999999999</v>
      </c>
      <c r="BJ52" s="246">
        <v>497.99998431420602</v>
      </c>
      <c r="BK52" s="246">
        <v>441.44357999999994</v>
      </c>
      <c r="BL52" s="243">
        <f t="shared" si="151"/>
        <v>529.73229599999991</v>
      </c>
      <c r="BM52" s="246">
        <v>530</v>
      </c>
      <c r="BN52" s="246">
        <v>209.542746525865</v>
      </c>
      <c r="BO52" s="246">
        <v>103.58810000000001</v>
      </c>
      <c r="BP52" s="246">
        <v>107.587622938149</v>
      </c>
      <c r="BQ52" s="246">
        <v>83.506709999999998</v>
      </c>
      <c r="BR52" s="246">
        <v>78.999997511691006</v>
      </c>
      <c r="BS52" s="246">
        <v>71.938519999999997</v>
      </c>
      <c r="BT52" s="243">
        <f t="shared" si="152"/>
        <v>86.326223999999996</v>
      </c>
      <c r="BU52" s="246">
        <v>83.506709999999998</v>
      </c>
      <c r="BV52" s="246">
        <v>364.98406980567398</v>
      </c>
      <c r="BW52" s="246">
        <v>326.59919000000002</v>
      </c>
      <c r="BX52" s="246">
        <v>325.59766125442002</v>
      </c>
      <c r="BY52" s="246">
        <v>302.42581000000001</v>
      </c>
      <c r="BZ52" s="246">
        <v>230.55703764533797</v>
      </c>
      <c r="CA52" s="246">
        <v>115.61819</v>
      </c>
      <c r="CB52" s="243">
        <f t="shared" si="153"/>
        <v>138.741828</v>
      </c>
      <c r="CC52" s="246">
        <v>220</v>
      </c>
      <c r="CD52" s="246">
        <v>32.979999999999997</v>
      </c>
      <c r="CE52" s="246">
        <v>30.96716</v>
      </c>
      <c r="CF52" s="246">
        <v>30.967014487322999</v>
      </c>
      <c r="CG52" s="246">
        <v>8.8477599999999992</v>
      </c>
      <c r="CH52" s="246">
        <v>10.999999653526</v>
      </c>
      <c r="CI52" s="246">
        <v>8.8477599999999992</v>
      </c>
      <c r="CJ52" s="243">
        <f t="shared" si="154"/>
        <v>10.617311999999998</v>
      </c>
      <c r="CK52" s="246">
        <v>11</v>
      </c>
      <c r="CL52" s="246">
        <v>659.49827051874115</v>
      </c>
      <c r="CM52" s="246">
        <v>645.04827999999907</v>
      </c>
      <c r="CN52" s="246">
        <v>711.04530280392601</v>
      </c>
      <c r="CO52" s="246">
        <v>816.51878999999985</v>
      </c>
      <c r="CP52" s="246">
        <v>566.84019422269796</v>
      </c>
      <c r="CQ52" s="246">
        <v>340.25824999999998</v>
      </c>
      <c r="CR52" s="243">
        <f t="shared" si="155"/>
        <v>408.30989999999997</v>
      </c>
      <c r="CS52" s="246">
        <v>510</v>
      </c>
      <c r="CT52" s="246">
        <v>30.771638294740001</v>
      </c>
      <c r="CU52" s="246">
        <v>59.748480000000001</v>
      </c>
      <c r="CV52" s="246">
        <v>58.748205707042004</v>
      </c>
      <c r="CW52" s="246">
        <v>36.51023</v>
      </c>
      <c r="CX52" s="246">
        <v>59.999998110143999</v>
      </c>
      <c r="CY52" s="246">
        <v>39.053069999999998</v>
      </c>
      <c r="CZ52" s="243">
        <f t="shared" si="156"/>
        <v>46.863683999999992</v>
      </c>
      <c r="DA52" s="246">
        <v>50</v>
      </c>
      <c r="DB52" s="246"/>
      <c r="DC52" s="246"/>
      <c r="DD52" s="246"/>
      <c r="DE52" s="246"/>
      <c r="DF52" s="246"/>
      <c r="DG52" s="246"/>
      <c r="DH52" s="243">
        <f t="shared" si="157"/>
        <v>0</v>
      </c>
      <c r="DI52" s="246"/>
      <c r="DJ52" s="246"/>
      <c r="DK52" s="246"/>
      <c r="DL52" s="246"/>
      <c r="DM52" s="246"/>
      <c r="DN52" s="246"/>
      <c r="DO52" s="246"/>
      <c r="DP52" s="243">
        <f t="shared" si="158"/>
        <v>0</v>
      </c>
      <c r="DQ52" s="246"/>
      <c r="DR52" s="246">
        <v>539.004175786053</v>
      </c>
      <c r="DS52" s="246">
        <v>537.64346</v>
      </c>
      <c r="DT52" s="246">
        <v>643.29503684930899</v>
      </c>
      <c r="DU52" s="246">
        <v>479.16113000000007</v>
      </c>
      <c r="DV52" s="246">
        <v>372.64260085605201</v>
      </c>
      <c r="DW52" s="246">
        <v>280.20855999999998</v>
      </c>
      <c r="DX52" s="243">
        <f t="shared" si="159"/>
        <v>336.250272</v>
      </c>
      <c r="DY52" s="246">
        <v>360</v>
      </c>
      <c r="DZ52" s="246">
        <v>5.4428960305940004</v>
      </c>
      <c r="EA52" s="246">
        <v>107.13131</v>
      </c>
      <c r="EB52" s="246">
        <v>107.13080659692</v>
      </c>
      <c r="EC52" s="246">
        <v>118.76819</v>
      </c>
      <c r="ED52" s="246">
        <v>116.999996314784</v>
      </c>
      <c r="EE52" s="246">
        <v>83.159660000000002</v>
      </c>
      <c r="EF52" s="243">
        <f t="shared" si="160"/>
        <v>99.791591999999994</v>
      </c>
      <c r="EG52" s="246">
        <v>115</v>
      </c>
      <c r="EH52" s="246"/>
      <c r="EI52" s="246"/>
      <c r="EJ52" s="246"/>
      <c r="EK52" s="246"/>
      <c r="EL52" s="246"/>
      <c r="EM52" s="246"/>
      <c r="EN52" s="243">
        <f t="shared" si="161"/>
        <v>0</v>
      </c>
      <c r="EO52" s="246"/>
      <c r="EP52" s="246"/>
      <c r="EQ52" s="246"/>
      <c r="ER52" s="246"/>
      <c r="ES52" s="246"/>
      <c r="ET52" s="246"/>
      <c r="EU52" s="246"/>
      <c r="EV52" s="243">
        <f t="shared" si="162"/>
        <v>0</v>
      </c>
      <c r="EW52" s="246"/>
      <c r="EX52" s="246"/>
      <c r="EY52" s="246"/>
      <c r="EZ52" s="246"/>
      <c r="FA52" s="246"/>
      <c r="FB52" s="246"/>
      <c r="FC52" s="246"/>
      <c r="FD52" s="243">
        <f t="shared" si="163"/>
        <v>0</v>
      </c>
      <c r="FE52" s="246"/>
      <c r="FF52" s="246">
        <v>432.608</v>
      </c>
      <c r="FG52" s="246">
        <v>367.16550000000007</v>
      </c>
      <c r="FH52" s="246">
        <v>354.16378278971797</v>
      </c>
      <c r="FI52" s="246">
        <v>221.79131000000001</v>
      </c>
      <c r="FJ52" s="246">
        <v>0</v>
      </c>
      <c r="FK52" s="246">
        <v>1.6067400000000001</v>
      </c>
      <c r="FL52" s="243">
        <f t="shared" si="164"/>
        <v>1.9280880000000002</v>
      </c>
      <c r="FM52" s="246">
        <v>2</v>
      </c>
      <c r="FN52" s="246"/>
      <c r="FO52" s="246"/>
      <c r="FP52" s="246"/>
      <c r="FQ52" s="246"/>
      <c r="FR52" s="246"/>
      <c r="FS52" s="246"/>
      <c r="FT52" s="243">
        <f t="shared" si="165"/>
        <v>0</v>
      </c>
      <c r="FU52" s="246"/>
      <c r="FV52" s="246">
        <v>1.3080463177899999</v>
      </c>
      <c r="FW52" s="246">
        <v>0</v>
      </c>
      <c r="FX52" s="246"/>
      <c r="FY52" s="246"/>
      <c r="FZ52" s="246"/>
      <c r="GA52" s="246"/>
      <c r="GB52" s="243">
        <f t="shared" si="166"/>
        <v>0</v>
      </c>
      <c r="GC52" s="246"/>
      <c r="GD52" s="246">
        <v>0</v>
      </c>
      <c r="GE52" s="246">
        <v>1.1375299999999999</v>
      </c>
      <c r="GF52" s="246">
        <v>1.13752465482</v>
      </c>
      <c r="GG52" s="246">
        <v>0.53556999999999999</v>
      </c>
      <c r="GH52" s="246">
        <v>0.69468296249700001</v>
      </c>
      <c r="GI52" s="246">
        <v>1.0711499999999998</v>
      </c>
      <c r="GJ52" s="243">
        <f t="shared" si="167"/>
        <v>1.28538</v>
      </c>
      <c r="GK52" s="246">
        <v>0.53556999999999999</v>
      </c>
      <c r="GL52" s="246"/>
      <c r="GM52" s="246"/>
      <c r="GN52" s="246"/>
      <c r="GO52" s="246"/>
      <c r="GP52" s="246"/>
      <c r="GQ52" s="246"/>
      <c r="GR52" s="243">
        <f t="shared" si="168"/>
        <v>0</v>
      </c>
      <c r="GS52" s="246"/>
      <c r="GT52" s="246"/>
      <c r="GU52" s="246"/>
      <c r="GV52" s="246"/>
      <c r="GW52" s="246"/>
      <c r="GX52" s="246"/>
      <c r="GY52" s="246"/>
      <c r="GZ52" s="243">
        <f t="shared" si="169"/>
        <v>0</v>
      </c>
      <c r="HA52" s="246"/>
      <c r="HB52" s="246"/>
      <c r="HC52" s="246"/>
      <c r="HD52" s="246"/>
      <c r="HE52" s="246"/>
      <c r="HF52" s="246"/>
      <c r="HG52" s="246"/>
      <c r="HH52" s="243">
        <f t="shared" si="170"/>
        <v>0</v>
      </c>
      <c r="HI52" s="246"/>
      <c r="HJ52" s="246">
        <v>0.71619811461600003</v>
      </c>
      <c r="HK52" s="246">
        <v>0</v>
      </c>
      <c r="HL52" s="246"/>
      <c r="HM52" s="246"/>
      <c r="HN52" s="246"/>
      <c r="HO52" s="246"/>
      <c r="HP52" s="243">
        <f t="shared" si="171"/>
        <v>0</v>
      </c>
      <c r="HQ52" s="246"/>
      <c r="HR52" s="246">
        <v>22.170645596265</v>
      </c>
      <c r="HS52" s="246">
        <v>6.6946499999999993</v>
      </c>
      <c r="HT52" s="246">
        <v>6.694618542273</v>
      </c>
      <c r="HU52" s="246">
        <v>2.6778</v>
      </c>
      <c r="HV52" s="246">
        <v>6.9999997795160001</v>
      </c>
      <c r="HW52" s="246">
        <v>4.01675</v>
      </c>
      <c r="HX52" s="243">
        <f t="shared" si="172"/>
        <v>4.8201000000000001</v>
      </c>
      <c r="HY52" s="246">
        <v>5</v>
      </c>
      <c r="HZ52" s="246">
        <v>36.455799803883004</v>
      </c>
      <c r="IA52" s="246">
        <v>34.294040000000003</v>
      </c>
      <c r="IB52" s="246">
        <v>34.293878854528003</v>
      </c>
      <c r="IC52" s="246">
        <v>25.84675</v>
      </c>
      <c r="ID52" s="246">
        <v>33.999998929081997</v>
      </c>
      <c r="IE52" s="246">
        <v>28.931660000000004</v>
      </c>
      <c r="IF52" s="243">
        <f t="shared" si="173"/>
        <v>34.717992000000002</v>
      </c>
      <c r="IG52" s="246">
        <v>34</v>
      </c>
      <c r="IH52" s="246">
        <v>695.20129782821198</v>
      </c>
      <c r="II52" s="246">
        <v>605.11064999999905</v>
      </c>
      <c r="IJ52" s="246">
        <v>594.10782439280104</v>
      </c>
      <c r="IK52" s="246">
        <v>579.83090000000004</v>
      </c>
      <c r="IL52" s="246">
        <v>604.99998094396494</v>
      </c>
      <c r="IM52" s="246">
        <v>516.42730000000006</v>
      </c>
      <c r="IN52" s="243">
        <f t="shared" si="174"/>
        <v>619.71276000000012</v>
      </c>
      <c r="IO52" s="246">
        <v>610</v>
      </c>
      <c r="IP52" s="246"/>
      <c r="IQ52" s="246"/>
      <c r="IR52" s="246"/>
      <c r="IS52" s="246"/>
      <c r="IT52" s="246"/>
      <c r="IU52" s="246"/>
      <c r="IV52" s="243">
        <f t="shared" si="175"/>
        <v>0</v>
      </c>
      <c r="IW52" s="246"/>
      <c r="IX52" s="246">
        <v>27229.015421603443</v>
      </c>
      <c r="IY52" s="246">
        <v>27752.058350000014</v>
      </c>
      <c r="IZ52" s="246">
        <v>33201.77513429238</v>
      </c>
      <c r="JA52" s="298">
        <v>35061.192400000014</v>
      </c>
      <c r="JB52" s="246">
        <v>9471.6529999801332</v>
      </c>
      <c r="JC52" s="246">
        <v>8950.1992100000007</v>
      </c>
      <c r="JD52" s="243">
        <f t="shared" si="176"/>
        <v>10740.239052000001</v>
      </c>
      <c r="JE52" s="298">
        <v>10000</v>
      </c>
      <c r="JF52" s="246"/>
      <c r="JG52" s="246"/>
      <c r="JH52" s="246"/>
      <c r="JI52" s="246"/>
      <c r="JJ52" s="246"/>
      <c r="JK52" s="246"/>
      <c r="JL52" s="243">
        <f t="shared" si="177"/>
        <v>0</v>
      </c>
      <c r="JM52" s="246"/>
      <c r="JN52" s="246"/>
      <c r="JO52" s="246"/>
      <c r="JP52" s="246"/>
      <c r="JQ52" s="246"/>
      <c r="JR52" s="246"/>
      <c r="JS52" s="246"/>
      <c r="JT52" s="243">
        <f t="shared" si="178"/>
        <v>0</v>
      </c>
      <c r="JU52" s="246"/>
      <c r="JV52" s="246"/>
      <c r="JW52" s="246"/>
      <c r="JX52" s="246"/>
      <c r="JY52" s="246"/>
      <c r="JZ52" s="246"/>
      <c r="KA52" s="246"/>
      <c r="KB52" s="243">
        <f t="shared" si="179"/>
        <v>0</v>
      </c>
      <c r="KC52" s="246"/>
      <c r="KD52" s="246"/>
      <c r="KE52" s="246"/>
      <c r="KF52" s="246"/>
      <c r="KG52" s="246"/>
      <c r="KH52" s="246"/>
      <c r="KI52" s="246"/>
      <c r="KJ52" s="243">
        <f t="shared" si="180"/>
        <v>0</v>
      </c>
      <c r="KK52" s="246"/>
      <c r="KL52" s="246"/>
      <c r="KM52" s="246"/>
      <c r="KN52" s="246"/>
      <c r="KO52" s="246"/>
      <c r="KP52" s="246"/>
      <c r="KQ52" s="246"/>
      <c r="KR52" s="243">
        <f t="shared" si="181"/>
        <v>0</v>
      </c>
      <c r="KS52" s="246"/>
      <c r="KT52" s="246"/>
      <c r="KU52" s="246"/>
      <c r="KV52" s="246"/>
      <c r="KW52" s="246"/>
      <c r="KX52" s="246"/>
      <c r="KY52" s="246"/>
      <c r="KZ52" s="243">
        <f t="shared" si="182"/>
        <v>0</v>
      </c>
      <c r="LA52" s="246"/>
      <c r="LB52" s="246"/>
      <c r="LC52" s="246"/>
      <c r="LD52" s="246"/>
      <c r="LE52" s="246"/>
      <c r="LF52" s="246"/>
      <c r="LG52" s="246"/>
      <c r="LH52" s="243">
        <f t="shared" si="183"/>
        <v>0</v>
      </c>
      <c r="LI52" s="246"/>
      <c r="LJ52" s="246"/>
      <c r="LK52" s="246"/>
      <c r="LL52" s="246"/>
      <c r="LM52" s="246"/>
      <c r="LN52" s="246"/>
      <c r="LO52" s="246"/>
      <c r="LP52" s="243">
        <f t="shared" si="184"/>
        <v>0</v>
      </c>
      <c r="LQ52" s="246"/>
      <c r="LR52" s="246"/>
      <c r="LS52" s="246"/>
      <c r="LT52" s="244">
        <f t="shared" si="185"/>
        <v>0</v>
      </c>
      <c r="LU52" s="246">
        <v>0</v>
      </c>
      <c r="LV52" s="246"/>
      <c r="LW52" s="246"/>
      <c r="LX52" s="246"/>
      <c r="LY52" s="246"/>
      <c r="LZ52" s="246"/>
      <c r="MA52" s="246"/>
      <c r="MB52" s="243">
        <f t="shared" si="186"/>
        <v>0</v>
      </c>
      <c r="MC52" s="246"/>
      <c r="MD52" s="246">
        <v>0</v>
      </c>
      <c r="ME52" s="246">
        <v>19.181999999999999</v>
      </c>
      <c r="MF52" s="246">
        <v>19.181909865024</v>
      </c>
      <c r="MG52" s="246">
        <v>9.1790599999999998</v>
      </c>
      <c r="MH52" s="246">
        <v>6.9999997795160001</v>
      </c>
      <c r="MI52" s="246">
        <v>3.4605999999999999</v>
      </c>
      <c r="MJ52" s="243">
        <f t="shared" si="187"/>
        <v>4.1527199999999995</v>
      </c>
      <c r="MK52" s="246">
        <v>9.1790599999999998</v>
      </c>
      <c r="ML52" s="246"/>
      <c r="MM52" s="246"/>
      <c r="MN52" s="246"/>
      <c r="MO52" s="246"/>
      <c r="MP52" s="246"/>
      <c r="MQ52" s="246"/>
      <c r="MR52" s="243">
        <f t="shared" si="188"/>
        <v>0</v>
      </c>
      <c r="MS52" s="271"/>
      <c r="MT52" s="246">
        <v>2879.2441630000003</v>
      </c>
      <c r="MU52" s="246">
        <v>2581.4332000000004</v>
      </c>
      <c r="MV52" s="246">
        <v>3271.565355643575</v>
      </c>
      <c r="MW52" s="246">
        <v>3257.2303600000009</v>
      </c>
      <c r="MX52" s="246">
        <v>3031.9999044993501</v>
      </c>
      <c r="MY52" s="246">
        <v>2652.4926200000009</v>
      </c>
      <c r="MZ52" s="243">
        <f t="shared" si="189"/>
        <v>3182.9911440000014</v>
      </c>
      <c r="NA52" s="246">
        <f>3032+100</f>
        <v>3132</v>
      </c>
      <c r="NB52" s="246"/>
      <c r="NC52" s="246"/>
      <c r="ND52" s="243">
        <f t="shared" si="190"/>
        <v>0</v>
      </c>
      <c r="NE52" s="246">
        <v>0</v>
      </c>
      <c r="NF52" s="246"/>
      <c r="NG52" s="246"/>
      <c r="NH52" s="246"/>
      <c r="NI52" s="246"/>
      <c r="NJ52" s="246"/>
      <c r="NK52" s="246"/>
      <c r="NL52" s="243">
        <f t="shared" si="191"/>
        <v>0</v>
      </c>
      <c r="NM52" s="246"/>
      <c r="NN52" s="246"/>
      <c r="NO52" s="246"/>
      <c r="NP52" s="246"/>
      <c r="NQ52" s="246"/>
      <c r="NR52" s="246"/>
      <c r="NS52" s="246"/>
      <c r="NT52" s="243">
        <f t="shared" si="192"/>
        <v>0</v>
      </c>
      <c r="NU52" s="246"/>
      <c r="NV52" s="246">
        <v>0</v>
      </c>
      <c r="NW52" s="246">
        <v>13.64917</v>
      </c>
      <c r="NX52" s="246">
        <v>18.649106401874</v>
      </c>
      <c r="NY52" s="246">
        <v>18.517040000000001</v>
      </c>
      <c r="NZ52" s="246">
        <v>18.999999401545999</v>
      </c>
      <c r="OA52" s="246">
        <v>13.88777</v>
      </c>
      <c r="OB52" s="243">
        <f t="shared" si="193"/>
        <v>16.665323999999998</v>
      </c>
      <c r="OC52" s="246">
        <v>18.649106401874</v>
      </c>
      <c r="OD52" s="246">
        <v>133.91229611386601</v>
      </c>
      <c r="OE52" s="246">
        <v>170.59527</v>
      </c>
      <c r="OF52" s="246">
        <v>170.594468383888</v>
      </c>
      <c r="OG52" s="246">
        <v>150.43680999999998</v>
      </c>
      <c r="OH52" s="246">
        <v>198.99999467690901</v>
      </c>
      <c r="OI52" s="246">
        <v>163.76739999999998</v>
      </c>
      <c r="OJ52" s="243">
        <f t="shared" si="194"/>
        <v>196.52087999999998</v>
      </c>
      <c r="OK52" s="246">
        <v>200</v>
      </c>
      <c r="OL52" s="246">
        <v>136.13244099875399</v>
      </c>
      <c r="OM52" s="246">
        <v>146.36216000000002</v>
      </c>
      <c r="ON52" s="246">
        <v>142.361479253417</v>
      </c>
      <c r="OO52" s="246">
        <v>143.18307999999999</v>
      </c>
      <c r="OP52" s="246">
        <v>135.99999571633001</v>
      </c>
      <c r="OQ52" s="246">
        <v>87.623130000000003</v>
      </c>
      <c r="OR52" s="243">
        <f t="shared" si="195"/>
        <v>105.14775600000002</v>
      </c>
      <c r="OS52" s="246">
        <v>125</v>
      </c>
      <c r="OT52" s="246">
        <v>0</v>
      </c>
      <c r="OU52" s="246">
        <v>297.65699999999998</v>
      </c>
      <c r="OV52" s="246">
        <v>0</v>
      </c>
      <c r="OW52" s="246">
        <v>306.93903</v>
      </c>
      <c r="OX52" s="246">
        <v>0</v>
      </c>
      <c r="OY52" s="246">
        <v>7.6172500000000003</v>
      </c>
      <c r="OZ52" s="243">
        <f t="shared" si="196"/>
        <v>9.1406999999999989</v>
      </c>
      <c r="PA52" s="247"/>
      <c r="PB52" s="246"/>
      <c r="PC52" s="246"/>
      <c r="PD52" s="243">
        <f t="shared" si="197"/>
        <v>0</v>
      </c>
      <c r="PE52" s="247"/>
      <c r="PF52" s="246">
        <v>0</v>
      </c>
      <c r="PG52" s="246">
        <v>536.76603</v>
      </c>
      <c r="PH52" s="246">
        <v>0</v>
      </c>
      <c r="PI52" s="246">
        <v>72.417120000000011</v>
      </c>
      <c r="PJ52" s="246">
        <v>0</v>
      </c>
      <c r="PK52" s="246">
        <v>37.128120000000003</v>
      </c>
      <c r="PL52" s="243">
        <f t="shared" si="139"/>
        <v>44.553744000000009</v>
      </c>
      <c r="PM52" s="247"/>
      <c r="PN52" s="246">
        <v>-3353.85719953033</v>
      </c>
      <c r="PO52" s="246">
        <v>0</v>
      </c>
      <c r="PP52" s="246">
        <v>-22097.1703760499</v>
      </c>
      <c r="PQ52" s="246">
        <v>0</v>
      </c>
      <c r="PR52" s="246">
        <v>-209.48</v>
      </c>
      <c r="PS52" s="246">
        <v>0</v>
      </c>
      <c r="PT52" s="243">
        <f t="shared" si="198"/>
        <v>0</v>
      </c>
      <c r="PU52" s="246"/>
      <c r="PV52" s="246"/>
      <c r="PW52" s="246"/>
      <c r="PX52" s="246"/>
      <c r="PY52" s="246"/>
      <c r="PZ52" s="246"/>
      <c r="QA52" s="246"/>
      <c r="QB52" s="243">
        <f t="shared" si="199"/>
        <v>0</v>
      </c>
      <c r="QC52" s="246"/>
      <c r="QD52" s="246"/>
      <c r="QE52" s="246"/>
      <c r="QF52" s="246"/>
      <c r="QG52" s="246"/>
      <c r="QH52" s="246"/>
      <c r="QI52" s="246"/>
      <c r="QJ52" s="243">
        <f t="shared" si="200"/>
        <v>0</v>
      </c>
      <c r="QK52" s="246">
        <v>0</v>
      </c>
      <c r="QL52" s="246"/>
      <c r="QM52" s="246"/>
      <c r="QN52" s="246"/>
      <c r="QO52" s="246"/>
      <c r="QP52" s="243">
        <f t="shared" si="201"/>
        <v>0</v>
      </c>
      <c r="QQ52" s="243">
        <f t="shared" si="140"/>
        <v>0</v>
      </c>
      <c r="QR52" s="246"/>
      <c r="QS52" s="246"/>
      <c r="QT52" s="246"/>
      <c r="QU52" s="246"/>
      <c r="QV52" s="243">
        <f t="shared" si="202"/>
        <v>0</v>
      </c>
      <c r="QW52" s="246"/>
      <c r="QX52" s="246">
        <v>0</v>
      </c>
      <c r="QY52" s="246">
        <v>2.0790000000000002</v>
      </c>
      <c r="QZ52" s="246"/>
      <c r="RA52" s="246"/>
      <c r="RB52" s="246"/>
      <c r="RC52" s="246"/>
      <c r="RD52" s="243">
        <f t="shared" si="203"/>
        <v>0</v>
      </c>
      <c r="RE52" s="300"/>
      <c r="RF52" s="259">
        <f t="shared" si="101"/>
        <v>20759.792365568581</v>
      </c>
      <c r="RG52" s="259">
        <f t="shared" si="141"/>
        <v>19296.032659999993</v>
      </c>
      <c r="RH52" s="259">
        <f t="shared" si="142"/>
        <v>23155.239192000008</v>
      </c>
      <c r="RI52" s="256">
        <f t="shared" si="143"/>
        <v>22568.361736401876</v>
      </c>
    </row>
    <row r="53" spans="1:477">
      <c r="A53" s="5" t="s">
        <v>89</v>
      </c>
      <c r="B53" s="263">
        <v>21099.9999999994</v>
      </c>
      <c r="C53" s="246">
        <v>20860.399150000019</v>
      </c>
      <c r="D53" s="246">
        <v>23999.487762612502</v>
      </c>
      <c r="E53" s="246">
        <v>26443.399240000006</v>
      </c>
      <c r="F53" s="278">
        <v>26999.999397703301</v>
      </c>
      <c r="G53" s="243">
        <v>20913.969060000003</v>
      </c>
      <c r="H53" s="243">
        <f t="shared" si="144"/>
        <v>25096.762872000007</v>
      </c>
      <c r="I53" s="278">
        <f>21400</f>
        <v>21400</v>
      </c>
      <c r="J53" s="246"/>
      <c r="K53" s="246"/>
      <c r="L53" s="246"/>
      <c r="M53" s="246"/>
      <c r="N53" s="246"/>
      <c r="O53" s="246"/>
      <c r="P53" s="243">
        <f t="shared" si="145"/>
        <v>0</v>
      </c>
      <c r="Q53" s="246"/>
      <c r="R53" s="246"/>
      <c r="S53" s="246"/>
      <c r="T53" s="246"/>
      <c r="U53" s="246"/>
      <c r="V53" s="246"/>
      <c r="W53" s="247"/>
      <c r="X53" s="243">
        <f t="shared" si="146"/>
        <v>0</v>
      </c>
      <c r="Y53" s="246"/>
      <c r="Z53" s="246"/>
      <c r="AA53" s="246"/>
      <c r="AB53" s="246"/>
      <c r="AC53" s="246"/>
      <c r="AD53" s="246"/>
      <c r="AE53" s="246"/>
      <c r="AF53" s="243">
        <f t="shared" si="147"/>
        <v>0</v>
      </c>
      <c r="AG53" s="246"/>
      <c r="AH53" s="246"/>
      <c r="AI53" s="246"/>
      <c r="AJ53" s="246"/>
      <c r="AK53" s="246"/>
      <c r="AL53" s="246"/>
      <c r="AM53" s="246"/>
      <c r="AN53" s="243">
        <f t="shared" si="148"/>
        <v>0</v>
      </c>
      <c r="AO53" s="246"/>
      <c r="AP53" s="246"/>
      <c r="AQ53" s="246"/>
      <c r="AR53" s="246"/>
      <c r="AS53" s="246"/>
      <c r="AT53" s="246"/>
      <c r="AU53" s="246"/>
      <c r="AV53" s="243">
        <f t="shared" si="149"/>
        <v>0</v>
      </c>
      <c r="AW53" s="246"/>
      <c r="AX53" s="246"/>
      <c r="AY53" s="246"/>
      <c r="AZ53" s="246"/>
      <c r="BA53" s="246"/>
      <c r="BB53" s="246"/>
      <c r="BC53" s="246"/>
      <c r="BD53" s="243">
        <f t="shared" si="150"/>
        <v>0</v>
      </c>
      <c r="BE53" s="246"/>
      <c r="BF53" s="246"/>
      <c r="BG53" s="246"/>
      <c r="BH53" s="246"/>
      <c r="BI53" s="246"/>
      <c r="BJ53" s="246"/>
      <c r="BK53" s="246"/>
      <c r="BL53" s="243">
        <f t="shared" si="151"/>
        <v>0</v>
      </c>
      <c r="BM53" s="246"/>
      <c r="BN53" s="246"/>
      <c r="BO53" s="246"/>
      <c r="BP53" s="246"/>
      <c r="BQ53" s="246"/>
      <c r="BR53" s="246"/>
      <c r="BS53" s="246"/>
      <c r="BT53" s="243">
        <f t="shared" si="152"/>
        <v>0</v>
      </c>
      <c r="BU53" s="246"/>
      <c r="BV53" s="246"/>
      <c r="BW53" s="246"/>
      <c r="BX53" s="246"/>
      <c r="BY53" s="246"/>
      <c r="BZ53" s="246"/>
      <c r="CA53" s="246"/>
      <c r="CB53" s="243">
        <f t="shared" si="153"/>
        <v>0</v>
      </c>
      <c r="CC53" s="246"/>
      <c r="CD53" s="246"/>
      <c r="CE53" s="246"/>
      <c r="CF53" s="246"/>
      <c r="CG53" s="246"/>
      <c r="CH53" s="246"/>
      <c r="CI53" s="246"/>
      <c r="CJ53" s="243">
        <f t="shared" si="154"/>
        <v>0</v>
      </c>
      <c r="CK53" s="246"/>
      <c r="CL53" s="246"/>
      <c r="CM53" s="246"/>
      <c r="CN53" s="246"/>
      <c r="CO53" s="246"/>
      <c r="CP53" s="246"/>
      <c r="CQ53" s="246"/>
      <c r="CR53" s="243">
        <f t="shared" si="155"/>
        <v>0</v>
      </c>
      <c r="CS53" s="246"/>
      <c r="CT53" s="246"/>
      <c r="CU53" s="246"/>
      <c r="CV53" s="246"/>
      <c r="CW53" s="246"/>
      <c r="CX53" s="246"/>
      <c r="CY53" s="246"/>
      <c r="CZ53" s="243">
        <f t="shared" si="156"/>
        <v>0</v>
      </c>
      <c r="DA53" s="246"/>
      <c r="DB53" s="246"/>
      <c r="DC53" s="246"/>
      <c r="DD53" s="246"/>
      <c r="DE53" s="246"/>
      <c r="DF53" s="246"/>
      <c r="DG53" s="246"/>
      <c r="DH53" s="243">
        <f t="shared" si="157"/>
        <v>0</v>
      </c>
      <c r="DI53" s="246"/>
      <c r="DJ53" s="246"/>
      <c r="DK53" s="246"/>
      <c r="DL53" s="246"/>
      <c r="DM53" s="246"/>
      <c r="DN53" s="246"/>
      <c r="DO53" s="246"/>
      <c r="DP53" s="243">
        <f t="shared" si="158"/>
        <v>0</v>
      </c>
      <c r="DQ53" s="246"/>
      <c r="DR53" s="246"/>
      <c r="DS53" s="246"/>
      <c r="DT53" s="246"/>
      <c r="DU53" s="246"/>
      <c r="DV53" s="246"/>
      <c r="DW53" s="246"/>
      <c r="DX53" s="243">
        <f t="shared" si="159"/>
        <v>0</v>
      </c>
      <c r="DY53" s="246"/>
      <c r="DZ53" s="246"/>
      <c r="EA53" s="246"/>
      <c r="EB53" s="246"/>
      <c r="EC53" s="246"/>
      <c r="ED53" s="246"/>
      <c r="EE53" s="246"/>
      <c r="EF53" s="243">
        <f t="shared" si="160"/>
        <v>0</v>
      </c>
      <c r="EG53" s="246"/>
      <c r="EH53" s="246"/>
      <c r="EI53" s="246"/>
      <c r="EJ53" s="246"/>
      <c r="EK53" s="246"/>
      <c r="EL53" s="246"/>
      <c r="EM53" s="246"/>
      <c r="EN53" s="243">
        <f t="shared" si="161"/>
        <v>0</v>
      </c>
      <c r="EO53" s="246"/>
      <c r="EP53" s="246"/>
      <c r="EQ53" s="246"/>
      <c r="ER53" s="246"/>
      <c r="ES53" s="246"/>
      <c r="ET53" s="246"/>
      <c r="EU53" s="246"/>
      <c r="EV53" s="243">
        <f t="shared" si="162"/>
        <v>0</v>
      </c>
      <c r="EW53" s="246"/>
      <c r="EX53" s="246"/>
      <c r="EY53" s="246"/>
      <c r="EZ53" s="246"/>
      <c r="FA53" s="246"/>
      <c r="FB53" s="246"/>
      <c r="FC53" s="246"/>
      <c r="FD53" s="243">
        <f t="shared" si="163"/>
        <v>0</v>
      </c>
      <c r="FE53" s="246"/>
      <c r="FF53" s="246"/>
      <c r="FG53" s="246"/>
      <c r="FH53" s="246"/>
      <c r="FI53" s="246"/>
      <c r="FJ53" s="246"/>
      <c r="FK53" s="246"/>
      <c r="FL53" s="243">
        <f t="shared" si="164"/>
        <v>0</v>
      </c>
      <c r="FM53" s="246"/>
      <c r="FN53" s="246"/>
      <c r="FO53" s="246"/>
      <c r="FP53" s="246"/>
      <c r="FQ53" s="246"/>
      <c r="FR53" s="246"/>
      <c r="FS53" s="246"/>
      <c r="FT53" s="243">
        <f t="shared" si="165"/>
        <v>0</v>
      </c>
      <c r="FU53" s="246"/>
      <c r="FV53" s="246"/>
      <c r="FW53" s="246"/>
      <c r="FX53" s="246"/>
      <c r="FY53" s="246"/>
      <c r="FZ53" s="246"/>
      <c r="GA53" s="246"/>
      <c r="GB53" s="243">
        <f t="shared" si="166"/>
        <v>0</v>
      </c>
      <c r="GC53" s="246"/>
      <c r="GD53" s="246"/>
      <c r="GE53" s="246"/>
      <c r="GF53" s="246"/>
      <c r="GG53" s="246"/>
      <c r="GH53" s="246"/>
      <c r="GI53" s="246"/>
      <c r="GJ53" s="243">
        <f t="shared" si="167"/>
        <v>0</v>
      </c>
      <c r="GK53" s="246"/>
      <c r="GL53" s="246"/>
      <c r="GM53" s="246"/>
      <c r="GN53" s="246"/>
      <c r="GO53" s="246"/>
      <c r="GP53" s="246"/>
      <c r="GQ53" s="246"/>
      <c r="GR53" s="243">
        <f t="shared" si="168"/>
        <v>0</v>
      </c>
      <c r="GS53" s="246"/>
      <c r="GT53" s="246"/>
      <c r="GU53" s="246"/>
      <c r="GV53" s="246"/>
      <c r="GW53" s="246"/>
      <c r="GX53" s="246"/>
      <c r="GY53" s="246"/>
      <c r="GZ53" s="243">
        <f t="shared" si="169"/>
        <v>0</v>
      </c>
      <c r="HA53" s="246"/>
      <c r="HB53" s="246"/>
      <c r="HC53" s="246"/>
      <c r="HD53" s="246"/>
      <c r="HE53" s="246"/>
      <c r="HF53" s="246"/>
      <c r="HG53" s="246"/>
      <c r="HH53" s="243">
        <f t="shared" si="170"/>
        <v>0</v>
      </c>
      <c r="HI53" s="246"/>
      <c r="HJ53" s="246"/>
      <c r="HK53" s="246"/>
      <c r="HL53" s="246"/>
      <c r="HM53" s="246"/>
      <c r="HN53" s="246"/>
      <c r="HO53" s="246"/>
      <c r="HP53" s="243">
        <f t="shared" si="171"/>
        <v>0</v>
      </c>
      <c r="HQ53" s="246"/>
      <c r="HR53" s="246"/>
      <c r="HS53" s="246"/>
      <c r="HT53" s="246"/>
      <c r="HU53" s="246"/>
      <c r="HV53" s="246"/>
      <c r="HW53" s="246"/>
      <c r="HX53" s="243">
        <f t="shared" si="172"/>
        <v>0</v>
      </c>
      <c r="HY53" s="246"/>
      <c r="HZ53" s="246"/>
      <c r="IA53" s="246"/>
      <c r="IB53" s="246"/>
      <c r="IC53" s="246"/>
      <c r="ID53" s="246"/>
      <c r="IE53" s="246"/>
      <c r="IF53" s="243">
        <f t="shared" si="173"/>
        <v>0</v>
      </c>
      <c r="IG53" s="246"/>
      <c r="IH53" s="246"/>
      <c r="II53" s="246"/>
      <c r="IJ53" s="246"/>
      <c r="IK53" s="246"/>
      <c r="IL53" s="246"/>
      <c r="IM53" s="246"/>
      <c r="IN53" s="243">
        <f t="shared" si="174"/>
        <v>0</v>
      </c>
      <c r="IO53" s="246"/>
      <c r="IP53" s="246"/>
      <c r="IQ53" s="246"/>
      <c r="IR53" s="246"/>
      <c r="IS53" s="246"/>
      <c r="IT53" s="246"/>
      <c r="IU53" s="246"/>
      <c r="IV53" s="243">
        <f t="shared" si="175"/>
        <v>0</v>
      </c>
      <c r="IW53" s="246"/>
      <c r="IX53" s="246"/>
      <c r="IY53" s="246"/>
      <c r="IZ53" s="246"/>
      <c r="JA53" s="246"/>
      <c r="JB53" s="246"/>
      <c r="JC53" s="246"/>
      <c r="JD53" s="243">
        <f t="shared" si="176"/>
        <v>0</v>
      </c>
      <c r="JE53" s="246"/>
      <c r="JF53" s="246"/>
      <c r="JG53" s="246"/>
      <c r="JH53" s="246"/>
      <c r="JI53" s="246"/>
      <c r="JJ53" s="246"/>
      <c r="JK53" s="246"/>
      <c r="JL53" s="243">
        <f t="shared" si="177"/>
        <v>0</v>
      </c>
      <c r="JM53" s="246"/>
      <c r="JN53" s="246"/>
      <c r="JO53" s="246"/>
      <c r="JP53" s="246"/>
      <c r="JQ53" s="246"/>
      <c r="JR53" s="246"/>
      <c r="JS53" s="246"/>
      <c r="JT53" s="243">
        <f t="shared" si="178"/>
        <v>0</v>
      </c>
      <c r="JU53" s="246"/>
      <c r="JV53" s="246"/>
      <c r="JW53" s="246"/>
      <c r="JX53" s="246"/>
      <c r="JY53" s="246"/>
      <c r="JZ53" s="246"/>
      <c r="KA53" s="246"/>
      <c r="KB53" s="243">
        <f t="shared" si="179"/>
        <v>0</v>
      </c>
      <c r="KC53" s="246"/>
      <c r="KD53" s="246"/>
      <c r="KE53" s="246"/>
      <c r="KF53" s="246"/>
      <c r="KG53" s="246"/>
      <c r="KH53" s="246"/>
      <c r="KI53" s="246"/>
      <c r="KJ53" s="243">
        <f t="shared" si="180"/>
        <v>0</v>
      </c>
      <c r="KK53" s="246"/>
      <c r="KL53" s="246"/>
      <c r="KM53" s="246"/>
      <c r="KN53" s="246"/>
      <c r="KO53" s="246"/>
      <c r="KP53" s="246"/>
      <c r="KQ53" s="246"/>
      <c r="KR53" s="243">
        <f t="shared" si="181"/>
        <v>0</v>
      </c>
      <c r="KS53" s="246"/>
      <c r="KT53" s="246"/>
      <c r="KU53" s="246"/>
      <c r="KV53" s="246"/>
      <c r="KW53" s="246"/>
      <c r="KX53" s="246"/>
      <c r="KY53" s="246"/>
      <c r="KZ53" s="243">
        <f t="shared" si="182"/>
        <v>0</v>
      </c>
      <c r="LA53" s="246"/>
      <c r="LB53" s="246"/>
      <c r="LC53" s="246"/>
      <c r="LD53" s="246"/>
      <c r="LE53" s="246"/>
      <c r="LF53" s="246"/>
      <c r="LG53" s="246"/>
      <c r="LH53" s="243">
        <f t="shared" si="183"/>
        <v>0</v>
      </c>
      <c r="LI53" s="246"/>
      <c r="LJ53" s="246"/>
      <c r="LK53" s="246"/>
      <c r="LL53" s="246"/>
      <c r="LM53" s="246"/>
      <c r="LN53" s="246"/>
      <c r="LO53" s="246"/>
      <c r="LP53" s="243">
        <f t="shared" si="184"/>
        <v>0</v>
      </c>
      <c r="LQ53" s="246"/>
      <c r="LR53" s="246"/>
      <c r="LS53" s="246"/>
      <c r="LT53" s="244">
        <f t="shared" si="185"/>
        <v>0</v>
      </c>
      <c r="LU53" s="246">
        <v>0</v>
      </c>
      <c r="LV53" s="246"/>
      <c r="LW53" s="246"/>
      <c r="LX53" s="246"/>
      <c r="LY53" s="246"/>
      <c r="LZ53" s="246"/>
      <c r="MA53" s="246"/>
      <c r="MB53" s="243">
        <f t="shared" si="186"/>
        <v>0</v>
      </c>
      <c r="MC53" s="246"/>
      <c r="MD53" s="246"/>
      <c r="ME53" s="246"/>
      <c r="MF53" s="246"/>
      <c r="MG53" s="246"/>
      <c r="MH53" s="246"/>
      <c r="MI53" s="246"/>
      <c r="MJ53" s="243">
        <f t="shared" si="187"/>
        <v>0</v>
      </c>
      <c r="MK53" s="246"/>
      <c r="ML53" s="246"/>
      <c r="MM53" s="246"/>
      <c r="MN53" s="246"/>
      <c r="MO53" s="246"/>
      <c r="MP53" s="246"/>
      <c r="MQ53" s="246"/>
      <c r="MR53" s="243">
        <f t="shared" si="188"/>
        <v>0</v>
      </c>
      <c r="MS53" s="271"/>
      <c r="MT53" s="246"/>
      <c r="MU53" s="246"/>
      <c r="MV53" s="246"/>
      <c r="MW53" s="246"/>
      <c r="MX53" s="246"/>
      <c r="MY53" s="246"/>
      <c r="MZ53" s="243">
        <f t="shared" si="189"/>
        <v>0</v>
      </c>
      <c r="NA53" s="246"/>
      <c r="NB53" s="246"/>
      <c r="NC53" s="246"/>
      <c r="ND53" s="243">
        <f t="shared" si="190"/>
        <v>0</v>
      </c>
      <c r="NE53" s="246">
        <v>0</v>
      </c>
      <c r="NF53" s="246"/>
      <c r="NG53" s="246"/>
      <c r="NH53" s="246"/>
      <c r="NI53" s="246"/>
      <c r="NJ53" s="246"/>
      <c r="NK53" s="246"/>
      <c r="NL53" s="243">
        <f t="shared" si="191"/>
        <v>0</v>
      </c>
      <c r="NM53" s="246"/>
      <c r="NN53" s="246"/>
      <c r="NO53" s="246"/>
      <c r="NP53" s="246"/>
      <c r="NQ53" s="246"/>
      <c r="NR53" s="246"/>
      <c r="NS53" s="246"/>
      <c r="NT53" s="243">
        <f t="shared" si="192"/>
        <v>0</v>
      </c>
      <c r="NU53" s="246"/>
      <c r="NV53" s="246"/>
      <c r="NW53" s="246"/>
      <c r="NX53" s="246"/>
      <c r="NY53" s="246"/>
      <c r="NZ53" s="246"/>
      <c r="OA53" s="246"/>
      <c r="OB53" s="243">
        <f t="shared" si="193"/>
        <v>0</v>
      </c>
      <c r="OC53" s="246"/>
      <c r="OD53" s="246"/>
      <c r="OE53" s="246"/>
      <c r="OF53" s="246"/>
      <c r="OG53" s="246"/>
      <c r="OH53" s="246"/>
      <c r="OI53" s="246"/>
      <c r="OJ53" s="243">
        <f t="shared" si="194"/>
        <v>0</v>
      </c>
      <c r="OK53" s="246"/>
      <c r="OL53" s="246"/>
      <c r="OM53" s="246"/>
      <c r="ON53" s="246"/>
      <c r="OO53" s="246"/>
      <c r="OP53" s="246"/>
      <c r="OQ53" s="246"/>
      <c r="OR53" s="243">
        <f t="shared" si="195"/>
        <v>0</v>
      </c>
      <c r="OS53" s="246"/>
      <c r="OT53" s="246"/>
      <c r="OU53" s="246"/>
      <c r="OV53" s="246"/>
      <c r="OW53" s="246"/>
      <c r="OX53" s="246"/>
      <c r="OY53" s="246"/>
      <c r="OZ53" s="243">
        <f t="shared" si="196"/>
        <v>0</v>
      </c>
      <c r="PA53" s="247"/>
      <c r="PB53" s="246"/>
      <c r="PC53" s="246"/>
      <c r="PD53" s="243">
        <f t="shared" si="197"/>
        <v>0</v>
      </c>
      <c r="PE53" s="247"/>
      <c r="PF53" s="246"/>
      <c r="PG53" s="246"/>
      <c r="PH53" s="246"/>
      <c r="PI53" s="246"/>
      <c r="PJ53" s="246"/>
      <c r="PK53" s="246"/>
      <c r="PL53" s="243">
        <f t="shared" si="139"/>
        <v>0</v>
      </c>
      <c r="PM53" s="247"/>
      <c r="PN53" s="246">
        <v>-1099.8518518518499</v>
      </c>
      <c r="PO53" s="246">
        <v>0</v>
      </c>
      <c r="PP53" s="246">
        <v>-3999.8230144822601</v>
      </c>
      <c r="PQ53" s="246">
        <v>0</v>
      </c>
      <c r="PR53" s="246">
        <v>-6140</v>
      </c>
      <c r="PS53" s="246">
        <v>0</v>
      </c>
      <c r="PT53" s="243">
        <f t="shared" si="198"/>
        <v>0</v>
      </c>
      <c r="PU53" s="246"/>
      <c r="PV53" s="246"/>
      <c r="PW53" s="246"/>
      <c r="PX53" s="246"/>
      <c r="PY53" s="246"/>
      <c r="PZ53" s="246"/>
      <c r="QA53" s="246"/>
      <c r="QB53" s="243">
        <f t="shared" si="199"/>
        <v>0</v>
      </c>
      <c r="QC53" s="246"/>
      <c r="QD53" s="246"/>
      <c r="QE53" s="246"/>
      <c r="QF53" s="246"/>
      <c r="QG53" s="246"/>
      <c r="QH53" s="246"/>
      <c r="QI53" s="246"/>
      <c r="QJ53" s="243">
        <f t="shared" si="200"/>
        <v>0</v>
      </c>
      <c r="QK53" s="246">
        <v>0</v>
      </c>
      <c r="QL53" s="246"/>
      <c r="QM53" s="246"/>
      <c r="QN53" s="246"/>
      <c r="QO53" s="246"/>
      <c r="QP53" s="243">
        <f t="shared" si="201"/>
        <v>0</v>
      </c>
      <c r="QQ53" s="243">
        <f t="shared" si="140"/>
        <v>0</v>
      </c>
      <c r="QR53" s="246"/>
      <c r="QS53" s="246"/>
      <c r="QT53" s="246"/>
      <c r="QU53" s="246"/>
      <c r="QV53" s="243">
        <f t="shared" si="202"/>
        <v>0</v>
      </c>
      <c r="QW53" s="246"/>
      <c r="QX53" s="246"/>
      <c r="QY53" s="246"/>
      <c r="QZ53" s="246"/>
      <c r="RA53" s="246"/>
      <c r="RB53" s="246"/>
      <c r="RC53" s="246"/>
      <c r="RD53" s="243">
        <f t="shared" si="203"/>
        <v>0</v>
      </c>
      <c r="RE53" s="300"/>
      <c r="RF53" s="259">
        <f t="shared" si="101"/>
        <v>20859.999397703301</v>
      </c>
      <c r="RG53" s="259">
        <f t="shared" si="141"/>
        <v>20913.969060000003</v>
      </c>
      <c r="RH53" s="259">
        <f t="shared" si="142"/>
        <v>25096.762872000007</v>
      </c>
      <c r="RI53" s="256">
        <f t="shared" si="143"/>
        <v>21400</v>
      </c>
    </row>
    <row r="54" spans="1:477">
      <c r="A54" s="5" t="s">
        <v>90</v>
      </c>
      <c r="B54" s="263"/>
      <c r="C54" s="246"/>
      <c r="D54" s="246"/>
      <c r="E54" s="246"/>
      <c r="F54" s="278">
        <v>9149.9998687810894</v>
      </c>
      <c r="G54" s="243">
        <v>7277.0247000000008</v>
      </c>
      <c r="H54" s="243">
        <f t="shared" si="144"/>
        <v>8732.4296400000003</v>
      </c>
      <c r="I54" s="278">
        <v>8800</v>
      </c>
      <c r="J54" s="246"/>
      <c r="K54" s="246"/>
      <c r="L54" s="246"/>
      <c r="M54" s="246"/>
      <c r="N54" s="246"/>
      <c r="O54" s="246"/>
      <c r="P54" s="243">
        <f t="shared" si="145"/>
        <v>0</v>
      </c>
      <c r="Q54" s="246"/>
      <c r="R54" s="246"/>
      <c r="S54" s="246"/>
      <c r="T54" s="246"/>
      <c r="U54" s="246"/>
      <c r="V54" s="246"/>
      <c r="W54" s="247"/>
      <c r="X54" s="243">
        <f t="shared" si="146"/>
        <v>0</v>
      </c>
      <c r="Y54" s="246"/>
      <c r="Z54" s="246"/>
      <c r="AA54" s="246"/>
      <c r="AB54" s="246"/>
      <c r="AC54" s="246"/>
      <c r="AD54" s="246"/>
      <c r="AE54" s="246"/>
      <c r="AF54" s="243">
        <f t="shared" si="147"/>
        <v>0</v>
      </c>
      <c r="AG54" s="246"/>
      <c r="AH54" s="246"/>
      <c r="AI54" s="246"/>
      <c r="AJ54" s="246"/>
      <c r="AK54" s="246"/>
      <c r="AL54" s="246"/>
      <c r="AM54" s="246"/>
      <c r="AN54" s="243">
        <f t="shared" si="148"/>
        <v>0</v>
      </c>
      <c r="AO54" s="246"/>
      <c r="AP54" s="246"/>
      <c r="AQ54" s="246"/>
      <c r="AR54" s="246"/>
      <c r="AS54" s="246"/>
      <c r="AT54" s="246"/>
      <c r="AU54" s="246"/>
      <c r="AV54" s="243">
        <f t="shared" si="149"/>
        <v>0</v>
      </c>
      <c r="AW54" s="246"/>
      <c r="AX54" s="246"/>
      <c r="AY54" s="246"/>
      <c r="AZ54" s="246"/>
      <c r="BA54" s="246"/>
      <c r="BB54" s="246"/>
      <c r="BC54" s="246"/>
      <c r="BD54" s="243">
        <f t="shared" si="150"/>
        <v>0</v>
      </c>
      <c r="BE54" s="246"/>
      <c r="BF54" s="246"/>
      <c r="BG54" s="246"/>
      <c r="BH54" s="246"/>
      <c r="BI54" s="246"/>
      <c r="BJ54" s="246"/>
      <c r="BK54" s="246"/>
      <c r="BL54" s="243">
        <f t="shared" si="151"/>
        <v>0</v>
      </c>
      <c r="BM54" s="246"/>
      <c r="BN54" s="246"/>
      <c r="BO54" s="246"/>
      <c r="BP54" s="246"/>
      <c r="BQ54" s="246"/>
      <c r="BR54" s="246"/>
      <c r="BS54" s="246"/>
      <c r="BT54" s="243">
        <f t="shared" si="152"/>
        <v>0</v>
      </c>
      <c r="BU54" s="246"/>
      <c r="BV54" s="246"/>
      <c r="BW54" s="246"/>
      <c r="BX54" s="246"/>
      <c r="BY54" s="246"/>
      <c r="BZ54" s="246"/>
      <c r="CA54" s="246"/>
      <c r="CB54" s="243">
        <f t="shared" si="153"/>
        <v>0</v>
      </c>
      <c r="CC54" s="246"/>
      <c r="CD54" s="246"/>
      <c r="CE54" s="246"/>
      <c r="CF54" s="246"/>
      <c r="CG54" s="246"/>
      <c r="CH54" s="246"/>
      <c r="CI54" s="246"/>
      <c r="CJ54" s="243">
        <f t="shared" si="154"/>
        <v>0</v>
      </c>
      <c r="CK54" s="246"/>
      <c r="CL54" s="246"/>
      <c r="CM54" s="246"/>
      <c r="CN54" s="246"/>
      <c r="CO54" s="246"/>
      <c r="CP54" s="246"/>
      <c r="CQ54" s="246"/>
      <c r="CR54" s="243">
        <f t="shared" si="155"/>
        <v>0</v>
      </c>
      <c r="CS54" s="246"/>
      <c r="CT54" s="246"/>
      <c r="CU54" s="246"/>
      <c r="CV54" s="246"/>
      <c r="CW54" s="246"/>
      <c r="CX54" s="246"/>
      <c r="CY54" s="246"/>
      <c r="CZ54" s="243">
        <f t="shared" si="156"/>
        <v>0</v>
      </c>
      <c r="DA54" s="246"/>
      <c r="DB54" s="246"/>
      <c r="DC54" s="246"/>
      <c r="DD54" s="246"/>
      <c r="DE54" s="246"/>
      <c r="DF54" s="246"/>
      <c r="DG54" s="246"/>
      <c r="DH54" s="243">
        <f t="shared" si="157"/>
        <v>0</v>
      </c>
      <c r="DI54" s="246"/>
      <c r="DJ54" s="246"/>
      <c r="DK54" s="246"/>
      <c r="DL54" s="246"/>
      <c r="DM54" s="246"/>
      <c r="DN54" s="246"/>
      <c r="DO54" s="246"/>
      <c r="DP54" s="243">
        <f t="shared" si="158"/>
        <v>0</v>
      </c>
      <c r="DQ54" s="246"/>
      <c r="DR54" s="246"/>
      <c r="DS54" s="246"/>
      <c r="DT54" s="246"/>
      <c r="DU54" s="246"/>
      <c r="DV54" s="246"/>
      <c r="DW54" s="246"/>
      <c r="DX54" s="243">
        <f t="shared" si="159"/>
        <v>0</v>
      </c>
      <c r="DY54" s="246"/>
      <c r="DZ54" s="246"/>
      <c r="EA54" s="246"/>
      <c r="EB54" s="246"/>
      <c r="EC54" s="246"/>
      <c r="ED54" s="246"/>
      <c r="EE54" s="246"/>
      <c r="EF54" s="243">
        <f t="shared" si="160"/>
        <v>0</v>
      </c>
      <c r="EG54" s="246"/>
      <c r="EH54" s="246"/>
      <c r="EI54" s="246"/>
      <c r="EJ54" s="246"/>
      <c r="EK54" s="246"/>
      <c r="EL54" s="246"/>
      <c r="EM54" s="246"/>
      <c r="EN54" s="243">
        <f t="shared" si="161"/>
        <v>0</v>
      </c>
      <c r="EO54" s="246"/>
      <c r="EP54" s="246"/>
      <c r="EQ54" s="246"/>
      <c r="ER54" s="246"/>
      <c r="ES54" s="246"/>
      <c r="ET54" s="246"/>
      <c r="EU54" s="246"/>
      <c r="EV54" s="243">
        <f t="shared" si="162"/>
        <v>0</v>
      </c>
      <c r="EW54" s="246"/>
      <c r="EX54" s="246"/>
      <c r="EY54" s="246"/>
      <c r="EZ54" s="246"/>
      <c r="FA54" s="246"/>
      <c r="FB54" s="246"/>
      <c r="FC54" s="246"/>
      <c r="FD54" s="243">
        <f t="shared" si="163"/>
        <v>0</v>
      </c>
      <c r="FE54" s="246"/>
      <c r="FF54" s="246"/>
      <c r="FG54" s="246"/>
      <c r="FH54" s="246"/>
      <c r="FI54" s="246"/>
      <c r="FJ54" s="246"/>
      <c r="FK54" s="246"/>
      <c r="FL54" s="243">
        <f t="shared" si="164"/>
        <v>0</v>
      </c>
      <c r="FM54" s="246"/>
      <c r="FN54" s="246"/>
      <c r="FO54" s="246"/>
      <c r="FP54" s="246"/>
      <c r="FQ54" s="246"/>
      <c r="FR54" s="246"/>
      <c r="FS54" s="246"/>
      <c r="FT54" s="243">
        <f t="shared" si="165"/>
        <v>0</v>
      </c>
      <c r="FU54" s="246"/>
      <c r="FV54" s="246"/>
      <c r="FW54" s="246"/>
      <c r="FX54" s="246"/>
      <c r="FY54" s="246"/>
      <c r="FZ54" s="246"/>
      <c r="GA54" s="246"/>
      <c r="GB54" s="243">
        <f t="shared" si="166"/>
        <v>0</v>
      </c>
      <c r="GC54" s="246"/>
      <c r="GD54" s="246"/>
      <c r="GE54" s="246"/>
      <c r="GF54" s="246"/>
      <c r="GG54" s="246"/>
      <c r="GH54" s="246"/>
      <c r="GI54" s="246"/>
      <c r="GJ54" s="243">
        <f t="shared" si="167"/>
        <v>0</v>
      </c>
      <c r="GK54" s="246"/>
      <c r="GL54" s="246"/>
      <c r="GM54" s="246"/>
      <c r="GN54" s="246"/>
      <c r="GO54" s="246"/>
      <c r="GP54" s="246"/>
      <c r="GQ54" s="246"/>
      <c r="GR54" s="243">
        <f t="shared" si="168"/>
        <v>0</v>
      </c>
      <c r="GS54" s="246"/>
      <c r="GT54" s="246"/>
      <c r="GU54" s="246"/>
      <c r="GV54" s="246"/>
      <c r="GW54" s="246"/>
      <c r="GX54" s="246"/>
      <c r="GY54" s="246"/>
      <c r="GZ54" s="243">
        <f t="shared" si="169"/>
        <v>0</v>
      </c>
      <c r="HA54" s="246"/>
      <c r="HB54" s="246"/>
      <c r="HC54" s="246"/>
      <c r="HD54" s="246"/>
      <c r="HE54" s="246"/>
      <c r="HF54" s="246"/>
      <c r="HG54" s="246"/>
      <c r="HH54" s="243">
        <f t="shared" si="170"/>
        <v>0</v>
      </c>
      <c r="HI54" s="246"/>
      <c r="HJ54" s="246"/>
      <c r="HK54" s="246"/>
      <c r="HL54" s="246"/>
      <c r="HM54" s="246"/>
      <c r="HN54" s="246"/>
      <c r="HO54" s="246"/>
      <c r="HP54" s="243">
        <f t="shared" si="171"/>
        <v>0</v>
      </c>
      <c r="HQ54" s="246"/>
      <c r="HR54" s="246"/>
      <c r="HS54" s="246"/>
      <c r="HT54" s="246"/>
      <c r="HU54" s="246"/>
      <c r="HV54" s="246"/>
      <c r="HW54" s="246"/>
      <c r="HX54" s="243">
        <f t="shared" si="172"/>
        <v>0</v>
      </c>
      <c r="HY54" s="246"/>
      <c r="HZ54" s="246"/>
      <c r="IA54" s="246"/>
      <c r="IB54" s="246"/>
      <c r="IC54" s="246"/>
      <c r="ID54" s="246"/>
      <c r="IE54" s="246"/>
      <c r="IF54" s="243">
        <f t="shared" si="173"/>
        <v>0</v>
      </c>
      <c r="IG54" s="246"/>
      <c r="IH54" s="246"/>
      <c r="II54" s="246"/>
      <c r="IJ54" s="246"/>
      <c r="IK54" s="246"/>
      <c r="IL54" s="246"/>
      <c r="IM54" s="246"/>
      <c r="IN54" s="243">
        <f t="shared" si="174"/>
        <v>0</v>
      </c>
      <c r="IO54" s="246"/>
      <c r="IP54" s="246"/>
      <c r="IQ54" s="246"/>
      <c r="IR54" s="246"/>
      <c r="IS54" s="246"/>
      <c r="IT54" s="246"/>
      <c r="IU54" s="246"/>
      <c r="IV54" s="243">
        <f t="shared" si="175"/>
        <v>0</v>
      </c>
      <c r="IW54" s="246"/>
      <c r="IX54" s="246"/>
      <c r="IY54" s="246"/>
      <c r="IZ54" s="246"/>
      <c r="JA54" s="246"/>
      <c r="JB54" s="246">
        <v>0</v>
      </c>
      <c r="JC54" s="246">
        <v>22.825679999999998</v>
      </c>
      <c r="JD54" s="243">
        <f t="shared" si="176"/>
        <v>27.390816000000001</v>
      </c>
      <c r="JE54" s="246">
        <v>25</v>
      </c>
      <c r="JF54" s="246"/>
      <c r="JG54" s="246"/>
      <c r="JH54" s="246"/>
      <c r="JI54" s="246"/>
      <c r="JJ54" s="246"/>
      <c r="JK54" s="246"/>
      <c r="JL54" s="243">
        <f t="shared" si="177"/>
        <v>0</v>
      </c>
      <c r="JM54" s="246"/>
      <c r="JN54" s="246"/>
      <c r="JO54" s="246"/>
      <c r="JP54" s="246"/>
      <c r="JQ54" s="246"/>
      <c r="JR54" s="246"/>
      <c r="JS54" s="246"/>
      <c r="JT54" s="243">
        <f t="shared" si="178"/>
        <v>0</v>
      </c>
      <c r="JU54" s="246"/>
      <c r="JV54" s="246"/>
      <c r="JW54" s="246"/>
      <c r="JX54" s="246"/>
      <c r="JY54" s="246"/>
      <c r="JZ54" s="246"/>
      <c r="KA54" s="246"/>
      <c r="KB54" s="243">
        <f t="shared" si="179"/>
        <v>0</v>
      </c>
      <c r="KC54" s="246"/>
      <c r="KD54" s="246"/>
      <c r="KE54" s="246"/>
      <c r="KF54" s="246"/>
      <c r="KG54" s="246"/>
      <c r="KH54" s="246"/>
      <c r="KI54" s="246"/>
      <c r="KJ54" s="243">
        <f t="shared" si="180"/>
        <v>0</v>
      </c>
      <c r="KK54" s="246"/>
      <c r="KL54" s="246"/>
      <c r="KM54" s="246"/>
      <c r="KN54" s="246"/>
      <c r="KO54" s="246"/>
      <c r="KP54" s="246"/>
      <c r="KQ54" s="246"/>
      <c r="KR54" s="243">
        <f t="shared" si="181"/>
        <v>0</v>
      </c>
      <c r="KS54" s="246"/>
      <c r="KT54" s="246"/>
      <c r="KU54" s="246"/>
      <c r="KV54" s="246"/>
      <c r="KW54" s="246"/>
      <c r="KX54" s="246"/>
      <c r="KY54" s="246"/>
      <c r="KZ54" s="243">
        <f t="shared" si="182"/>
        <v>0</v>
      </c>
      <c r="LA54" s="246"/>
      <c r="LB54" s="246"/>
      <c r="LC54" s="246"/>
      <c r="LD54" s="246"/>
      <c r="LE54" s="246"/>
      <c r="LF54" s="246"/>
      <c r="LG54" s="246"/>
      <c r="LH54" s="243">
        <f t="shared" si="183"/>
        <v>0</v>
      </c>
      <c r="LI54" s="246"/>
      <c r="LJ54" s="246"/>
      <c r="LK54" s="246"/>
      <c r="LL54" s="246"/>
      <c r="LM54" s="246"/>
      <c r="LN54" s="246"/>
      <c r="LO54" s="246"/>
      <c r="LP54" s="243">
        <f t="shared" si="184"/>
        <v>0</v>
      </c>
      <c r="LQ54" s="246"/>
      <c r="LR54" s="246"/>
      <c r="LS54" s="246"/>
      <c r="LT54" s="244">
        <f t="shared" si="185"/>
        <v>0</v>
      </c>
      <c r="LU54" s="246">
        <v>0</v>
      </c>
      <c r="LV54" s="246"/>
      <c r="LW54" s="246"/>
      <c r="LX54" s="246"/>
      <c r="LY54" s="246"/>
      <c r="LZ54" s="246"/>
      <c r="MA54" s="246"/>
      <c r="MB54" s="243">
        <f t="shared" si="186"/>
        <v>0</v>
      </c>
      <c r="MC54" s="246"/>
      <c r="MD54" s="246"/>
      <c r="ME54" s="246"/>
      <c r="MF54" s="246"/>
      <c r="MG54" s="246"/>
      <c r="MH54" s="246"/>
      <c r="MI54" s="246"/>
      <c r="MJ54" s="243">
        <f t="shared" si="187"/>
        <v>0</v>
      </c>
      <c r="MK54" s="246"/>
      <c r="ML54" s="246"/>
      <c r="MM54" s="246"/>
      <c r="MN54" s="246"/>
      <c r="MO54" s="246"/>
      <c r="MP54" s="246"/>
      <c r="MQ54" s="246"/>
      <c r="MR54" s="243">
        <f t="shared" si="188"/>
        <v>0</v>
      </c>
      <c r="MS54" s="271"/>
      <c r="MT54" s="246"/>
      <c r="MU54" s="246"/>
      <c r="MV54" s="246"/>
      <c r="MW54" s="246"/>
      <c r="MX54" s="246"/>
      <c r="MY54" s="246"/>
      <c r="MZ54" s="243">
        <f t="shared" si="189"/>
        <v>0</v>
      </c>
      <c r="NA54" s="246"/>
      <c r="NB54" s="246"/>
      <c r="NC54" s="246"/>
      <c r="ND54" s="243">
        <f t="shared" si="190"/>
        <v>0</v>
      </c>
      <c r="NE54" s="246">
        <v>0</v>
      </c>
      <c r="NF54" s="246"/>
      <c r="NG54" s="246"/>
      <c r="NH54" s="246"/>
      <c r="NI54" s="246"/>
      <c r="NJ54" s="246"/>
      <c r="NK54" s="246"/>
      <c r="NL54" s="243">
        <f t="shared" si="191"/>
        <v>0</v>
      </c>
      <c r="NM54" s="246"/>
      <c r="NN54" s="246"/>
      <c r="NO54" s="246"/>
      <c r="NP54" s="246"/>
      <c r="NQ54" s="246"/>
      <c r="NR54" s="246"/>
      <c r="NS54" s="246"/>
      <c r="NT54" s="243">
        <f t="shared" si="192"/>
        <v>0</v>
      </c>
      <c r="NU54" s="246"/>
      <c r="NV54" s="246"/>
      <c r="NW54" s="246"/>
      <c r="NX54" s="246"/>
      <c r="NY54" s="246"/>
      <c r="NZ54" s="246"/>
      <c r="OA54" s="246"/>
      <c r="OB54" s="243">
        <f t="shared" si="193"/>
        <v>0</v>
      </c>
      <c r="OC54" s="246"/>
      <c r="OD54" s="246"/>
      <c r="OE54" s="246"/>
      <c r="OF54" s="246"/>
      <c r="OG54" s="246"/>
      <c r="OH54" s="246"/>
      <c r="OI54" s="246"/>
      <c r="OJ54" s="243">
        <f t="shared" si="194"/>
        <v>0</v>
      </c>
      <c r="OK54" s="246"/>
      <c r="OL54" s="246"/>
      <c r="OM54" s="246"/>
      <c r="ON54" s="246"/>
      <c r="OO54" s="246"/>
      <c r="OP54" s="246"/>
      <c r="OQ54" s="246"/>
      <c r="OR54" s="243">
        <f t="shared" si="195"/>
        <v>0</v>
      </c>
      <c r="OS54" s="246"/>
      <c r="OT54" s="246"/>
      <c r="OU54" s="246"/>
      <c r="OV54" s="246"/>
      <c r="OW54" s="246"/>
      <c r="OX54" s="246"/>
      <c r="OY54" s="246"/>
      <c r="OZ54" s="243">
        <f t="shared" si="196"/>
        <v>0</v>
      </c>
      <c r="PA54" s="247"/>
      <c r="PB54" s="246"/>
      <c r="PC54" s="246"/>
      <c r="PD54" s="243">
        <f t="shared" si="197"/>
        <v>0</v>
      </c>
      <c r="PE54" s="247"/>
      <c r="PF54" s="246"/>
      <c r="PG54" s="246"/>
      <c r="PH54" s="246"/>
      <c r="PI54" s="246"/>
      <c r="PJ54" s="246"/>
      <c r="PK54" s="246"/>
      <c r="PL54" s="243">
        <f t="shared" si="139"/>
        <v>0</v>
      </c>
      <c r="PM54" s="247"/>
      <c r="PN54" s="246"/>
      <c r="PO54" s="246"/>
      <c r="PP54" s="246"/>
      <c r="PQ54" s="246"/>
      <c r="PR54" s="246">
        <v>-4150</v>
      </c>
      <c r="PS54" s="246">
        <v>0</v>
      </c>
      <c r="PT54" s="243">
        <f t="shared" si="198"/>
        <v>0</v>
      </c>
      <c r="PU54" s="246"/>
      <c r="PV54" s="246"/>
      <c r="PW54" s="246"/>
      <c r="PX54" s="246"/>
      <c r="PY54" s="246"/>
      <c r="PZ54" s="246"/>
      <c r="QA54" s="246"/>
      <c r="QB54" s="243">
        <f t="shared" si="199"/>
        <v>0</v>
      </c>
      <c r="QC54" s="246"/>
      <c r="QD54" s="246"/>
      <c r="QE54" s="246"/>
      <c r="QF54" s="246"/>
      <c r="QG54" s="246"/>
      <c r="QH54" s="246"/>
      <c r="QI54" s="246"/>
      <c r="QJ54" s="243">
        <f t="shared" si="200"/>
        <v>0</v>
      </c>
      <c r="QK54" s="246">
        <v>0</v>
      </c>
      <c r="QL54" s="246"/>
      <c r="QM54" s="246"/>
      <c r="QN54" s="246"/>
      <c r="QO54" s="246"/>
      <c r="QP54" s="243">
        <f t="shared" si="201"/>
        <v>0</v>
      </c>
      <c r="QQ54" s="243">
        <f t="shared" si="140"/>
        <v>0</v>
      </c>
      <c r="QR54" s="246"/>
      <c r="QS54" s="246"/>
      <c r="QT54" s="246"/>
      <c r="QU54" s="246"/>
      <c r="QV54" s="243">
        <f t="shared" si="202"/>
        <v>0</v>
      </c>
      <c r="QW54" s="246"/>
      <c r="QX54" s="246"/>
      <c r="QY54" s="246"/>
      <c r="QZ54" s="246"/>
      <c r="RA54" s="246"/>
      <c r="RB54" s="246"/>
      <c r="RC54" s="246"/>
      <c r="RD54" s="243">
        <f t="shared" si="203"/>
        <v>0</v>
      </c>
      <c r="RE54" s="300"/>
      <c r="RF54" s="259">
        <f t="shared" si="101"/>
        <v>4999.9998687810894</v>
      </c>
      <c r="RG54" s="259">
        <f t="shared" si="141"/>
        <v>7299.8503800000008</v>
      </c>
      <c r="RH54" s="259">
        <f t="shared" si="142"/>
        <v>8759.8204559999995</v>
      </c>
      <c r="RI54" s="256">
        <f t="shared" si="143"/>
        <v>8825</v>
      </c>
    </row>
    <row r="55" spans="1:477">
      <c r="A55" s="5" t="s">
        <v>91</v>
      </c>
      <c r="B55" s="263"/>
      <c r="C55" s="246"/>
      <c r="D55" s="246"/>
      <c r="E55" s="246"/>
      <c r="F55" s="278">
        <v>17889.957841269799</v>
      </c>
      <c r="G55" s="243">
        <v>11601.923980000001</v>
      </c>
      <c r="H55" s="243">
        <f t="shared" si="144"/>
        <v>13922.308776000002</v>
      </c>
      <c r="I55" s="278">
        <v>14100</v>
      </c>
      <c r="J55" s="246"/>
      <c r="K55" s="246"/>
      <c r="L55" s="246"/>
      <c r="M55" s="246"/>
      <c r="N55" s="246"/>
      <c r="O55" s="246"/>
      <c r="P55" s="243">
        <f t="shared" si="145"/>
        <v>0</v>
      </c>
      <c r="Q55" s="246"/>
      <c r="R55" s="246"/>
      <c r="S55" s="246"/>
      <c r="T55" s="246"/>
      <c r="U55" s="246"/>
      <c r="V55" s="246"/>
      <c r="W55" s="247"/>
      <c r="X55" s="243">
        <f t="shared" si="146"/>
        <v>0</v>
      </c>
      <c r="Y55" s="246"/>
      <c r="Z55" s="246"/>
      <c r="AA55" s="246"/>
      <c r="AB55" s="246"/>
      <c r="AC55" s="246"/>
      <c r="AD55" s="246"/>
      <c r="AE55" s="246"/>
      <c r="AF55" s="243">
        <f t="shared" si="147"/>
        <v>0</v>
      </c>
      <c r="AG55" s="246"/>
      <c r="AH55" s="246"/>
      <c r="AI55" s="246"/>
      <c r="AJ55" s="246"/>
      <c r="AK55" s="246"/>
      <c r="AL55" s="246"/>
      <c r="AM55" s="246"/>
      <c r="AN55" s="243">
        <f t="shared" si="148"/>
        <v>0</v>
      </c>
      <c r="AO55" s="246"/>
      <c r="AP55" s="246"/>
      <c r="AQ55" s="246"/>
      <c r="AR55" s="246"/>
      <c r="AS55" s="246"/>
      <c r="AT55" s="246"/>
      <c r="AU55" s="246"/>
      <c r="AV55" s="243">
        <f t="shared" si="149"/>
        <v>0</v>
      </c>
      <c r="AW55" s="246"/>
      <c r="AX55" s="246"/>
      <c r="AY55" s="246"/>
      <c r="AZ55" s="246"/>
      <c r="BA55" s="246"/>
      <c r="BB55" s="246"/>
      <c r="BC55" s="246"/>
      <c r="BD55" s="243">
        <f t="shared" si="150"/>
        <v>0</v>
      </c>
      <c r="BE55" s="246"/>
      <c r="BF55" s="246"/>
      <c r="BG55" s="246"/>
      <c r="BH55" s="246"/>
      <c r="BI55" s="246"/>
      <c r="BJ55" s="246"/>
      <c r="BK55" s="246"/>
      <c r="BL55" s="243">
        <f t="shared" si="151"/>
        <v>0</v>
      </c>
      <c r="BM55" s="246"/>
      <c r="BN55" s="246"/>
      <c r="BO55" s="246"/>
      <c r="BP55" s="246"/>
      <c r="BQ55" s="246"/>
      <c r="BR55" s="246"/>
      <c r="BS55" s="246"/>
      <c r="BT55" s="243">
        <f t="shared" si="152"/>
        <v>0</v>
      </c>
      <c r="BU55" s="246"/>
      <c r="BV55" s="246"/>
      <c r="BW55" s="246"/>
      <c r="BX55" s="246"/>
      <c r="BY55" s="246"/>
      <c r="BZ55" s="246"/>
      <c r="CA55" s="246"/>
      <c r="CB55" s="243">
        <f t="shared" si="153"/>
        <v>0</v>
      </c>
      <c r="CC55" s="246"/>
      <c r="CD55" s="246"/>
      <c r="CE55" s="246"/>
      <c r="CF55" s="246"/>
      <c r="CG55" s="246"/>
      <c r="CH55" s="246"/>
      <c r="CI55" s="246"/>
      <c r="CJ55" s="243">
        <f t="shared" si="154"/>
        <v>0</v>
      </c>
      <c r="CK55" s="246"/>
      <c r="CL55" s="246"/>
      <c r="CM55" s="246"/>
      <c r="CN55" s="246"/>
      <c r="CO55" s="246"/>
      <c r="CP55" s="246"/>
      <c r="CQ55" s="246"/>
      <c r="CR55" s="243">
        <f t="shared" si="155"/>
        <v>0</v>
      </c>
      <c r="CS55" s="246"/>
      <c r="CT55" s="246"/>
      <c r="CU55" s="246"/>
      <c r="CV55" s="246"/>
      <c r="CW55" s="246"/>
      <c r="CX55" s="246"/>
      <c r="CY55" s="246"/>
      <c r="CZ55" s="243">
        <f t="shared" si="156"/>
        <v>0</v>
      </c>
      <c r="DA55" s="246"/>
      <c r="DB55" s="246"/>
      <c r="DC55" s="246"/>
      <c r="DD55" s="246"/>
      <c r="DE55" s="246"/>
      <c r="DF55" s="246"/>
      <c r="DG55" s="246"/>
      <c r="DH55" s="243">
        <f t="shared" si="157"/>
        <v>0</v>
      </c>
      <c r="DI55" s="246"/>
      <c r="DJ55" s="246"/>
      <c r="DK55" s="246"/>
      <c r="DL55" s="246"/>
      <c r="DM55" s="246"/>
      <c r="DN55" s="246"/>
      <c r="DO55" s="246"/>
      <c r="DP55" s="243">
        <f t="shared" si="158"/>
        <v>0</v>
      </c>
      <c r="DQ55" s="246"/>
      <c r="DR55" s="246"/>
      <c r="DS55" s="246"/>
      <c r="DT55" s="246"/>
      <c r="DU55" s="246"/>
      <c r="DV55" s="246"/>
      <c r="DW55" s="246"/>
      <c r="DX55" s="243">
        <f t="shared" si="159"/>
        <v>0</v>
      </c>
      <c r="DY55" s="246"/>
      <c r="DZ55" s="246"/>
      <c r="EA55" s="246"/>
      <c r="EB55" s="246"/>
      <c r="EC55" s="246"/>
      <c r="ED55" s="246"/>
      <c r="EE55" s="246"/>
      <c r="EF55" s="243">
        <f t="shared" si="160"/>
        <v>0</v>
      </c>
      <c r="EG55" s="246"/>
      <c r="EH55" s="246"/>
      <c r="EI55" s="246"/>
      <c r="EJ55" s="246"/>
      <c r="EK55" s="246"/>
      <c r="EL55" s="246"/>
      <c r="EM55" s="246"/>
      <c r="EN55" s="243">
        <f t="shared" si="161"/>
        <v>0</v>
      </c>
      <c r="EO55" s="246"/>
      <c r="EP55" s="246"/>
      <c r="EQ55" s="246"/>
      <c r="ER55" s="246"/>
      <c r="ES55" s="246"/>
      <c r="ET55" s="246"/>
      <c r="EU55" s="246"/>
      <c r="EV55" s="243">
        <f t="shared" si="162"/>
        <v>0</v>
      </c>
      <c r="EW55" s="246"/>
      <c r="EX55" s="246"/>
      <c r="EY55" s="246"/>
      <c r="EZ55" s="246"/>
      <c r="FA55" s="246"/>
      <c r="FB55" s="246"/>
      <c r="FC55" s="246"/>
      <c r="FD55" s="243">
        <f t="shared" si="163"/>
        <v>0</v>
      </c>
      <c r="FE55" s="246"/>
      <c r="FF55" s="246"/>
      <c r="FG55" s="246"/>
      <c r="FH55" s="246"/>
      <c r="FI55" s="246"/>
      <c r="FJ55" s="246"/>
      <c r="FK55" s="246"/>
      <c r="FL55" s="243">
        <f t="shared" si="164"/>
        <v>0</v>
      </c>
      <c r="FM55" s="246"/>
      <c r="FN55" s="246"/>
      <c r="FO55" s="246"/>
      <c r="FP55" s="246"/>
      <c r="FQ55" s="246"/>
      <c r="FR55" s="246"/>
      <c r="FS55" s="246"/>
      <c r="FT55" s="243">
        <f t="shared" si="165"/>
        <v>0</v>
      </c>
      <c r="FU55" s="246"/>
      <c r="FV55" s="246"/>
      <c r="FW55" s="246"/>
      <c r="FX55" s="246"/>
      <c r="FY55" s="246"/>
      <c r="FZ55" s="246"/>
      <c r="GA55" s="246"/>
      <c r="GB55" s="243">
        <f t="shared" si="166"/>
        <v>0</v>
      </c>
      <c r="GC55" s="246"/>
      <c r="GD55" s="246"/>
      <c r="GE55" s="246"/>
      <c r="GF55" s="246"/>
      <c r="GG55" s="246"/>
      <c r="GH55" s="246"/>
      <c r="GI55" s="246"/>
      <c r="GJ55" s="243">
        <f t="shared" si="167"/>
        <v>0</v>
      </c>
      <c r="GK55" s="246"/>
      <c r="GL55" s="246"/>
      <c r="GM55" s="246"/>
      <c r="GN55" s="246"/>
      <c r="GO55" s="246"/>
      <c r="GP55" s="246"/>
      <c r="GQ55" s="246"/>
      <c r="GR55" s="243">
        <f t="shared" si="168"/>
        <v>0</v>
      </c>
      <c r="GS55" s="246"/>
      <c r="GT55" s="246"/>
      <c r="GU55" s="246"/>
      <c r="GV55" s="246"/>
      <c r="GW55" s="246"/>
      <c r="GX55" s="246"/>
      <c r="GY55" s="246"/>
      <c r="GZ55" s="243">
        <f t="shared" si="169"/>
        <v>0</v>
      </c>
      <c r="HA55" s="246"/>
      <c r="HB55" s="246"/>
      <c r="HC55" s="246"/>
      <c r="HD55" s="246"/>
      <c r="HE55" s="246"/>
      <c r="HF55" s="246"/>
      <c r="HG55" s="246"/>
      <c r="HH55" s="243">
        <f t="shared" si="170"/>
        <v>0</v>
      </c>
      <c r="HI55" s="246"/>
      <c r="HJ55" s="246"/>
      <c r="HK55" s="246"/>
      <c r="HL55" s="246"/>
      <c r="HM55" s="246"/>
      <c r="HN55" s="246"/>
      <c r="HO55" s="246"/>
      <c r="HP55" s="243">
        <f t="shared" si="171"/>
        <v>0</v>
      </c>
      <c r="HQ55" s="246"/>
      <c r="HR55" s="246"/>
      <c r="HS55" s="246"/>
      <c r="HT55" s="246"/>
      <c r="HU55" s="246"/>
      <c r="HV55" s="246"/>
      <c r="HW55" s="246"/>
      <c r="HX55" s="243">
        <f t="shared" si="172"/>
        <v>0</v>
      </c>
      <c r="HY55" s="246"/>
      <c r="HZ55" s="246"/>
      <c r="IA55" s="246"/>
      <c r="IB55" s="246"/>
      <c r="IC55" s="246"/>
      <c r="ID55" s="246"/>
      <c r="IE55" s="246"/>
      <c r="IF55" s="243">
        <f t="shared" si="173"/>
        <v>0</v>
      </c>
      <c r="IG55" s="246"/>
      <c r="IH55" s="246"/>
      <c r="II55" s="246"/>
      <c r="IJ55" s="246"/>
      <c r="IK55" s="246"/>
      <c r="IL55" s="246"/>
      <c r="IM55" s="246"/>
      <c r="IN55" s="243">
        <f t="shared" si="174"/>
        <v>0</v>
      </c>
      <c r="IO55" s="246"/>
      <c r="IP55" s="246"/>
      <c r="IQ55" s="246"/>
      <c r="IR55" s="246"/>
      <c r="IS55" s="246"/>
      <c r="IT55" s="246"/>
      <c r="IU55" s="246"/>
      <c r="IV55" s="243">
        <f t="shared" si="175"/>
        <v>0</v>
      </c>
      <c r="IW55" s="246"/>
      <c r="IX55" s="246"/>
      <c r="IY55" s="246"/>
      <c r="IZ55" s="246"/>
      <c r="JA55" s="246"/>
      <c r="JB55" s="246"/>
      <c r="JC55" s="246"/>
      <c r="JD55" s="243">
        <f t="shared" si="176"/>
        <v>0</v>
      </c>
      <c r="JE55" s="246"/>
      <c r="JF55" s="246"/>
      <c r="JG55" s="246"/>
      <c r="JH55" s="246"/>
      <c r="JI55" s="246"/>
      <c r="JJ55" s="246"/>
      <c r="JK55" s="246"/>
      <c r="JL55" s="243">
        <f t="shared" si="177"/>
        <v>0</v>
      </c>
      <c r="JM55" s="246"/>
      <c r="JN55" s="246"/>
      <c r="JO55" s="246"/>
      <c r="JP55" s="246"/>
      <c r="JQ55" s="246"/>
      <c r="JR55" s="246"/>
      <c r="JS55" s="246"/>
      <c r="JT55" s="243">
        <f t="shared" si="178"/>
        <v>0</v>
      </c>
      <c r="JU55" s="246"/>
      <c r="JV55" s="246"/>
      <c r="JW55" s="246"/>
      <c r="JX55" s="246"/>
      <c r="JY55" s="246"/>
      <c r="JZ55" s="246"/>
      <c r="KA55" s="246"/>
      <c r="KB55" s="243">
        <f t="shared" si="179"/>
        <v>0</v>
      </c>
      <c r="KC55" s="246"/>
      <c r="KD55" s="246"/>
      <c r="KE55" s="246"/>
      <c r="KF55" s="246"/>
      <c r="KG55" s="246"/>
      <c r="KH55" s="246"/>
      <c r="KI55" s="246"/>
      <c r="KJ55" s="243">
        <f t="shared" si="180"/>
        <v>0</v>
      </c>
      <c r="KK55" s="246"/>
      <c r="KL55" s="246"/>
      <c r="KM55" s="246"/>
      <c r="KN55" s="246"/>
      <c r="KO55" s="246"/>
      <c r="KP55" s="246"/>
      <c r="KQ55" s="246"/>
      <c r="KR55" s="243">
        <f t="shared" si="181"/>
        <v>0</v>
      </c>
      <c r="KS55" s="246"/>
      <c r="KT55" s="246"/>
      <c r="KU55" s="246"/>
      <c r="KV55" s="246"/>
      <c r="KW55" s="246"/>
      <c r="KX55" s="246"/>
      <c r="KY55" s="246"/>
      <c r="KZ55" s="243">
        <f t="shared" si="182"/>
        <v>0</v>
      </c>
      <c r="LA55" s="246"/>
      <c r="LB55" s="246"/>
      <c r="LC55" s="246"/>
      <c r="LD55" s="246"/>
      <c r="LE55" s="246"/>
      <c r="LF55" s="246"/>
      <c r="LG55" s="246"/>
      <c r="LH55" s="243">
        <f t="shared" si="183"/>
        <v>0</v>
      </c>
      <c r="LI55" s="246"/>
      <c r="LJ55" s="246"/>
      <c r="LK55" s="246"/>
      <c r="LL55" s="246"/>
      <c r="LM55" s="246"/>
      <c r="LN55" s="246"/>
      <c r="LO55" s="246"/>
      <c r="LP55" s="243">
        <f t="shared" si="184"/>
        <v>0</v>
      </c>
      <c r="LQ55" s="246"/>
      <c r="LR55" s="246"/>
      <c r="LS55" s="246"/>
      <c r="LT55" s="244">
        <f t="shared" si="185"/>
        <v>0</v>
      </c>
      <c r="LU55" s="246">
        <v>0</v>
      </c>
      <c r="LV55" s="246"/>
      <c r="LW55" s="246"/>
      <c r="LX55" s="246"/>
      <c r="LY55" s="246"/>
      <c r="LZ55" s="246"/>
      <c r="MA55" s="246"/>
      <c r="MB55" s="243">
        <f t="shared" si="186"/>
        <v>0</v>
      </c>
      <c r="MC55" s="246"/>
      <c r="MD55" s="246"/>
      <c r="ME55" s="246"/>
      <c r="MF55" s="246"/>
      <c r="MG55" s="246"/>
      <c r="MH55" s="246"/>
      <c r="MI55" s="246"/>
      <c r="MJ55" s="243">
        <f t="shared" si="187"/>
        <v>0</v>
      </c>
      <c r="MK55" s="246"/>
      <c r="ML55" s="246"/>
      <c r="MM55" s="246"/>
      <c r="MN55" s="246"/>
      <c r="MO55" s="246"/>
      <c r="MP55" s="246"/>
      <c r="MQ55" s="246"/>
      <c r="MR55" s="243">
        <f t="shared" si="188"/>
        <v>0</v>
      </c>
      <c r="MS55" s="271"/>
      <c r="MT55" s="246"/>
      <c r="MU55" s="246"/>
      <c r="MV55" s="246"/>
      <c r="MW55" s="246"/>
      <c r="MX55" s="246"/>
      <c r="MY55" s="246"/>
      <c r="MZ55" s="243">
        <f t="shared" si="189"/>
        <v>0</v>
      </c>
      <c r="NA55" s="246"/>
      <c r="NB55" s="246"/>
      <c r="NC55" s="246"/>
      <c r="ND55" s="243">
        <f t="shared" si="190"/>
        <v>0</v>
      </c>
      <c r="NE55" s="246">
        <v>0</v>
      </c>
      <c r="NF55" s="246"/>
      <c r="NG55" s="246"/>
      <c r="NH55" s="246"/>
      <c r="NI55" s="246"/>
      <c r="NJ55" s="246"/>
      <c r="NK55" s="246"/>
      <c r="NL55" s="243">
        <f t="shared" si="191"/>
        <v>0</v>
      </c>
      <c r="NM55" s="246"/>
      <c r="NN55" s="246"/>
      <c r="NO55" s="246"/>
      <c r="NP55" s="246"/>
      <c r="NQ55" s="246"/>
      <c r="NR55" s="246"/>
      <c r="NS55" s="246"/>
      <c r="NT55" s="243">
        <f t="shared" si="192"/>
        <v>0</v>
      </c>
      <c r="NU55" s="246"/>
      <c r="NV55" s="246"/>
      <c r="NW55" s="246"/>
      <c r="NX55" s="246"/>
      <c r="NY55" s="246"/>
      <c r="NZ55" s="246"/>
      <c r="OA55" s="246"/>
      <c r="OB55" s="243">
        <f t="shared" si="193"/>
        <v>0</v>
      </c>
      <c r="OC55" s="246"/>
      <c r="OD55" s="246"/>
      <c r="OE55" s="246"/>
      <c r="OF55" s="246"/>
      <c r="OG55" s="246"/>
      <c r="OH55" s="246"/>
      <c r="OI55" s="246"/>
      <c r="OJ55" s="243">
        <f t="shared" si="194"/>
        <v>0</v>
      </c>
      <c r="OK55" s="246"/>
      <c r="OL55" s="246"/>
      <c r="OM55" s="246"/>
      <c r="ON55" s="246"/>
      <c r="OO55" s="246"/>
      <c r="OP55" s="246"/>
      <c r="OQ55" s="246"/>
      <c r="OR55" s="243">
        <f t="shared" si="195"/>
        <v>0</v>
      </c>
      <c r="OS55" s="246"/>
      <c r="OT55" s="246"/>
      <c r="OU55" s="246"/>
      <c r="OV55" s="246"/>
      <c r="OW55" s="246"/>
      <c r="OX55" s="246"/>
      <c r="OY55" s="246"/>
      <c r="OZ55" s="243">
        <f t="shared" si="196"/>
        <v>0</v>
      </c>
      <c r="PA55" s="247"/>
      <c r="PB55" s="246"/>
      <c r="PC55" s="246"/>
      <c r="PD55" s="243">
        <f t="shared" si="197"/>
        <v>0</v>
      </c>
      <c r="PE55" s="247"/>
      <c r="PF55" s="246"/>
      <c r="PG55" s="246"/>
      <c r="PH55" s="246"/>
      <c r="PI55" s="246"/>
      <c r="PJ55" s="246"/>
      <c r="PK55" s="246"/>
      <c r="PL55" s="243">
        <f t="shared" si="139"/>
        <v>0</v>
      </c>
      <c r="PM55" s="247"/>
      <c r="PN55" s="246"/>
      <c r="PO55" s="246"/>
      <c r="PP55" s="246"/>
      <c r="PQ55" s="246"/>
      <c r="PR55" s="246">
        <v>-10015</v>
      </c>
      <c r="PS55" s="246">
        <v>0</v>
      </c>
      <c r="PT55" s="243">
        <f t="shared" si="198"/>
        <v>0</v>
      </c>
      <c r="PU55" s="246"/>
      <c r="PV55" s="246"/>
      <c r="PW55" s="246"/>
      <c r="PX55" s="246"/>
      <c r="PY55" s="246"/>
      <c r="PZ55" s="246"/>
      <c r="QA55" s="246"/>
      <c r="QB55" s="243">
        <f t="shared" si="199"/>
        <v>0</v>
      </c>
      <c r="QC55" s="246"/>
      <c r="QD55" s="246"/>
      <c r="QE55" s="246"/>
      <c r="QF55" s="246"/>
      <c r="QG55" s="246"/>
      <c r="QH55" s="246"/>
      <c r="QI55" s="246"/>
      <c r="QJ55" s="243">
        <f t="shared" si="200"/>
        <v>0</v>
      </c>
      <c r="QK55" s="246">
        <v>0</v>
      </c>
      <c r="QL55" s="246"/>
      <c r="QM55" s="246"/>
      <c r="QN55" s="246"/>
      <c r="QO55" s="246"/>
      <c r="QP55" s="243">
        <f t="shared" si="201"/>
        <v>0</v>
      </c>
      <c r="QQ55" s="243">
        <f t="shared" si="140"/>
        <v>0</v>
      </c>
      <c r="QR55" s="246"/>
      <c r="QS55" s="246"/>
      <c r="QT55" s="246"/>
      <c r="QU55" s="246"/>
      <c r="QV55" s="243">
        <f t="shared" si="202"/>
        <v>0</v>
      </c>
      <c r="QW55" s="246"/>
      <c r="QX55" s="246"/>
      <c r="QY55" s="246"/>
      <c r="QZ55" s="246"/>
      <c r="RA55" s="246"/>
      <c r="RB55" s="246"/>
      <c r="RC55" s="246"/>
      <c r="RD55" s="243">
        <f t="shared" si="203"/>
        <v>0</v>
      </c>
      <c r="RE55" s="300"/>
      <c r="RF55" s="259">
        <f t="shared" si="101"/>
        <v>7874.9578412697992</v>
      </c>
      <c r="RG55" s="259">
        <f t="shared" si="141"/>
        <v>11601.923980000001</v>
      </c>
      <c r="RH55" s="259">
        <f t="shared" si="142"/>
        <v>13922.308776000002</v>
      </c>
      <c r="RI55" s="256">
        <f t="shared" si="143"/>
        <v>14100</v>
      </c>
    </row>
    <row r="56" spans="1:477">
      <c r="A56" s="5" t="s">
        <v>92</v>
      </c>
      <c r="B56" s="263"/>
      <c r="C56" s="246"/>
      <c r="D56" s="246"/>
      <c r="E56" s="246"/>
      <c r="F56" s="278">
        <v>5859.6144999999997</v>
      </c>
      <c r="G56" s="243">
        <v>4792.1816400000025</v>
      </c>
      <c r="H56" s="243">
        <f t="shared" si="144"/>
        <v>5750.6179680000023</v>
      </c>
      <c r="I56" s="278">
        <v>5630</v>
      </c>
      <c r="J56" s="246"/>
      <c r="K56" s="246"/>
      <c r="L56" s="246"/>
      <c r="M56" s="246"/>
      <c r="N56" s="246"/>
      <c r="O56" s="246"/>
      <c r="P56" s="243">
        <f t="shared" si="145"/>
        <v>0</v>
      </c>
      <c r="Q56" s="246"/>
      <c r="R56" s="246"/>
      <c r="S56" s="246"/>
      <c r="T56" s="246"/>
      <c r="U56" s="246"/>
      <c r="V56" s="246"/>
      <c r="W56" s="247"/>
      <c r="X56" s="243">
        <f t="shared" si="146"/>
        <v>0</v>
      </c>
      <c r="Y56" s="246"/>
      <c r="Z56" s="246"/>
      <c r="AA56" s="246"/>
      <c r="AB56" s="246"/>
      <c r="AC56" s="246"/>
      <c r="AD56" s="246"/>
      <c r="AE56" s="246"/>
      <c r="AF56" s="243">
        <f t="shared" si="147"/>
        <v>0</v>
      </c>
      <c r="AG56" s="246"/>
      <c r="AH56" s="246"/>
      <c r="AI56" s="246"/>
      <c r="AJ56" s="246"/>
      <c r="AK56" s="246"/>
      <c r="AL56" s="246"/>
      <c r="AM56" s="246"/>
      <c r="AN56" s="243">
        <f t="shared" si="148"/>
        <v>0</v>
      </c>
      <c r="AO56" s="246"/>
      <c r="AP56" s="246"/>
      <c r="AQ56" s="246"/>
      <c r="AR56" s="246"/>
      <c r="AS56" s="246"/>
      <c r="AT56" s="246"/>
      <c r="AU56" s="246"/>
      <c r="AV56" s="243">
        <f t="shared" si="149"/>
        <v>0</v>
      </c>
      <c r="AW56" s="246"/>
      <c r="AX56" s="246"/>
      <c r="AY56" s="246"/>
      <c r="AZ56" s="246"/>
      <c r="BA56" s="246"/>
      <c r="BB56" s="246"/>
      <c r="BC56" s="246"/>
      <c r="BD56" s="243">
        <f t="shared" si="150"/>
        <v>0</v>
      </c>
      <c r="BE56" s="246"/>
      <c r="BF56" s="246"/>
      <c r="BG56" s="246"/>
      <c r="BH56" s="246"/>
      <c r="BI56" s="246"/>
      <c r="BJ56" s="246"/>
      <c r="BK56" s="246"/>
      <c r="BL56" s="243">
        <f t="shared" si="151"/>
        <v>0</v>
      </c>
      <c r="BM56" s="246"/>
      <c r="BN56" s="246"/>
      <c r="BO56" s="246"/>
      <c r="BP56" s="246"/>
      <c r="BQ56" s="246"/>
      <c r="BR56" s="246"/>
      <c r="BS56" s="246"/>
      <c r="BT56" s="243">
        <f t="shared" si="152"/>
        <v>0</v>
      </c>
      <c r="BU56" s="246"/>
      <c r="BV56" s="246"/>
      <c r="BW56" s="246"/>
      <c r="BX56" s="246"/>
      <c r="BY56" s="246"/>
      <c r="BZ56" s="246"/>
      <c r="CA56" s="246"/>
      <c r="CB56" s="243">
        <f t="shared" si="153"/>
        <v>0</v>
      </c>
      <c r="CC56" s="246"/>
      <c r="CD56" s="246"/>
      <c r="CE56" s="246"/>
      <c r="CF56" s="246"/>
      <c r="CG56" s="246"/>
      <c r="CH56" s="246"/>
      <c r="CI56" s="246"/>
      <c r="CJ56" s="243">
        <f t="shared" si="154"/>
        <v>0</v>
      </c>
      <c r="CK56" s="246"/>
      <c r="CL56" s="246"/>
      <c r="CM56" s="246"/>
      <c r="CN56" s="246"/>
      <c r="CO56" s="246"/>
      <c r="CP56" s="246"/>
      <c r="CQ56" s="246"/>
      <c r="CR56" s="243">
        <f t="shared" si="155"/>
        <v>0</v>
      </c>
      <c r="CS56" s="246"/>
      <c r="CT56" s="246"/>
      <c r="CU56" s="246"/>
      <c r="CV56" s="246"/>
      <c r="CW56" s="246"/>
      <c r="CX56" s="246"/>
      <c r="CY56" s="246"/>
      <c r="CZ56" s="243">
        <f t="shared" si="156"/>
        <v>0</v>
      </c>
      <c r="DA56" s="246"/>
      <c r="DB56" s="246"/>
      <c r="DC56" s="246"/>
      <c r="DD56" s="246"/>
      <c r="DE56" s="246"/>
      <c r="DF56" s="246"/>
      <c r="DG56" s="246"/>
      <c r="DH56" s="243">
        <f t="shared" si="157"/>
        <v>0</v>
      </c>
      <c r="DI56" s="246"/>
      <c r="DJ56" s="246"/>
      <c r="DK56" s="246"/>
      <c r="DL56" s="246"/>
      <c r="DM56" s="246"/>
      <c r="DN56" s="246"/>
      <c r="DO56" s="246"/>
      <c r="DP56" s="243">
        <f t="shared" si="158"/>
        <v>0</v>
      </c>
      <c r="DQ56" s="246"/>
      <c r="DR56" s="246"/>
      <c r="DS56" s="246"/>
      <c r="DT56" s="246"/>
      <c r="DU56" s="246"/>
      <c r="DV56" s="246"/>
      <c r="DW56" s="246"/>
      <c r="DX56" s="243">
        <f t="shared" si="159"/>
        <v>0</v>
      </c>
      <c r="DY56" s="246"/>
      <c r="DZ56" s="246"/>
      <c r="EA56" s="246"/>
      <c r="EB56" s="246"/>
      <c r="EC56" s="246"/>
      <c r="ED56" s="246"/>
      <c r="EE56" s="246"/>
      <c r="EF56" s="243">
        <f t="shared" si="160"/>
        <v>0</v>
      </c>
      <c r="EG56" s="246"/>
      <c r="EH56" s="246"/>
      <c r="EI56" s="246"/>
      <c r="EJ56" s="246"/>
      <c r="EK56" s="246"/>
      <c r="EL56" s="246"/>
      <c r="EM56" s="246"/>
      <c r="EN56" s="243">
        <f t="shared" si="161"/>
        <v>0</v>
      </c>
      <c r="EO56" s="246"/>
      <c r="EP56" s="246"/>
      <c r="EQ56" s="246"/>
      <c r="ER56" s="246"/>
      <c r="ES56" s="246"/>
      <c r="ET56" s="246"/>
      <c r="EU56" s="246"/>
      <c r="EV56" s="243">
        <f t="shared" si="162"/>
        <v>0</v>
      </c>
      <c r="EW56" s="246"/>
      <c r="EX56" s="246"/>
      <c r="EY56" s="246"/>
      <c r="EZ56" s="246"/>
      <c r="FA56" s="246"/>
      <c r="FB56" s="246"/>
      <c r="FC56" s="246"/>
      <c r="FD56" s="243">
        <f t="shared" si="163"/>
        <v>0</v>
      </c>
      <c r="FE56" s="246"/>
      <c r="FF56" s="246"/>
      <c r="FG56" s="246"/>
      <c r="FH56" s="246"/>
      <c r="FI56" s="246"/>
      <c r="FJ56" s="246"/>
      <c r="FK56" s="246"/>
      <c r="FL56" s="243">
        <f t="shared" si="164"/>
        <v>0</v>
      </c>
      <c r="FM56" s="246"/>
      <c r="FN56" s="246"/>
      <c r="FO56" s="246"/>
      <c r="FP56" s="246"/>
      <c r="FQ56" s="246"/>
      <c r="FR56" s="246"/>
      <c r="FS56" s="246"/>
      <c r="FT56" s="243">
        <f t="shared" si="165"/>
        <v>0</v>
      </c>
      <c r="FU56" s="246"/>
      <c r="FV56" s="246"/>
      <c r="FW56" s="246"/>
      <c r="FX56" s="246"/>
      <c r="FY56" s="246"/>
      <c r="FZ56" s="246"/>
      <c r="GA56" s="246"/>
      <c r="GB56" s="243">
        <f t="shared" si="166"/>
        <v>0</v>
      </c>
      <c r="GC56" s="246"/>
      <c r="GD56" s="246"/>
      <c r="GE56" s="246"/>
      <c r="GF56" s="246"/>
      <c r="GG56" s="246"/>
      <c r="GH56" s="246"/>
      <c r="GI56" s="246"/>
      <c r="GJ56" s="243">
        <f t="shared" si="167"/>
        <v>0</v>
      </c>
      <c r="GK56" s="246"/>
      <c r="GL56" s="246"/>
      <c r="GM56" s="246"/>
      <c r="GN56" s="246"/>
      <c r="GO56" s="246"/>
      <c r="GP56" s="246"/>
      <c r="GQ56" s="246"/>
      <c r="GR56" s="243">
        <f t="shared" si="168"/>
        <v>0</v>
      </c>
      <c r="GS56" s="246"/>
      <c r="GT56" s="246"/>
      <c r="GU56" s="246"/>
      <c r="GV56" s="246"/>
      <c r="GW56" s="246"/>
      <c r="GX56" s="246"/>
      <c r="GY56" s="246"/>
      <c r="GZ56" s="243">
        <f t="shared" si="169"/>
        <v>0</v>
      </c>
      <c r="HA56" s="246"/>
      <c r="HB56" s="246"/>
      <c r="HC56" s="246"/>
      <c r="HD56" s="246"/>
      <c r="HE56" s="246"/>
      <c r="HF56" s="246"/>
      <c r="HG56" s="246"/>
      <c r="HH56" s="243">
        <f t="shared" si="170"/>
        <v>0</v>
      </c>
      <c r="HI56" s="246"/>
      <c r="HJ56" s="246"/>
      <c r="HK56" s="246"/>
      <c r="HL56" s="246"/>
      <c r="HM56" s="246"/>
      <c r="HN56" s="246"/>
      <c r="HO56" s="246"/>
      <c r="HP56" s="243">
        <f t="shared" si="171"/>
        <v>0</v>
      </c>
      <c r="HQ56" s="246"/>
      <c r="HR56" s="246"/>
      <c r="HS56" s="246"/>
      <c r="HT56" s="246"/>
      <c r="HU56" s="246"/>
      <c r="HV56" s="246"/>
      <c r="HW56" s="246"/>
      <c r="HX56" s="243">
        <f t="shared" si="172"/>
        <v>0</v>
      </c>
      <c r="HY56" s="246"/>
      <c r="HZ56" s="246"/>
      <c r="IA56" s="246"/>
      <c r="IB56" s="246"/>
      <c r="IC56" s="246"/>
      <c r="ID56" s="246"/>
      <c r="IE56" s="246"/>
      <c r="IF56" s="243">
        <f t="shared" si="173"/>
        <v>0</v>
      </c>
      <c r="IG56" s="246"/>
      <c r="IH56" s="246"/>
      <c r="II56" s="246"/>
      <c r="IJ56" s="246"/>
      <c r="IK56" s="246"/>
      <c r="IL56" s="246"/>
      <c r="IM56" s="246"/>
      <c r="IN56" s="243">
        <f t="shared" si="174"/>
        <v>0</v>
      </c>
      <c r="IO56" s="246"/>
      <c r="IP56" s="246"/>
      <c r="IQ56" s="246"/>
      <c r="IR56" s="246"/>
      <c r="IS56" s="246"/>
      <c r="IT56" s="246"/>
      <c r="IU56" s="246"/>
      <c r="IV56" s="243">
        <f t="shared" si="175"/>
        <v>0</v>
      </c>
      <c r="IW56" s="246"/>
      <c r="IX56" s="246"/>
      <c r="IY56" s="246"/>
      <c r="IZ56" s="246"/>
      <c r="JA56" s="246"/>
      <c r="JB56" s="246"/>
      <c r="JC56" s="246"/>
      <c r="JD56" s="243">
        <f t="shared" si="176"/>
        <v>0</v>
      </c>
      <c r="JE56" s="246"/>
      <c r="JF56" s="246"/>
      <c r="JG56" s="246"/>
      <c r="JH56" s="246"/>
      <c r="JI56" s="246"/>
      <c r="JJ56" s="246"/>
      <c r="JK56" s="246"/>
      <c r="JL56" s="243">
        <f t="shared" si="177"/>
        <v>0</v>
      </c>
      <c r="JM56" s="246"/>
      <c r="JN56" s="246"/>
      <c r="JO56" s="246"/>
      <c r="JP56" s="246"/>
      <c r="JQ56" s="246"/>
      <c r="JR56" s="246"/>
      <c r="JS56" s="246"/>
      <c r="JT56" s="243">
        <f t="shared" si="178"/>
        <v>0</v>
      </c>
      <c r="JU56" s="246"/>
      <c r="JV56" s="246"/>
      <c r="JW56" s="246"/>
      <c r="JX56" s="246"/>
      <c r="JY56" s="246"/>
      <c r="JZ56" s="246"/>
      <c r="KA56" s="246"/>
      <c r="KB56" s="243">
        <f t="shared" si="179"/>
        <v>0</v>
      </c>
      <c r="KC56" s="246"/>
      <c r="KD56" s="246"/>
      <c r="KE56" s="246"/>
      <c r="KF56" s="246"/>
      <c r="KG56" s="246"/>
      <c r="KH56" s="246"/>
      <c r="KI56" s="246"/>
      <c r="KJ56" s="243">
        <f t="shared" si="180"/>
        <v>0</v>
      </c>
      <c r="KK56" s="246"/>
      <c r="KL56" s="246"/>
      <c r="KM56" s="246"/>
      <c r="KN56" s="246"/>
      <c r="KO56" s="246"/>
      <c r="KP56" s="246"/>
      <c r="KQ56" s="246"/>
      <c r="KR56" s="243">
        <f t="shared" si="181"/>
        <v>0</v>
      </c>
      <c r="KS56" s="246"/>
      <c r="KT56" s="246"/>
      <c r="KU56" s="246"/>
      <c r="KV56" s="246"/>
      <c r="KW56" s="246"/>
      <c r="KX56" s="246"/>
      <c r="KY56" s="246"/>
      <c r="KZ56" s="243">
        <f t="shared" si="182"/>
        <v>0</v>
      </c>
      <c r="LA56" s="246"/>
      <c r="LB56" s="246"/>
      <c r="LC56" s="246"/>
      <c r="LD56" s="246"/>
      <c r="LE56" s="246"/>
      <c r="LF56" s="246"/>
      <c r="LG56" s="246"/>
      <c r="LH56" s="243">
        <f t="shared" si="183"/>
        <v>0</v>
      </c>
      <c r="LI56" s="246"/>
      <c r="LJ56" s="246"/>
      <c r="LK56" s="246"/>
      <c r="LL56" s="246"/>
      <c r="LM56" s="246"/>
      <c r="LN56" s="246"/>
      <c r="LO56" s="246"/>
      <c r="LP56" s="243">
        <f t="shared" si="184"/>
        <v>0</v>
      </c>
      <c r="LQ56" s="246"/>
      <c r="LR56" s="246"/>
      <c r="LS56" s="246"/>
      <c r="LT56" s="244">
        <f t="shared" si="185"/>
        <v>0</v>
      </c>
      <c r="LU56" s="246">
        <v>0</v>
      </c>
      <c r="LV56" s="246"/>
      <c r="LW56" s="246"/>
      <c r="LX56" s="246"/>
      <c r="LY56" s="246"/>
      <c r="LZ56" s="246"/>
      <c r="MA56" s="246"/>
      <c r="MB56" s="243">
        <f t="shared" si="186"/>
        <v>0</v>
      </c>
      <c r="MC56" s="246"/>
      <c r="MD56" s="246"/>
      <c r="ME56" s="246"/>
      <c r="MF56" s="246"/>
      <c r="MG56" s="246"/>
      <c r="MH56" s="246"/>
      <c r="MI56" s="246"/>
      <c r="MJ56" s="243">
        <f t="shared" si="187"/>
        <v>0</v>
      </c>
      <c r="MK56" s="246"/>
      <c r="ML56" s="246"/>
      <c r="MM56" s="246"/>
      <c r="MN56" s="246"/>
      <c r="MO56" s="246"/>
      <c r="MP56" s="246"/>
      <c r="MQ56" s="246"/>
      <c r="MR56" s="243">
        <f t="shared" si="188"/>
        <v>0</v>
      </c>
      <c r="MS56" s="271"/>
      <c r="MT56" s="246"/>
      <c r="MU56" s="246"/>
      <c r="MV56" s="246"/>
      <c r="MW56" s="246"/>
      <c r="MX56" s="246"/>
      <c r="MY56" s="246"/>
      <c r="MZ56" s="243">
        <f t="shared" si="189"/>
        <v>0</v>
      </c>
      <c r="NA56" s="246"/>
      <c r="NB56" s="246"/>
      <c r="NC56" s="246"/>
      <c r="ND56" s="243">
        <f t="shared" si="190"/>
        <v>0</v>
      </c>
      <c r="NE56" s="246">
        <v>0</v>
      </c>
      <c r="NF56" s="246"/>
      <c r="NG56" s="246"/>
      <c r="NH56" s="246"/>
      <c r="NI56" s="246"/>
      <c r="NJ56" s="246"/>
      <c r="NK56" s="246"/>
      <c r="NL56" s="243">
        <f t="shared" si="191"/>
        <v>0</v>
      </c>
      <c r="NM56" s="246"/>
      <c r="NN56" s="246"/>
      <c r="NO56" s="246"/>
      <c r="NP56" s="246"/>
      <c r="NQ56" s="246"/>
      <c r="NR56" s="246"/>
      <c r="NS56" s="246"/>
      <c r="NT56" s="243">
        <f t="shared" si="192"/>
        <v>0</v>
      </c>
      <c r="NU56" s="246"/>
      <c r="NV56" s="246"/>
      <c r="NW56" s="246"/>
      <c r="NX56" s="246"/>
      <c r="NY56" s="246"/>
      <c r="NZ56" s="246"/>
      <c r="OA56" s="246"/>
      <c r="OB56" s="243">
        <f t="shared" si="193"/>
        <v>0</v>
      </c>
      <c r="OC56" s="246"/>
      <c r="OD56" s="246"/>
      <c r="OE56" s="246"/>
      <c r="OF56" s="246"/>
      <c r="OG56" s="246"/>
      <c r="OH56" s="246"/>
      <c r="OI56" s="246"/>
      <c r="OJ56" s="243">
        <f t="shared" si="194"/>
        <v>0</v>
      </c>
      <c r="OK56" s="246"/>
      <c r="OL56" s="246"/>
      <c r="OM56" s="246"/>
      <c r="ON56" s="246"/>
      <c r="OO56" s="246"/>
      <c r="OP56" s="246"/>
      <c r="OQ56" s="246"/>
      <c r="OR56" s="243">
        <f t="shared" si="195"/>
        <v>0</v>
      </c>
      <c r="OS56" s="246"/>
      <c r="OT56" s="246"/>
      <c r="OU56" s="246"/>
      <c r="OV56" s="246"/>
      <c r="OW56" s="246"/>
      <c r="OX56" s="246"/>
      <c r="OY56" s="246"/>
      <c r="OZ56" s="243">
        <f t="shared" si="196"/>
        <v>0</v>
      </c>
      <c r="PA56" s="247"/>
      <c r="PB56" s="246"/>
      <c r="PC56" s="246"/>
      <c r="PD56" s="243">
        <f t="shared" si="197"/>
        <v>0</v>
      </c>
      <c r="PE56" s="247"/>
      <c r="PF56" s="246"/>
      <c r="PG56" s="246"/>
      <c r="PH56" s="246"/>
      <c r="PI56" s="246"/>
      <c r="PJ56" s="246"/>
      <c r="PK56" s="246"/>
      <c r="PL56" s="243">
        <f t="shared" si="139"/>
        <v>0</v>
      </c>
      <c r="PM56" s="247"/>
      <c r="PN56" s="246"/>
      <c r="PO56" s="246"/>
      <c r="PP56" s="246"/>
      <c r="PQ56" s="246"/>
      <c r="PR56" s="246">
        <v>-3860</v>
      </c>
      <c r="PS56" s="246">
        <v>0</v>
      </c>
      <c r="PT56" s="243">
        <f t="shared" si="198"/>
        <v>0</v>
      </c>
      <c r="PU56" s="246"/>
      <c r="PV56" s="246"/>
      <c r="PW56" s="246"/>
      <c r="PX56" s="246"/>
      <c r="PY56" s="246"/>
      <c r="PZ56" s="246"/>
      <c r="QA56" s="246"/>
      <c r="QB56" s="243">
        <f t="shared" si="199"/>
        <v>0</v>
      </c>
      <c r="QC56" s="246"/>
      <c r="QD56" s="246"/>
      <c r="QE56" s="246"/>
      <c r="QF56" s="246"/>
      <c r="QG56" s="246"/>
      <c r="QH56" s="246"/>
      <c r="QI56" s="246"/>
      <c r="QJ56" s="243">
        <f t="shared" si="200"/>
        <v>0</v>
      </c>
      <c r="QK56" s="246">
        <v>0</v>
      </c>
      <c r="QL56" s="246"/>
      <c r="QM56" s="246"/>
      <c r="QN56" s="246"/>
      <c r="QO56" s="246"/>
      <c r="QP56" s="243">
        <f t="shared" si="201"/>
        <v>0</v>
      </c>
      <c r="QQ56" s="243">
        <f t="shared" si="140"/>
        <v>0</v>
      </c>
      <c r="QR56" s="246"/>
      <c r="QS56" s="246"/>
      <c r="QT56" s="246"/>
      <c r="QU56" s="246"/>
      <c r="QV56" s="243">
        <f t="shared" si="202"/>
        <v>0</v>
      </c>
      <c r="QW56" s="246"/>
      <c r="QX56" s="246"/>
      <c r="QY56" s="246"/>
      <c r="QZ56" s="246"/>
      <c r="RA56" s="246"/>
      <c r="RB56" s="246"/>
      <c r="RC56" s="246"/>
      <c r="RD56" s="243">
        <f t="shared" si="203"/>
        <v>0</v>
      </c>
      <c r="RE56" s="300"/>
      <c r="RF56" s="259">
        <f t="shared" si="101"/>
        <v>1999.6144999999997</v>
      </c>
      <c r="RG56" s="259">
        <f t="shared" si="141"/>
        <v>4792.1816400000025</v>
      </c>
      <c r="RH56" s="259">
        <f t="shared" si="142"/>
        <v>5750.6179680000023</v>
      </c>
      <c r="RI56" s="256">
        <f t="shared" si="143"/>
        <v>5630</v>
      </c>
    </row>
    <row r="57" spans="1:477">
      <c r="A57" s="5" t="s">
        <v>93</v>
      </c>
      <c r="B57" s="263"/>
      <c r="C57" s="246"/>
      <c r="D57" s="246"/>
      <c r="E57" s="246"/>
      <c r="F57" s="278">
        <v>0</v>
      </c>
      <c r="G57" s="243">
        <v>9.4990000000000006</v>
      </c>
      <c r="H57" s="243">
        <f t="shared" si="144"/>
        <v>11.398800000000001</v>
      </c>
      <c r="I57" s="278">
        <v>10</v>
      </c>
      <c r="J57" s="246"/>
      <c r="K57" s="246"/>
      <c r="L57" s="246"/>
      <c r="M57" s="246"/>
      <c r="N57" s="246">
        <v>339.99998929082398</v>
      </c>
      <c r="O57" s="246">
        <v>369.12665999999996</v>
      </c>
      <c r="P57" s="243">
        <f t="shared" si="145"/>
        <v>442.9519919999999</v>
      </c>
      <c r="Q57" s="246">
        <v>400</v>
      </c>
      <c r="R57" s="246"/>
      <c r="S57" s="246"/>
      <c r="T57" s="246"/>
      <c r="U57" s="246"/>
      <c r="V57" s="246"/>
      <c r="W57" s="247"/>
      <c r="X57" s="243">
        <f t="shared" si="146"/>
        <v>0</v>
      </c>
      <c r="Y57" s="246"/>
      <c r="Z57" s="246"/>
      <c r="AA57" s="246"/>
      <c r="AB57" s="246"/>
      <c r="AC57" s="246"/>
      <c r="AD57" s="246">
        <v>4.9999998425119996</v>
      </c>
      <c r="AE57" s="246">
        <v>0</v>
      </c>
      <c r="AF57" s="243">
        <f t="shared" si="147"/>
        <v>0</v>
      </c>
      <c r="AG57" s="246"/>
      <c r="AH57" s="246"/>
      <c r="AI57" s="246"/>
      <c r="AJ57" s="246"/>
      <c r="AK57" s="246"/>
      <c r="AL57" s="246"/>
      <c r="AM57" s="246"/>
      <c r="AN57" s="243">
        <f t="shared" si="148"/>
        <v>0</v>
      </c>
      <c r="AO57" s="246"/>
      <c r="AP57" s="246"/>
      <c r="AQ57" s="246"/>
      <c r="AR57" s="246"/>
      <c r="AS57" s="246"/>
      <c r="AT57" s="246"/>
      <c r="AU57" s="246"/>
      <c r="AV57" s="243">
        <f t="shared" si="149"/>
        <v>0</v>
      </c>
      <c r="AW57" s="246"/>
      <c r="AX57" s="246"/>
      <c r="AY57" s="246"/>
      <c r="AZ57" s="246"/>
      <c r="BA57" s="246"/>
      <c r="BB57" s="246"/>
      <c r="BC57" s="246"/>
      <c r="BD57" s="243">
        <f t="shared" si="150"/>
        <v>0</v>
      </c>
      <c r="BE57" s="246"/>
      <c r="BF57" s="246"/>
      <c r="BG57" s="246"/>
      <c r="BH57" s="246"/>
      <c r="BI57" s="246"/>
      <c r="BJ57" s="246"/>
      <c r="BK57" s="246"/>
      <c r="BL57" s="243">
        <f t="shared" si="151"/>
        <v>0</v>
      </c>
      <c r="BM57" s="246"/>
      <c r="BN57" s="246"/>
      <c r="BO57" s="246"/>
      <c r="BP57" s="246"/>
      <c r="BQ57" s="246"/>
      <c r="BR57" s="246"/>
      <c r="BS57" s="246"/>
      <c r="BT57" s="243">
        <f t="shared" si="152"/>
        <v>0</v>
      </c>
      <c r="BU57" s="246"/>
      <c r="BV57" s="246"/>
      <c r="BW57" s="246"/>
      <c r="BX57" s="246"/>
      <c r="BY57" s="246"/>
      <c r="BZ57" s="246"/>
      <c r="CA57" s="246"/>
      <c r="CB57" s="243">
        <f t="shared" si="153"/>
        <v>0</v>
      </c>
      <c r="CC57" s="246"/>
      <c r="CD57" s="246"/>
      <c r="CE57" s="246"/>
      <c r="CF57" s="246"/>
      <c r="CG57" s="246"/>
      <c r="CH57" s="246"/>
      <c r="CI57" s="246"/>
      <c r="CJ57" s="243">
        <f t="shared" si="154"/>
        <v>0</v>
      </c>
      <c r="CK57" s="246"/>
      <c r="CL57" s="246"/>
      <c r="CM57" s="246"/>
      <c r="CN57" s="246"/>
      <c r="CO57" s="246"/>
      <c r="CP57" s="246">
        <v>247.9999921886</v>
      </c>
      <c r="CQ57" s="246">
        <v>324.37298000000004</v>
      </c>
      <c r="CR57" s="243">
        <f t="shared" si="155"/>
        <v>389.24757600000009</v>
      </c>
      <c r="CS57" s="246">
        <v>380</v>
      </c>
      <c r="CT57" s="246"/>
      <c r="CU57" s="246"/>
      <c r="CV57" s="246"/>
      <c r="CW57" s="246"/>
      <c r="CX57" s="246"/>
      <c r="CY57" s="246"/>
      <c r="CZ57" s="243">
        <f t="shared" si="156"/>
        <v>0</v>
      </c>
      <c r="DA57" s="246"/>
      <c r="DB57" s="246"/>
      <c r="DC57" s="246"/>
      <c r="DD57" s="246"/>
      <c r="DE57" s="246"/>
      <c r="DF57" s="246"/>
      <c r="DG57" s="246"/>
      <c r="DH57" s="243">
        <f t="shared" si="157"/>
        <v>0</v>
      </c>
      <c r="DI57" s="246"/>
      <c r="DJ57" s="246"/>
      <c r="DK57" s="246"/>
      <c r="DL57" s="246"/>
      <c r="DM57" s="246"/>
      <c r="DN57" s="246"/>
      <c r="DO57" s="246"/>
      <c r="DP57" s="243">
        <f t="shared" si="158"/>
        <v>0</v>
      </c>
      <c r="DQ57" s="246"/>
      <c r="DR57" s="246"/>
      <c r="DS57" s="246"/>
      <c r="DT57" s="246"/>
      <c r="DU57" s="246"/>
      <c r="DV57" s="246">
        <v>164.99999480290001</v>
      </c>
      <c r="DW57" s="246">
        <v>73.475799999999992</v>
      </c>
      <c r="DX57" s="243">
        <f t="shared" si="159"/>
        <v>88.17095999999998</v>
      </c>
      <c r="DY57" s="246"/>
      <c r="DZ57" s="246"/>
      <c r="EA57" s="246"/>
      <c r="EB57" s="246"/>
      <c r="EC57" s="246"/>
      <c r="ED57" s="246"/>
      <c r="EE57" s="246"/>
      <c r="EF57" s="243">
        <f t="shared" si="160"/>
        <v>0</v>
      </c>
      <c r="EG57" s="246"/>
      <c r="EH57" s="246"/>
      <c r="EI57" s="246"/>
      <c r="EJ57" s="246"/>
      <c r="EK57" s="246"/>
      <c r="EL57" s="246"/>
      <c r="EM57" s="246"/>
      <c r="EN57" s="243">
        <f t="shared" si="161"/>
        <v>0</v>
      </c>
      <c r="EO57" s="246"/>
      <c r="EP57" s="246"/>
      <c r="EQ57" s="246"/>
      <c r="ER57" s="246"/>
      <c r="ES57" s="246"/>
      <c r="ET57" s="246"/>
      <c r="EU57" s="246"/>
      <c r="EV57" s="243">
        <f t="shared" si="162"/>
        <v>0</v>
      </c>
      <c r="EW57" s="246"/>
      <c r="EX57" s="246"/>
      <c r="EY57" s="246"/>
      <c r="EZ57" s="246"/>
      <c r="FA57" s="246"/>
      <c r="FB57" s="246"/>
      <c r="FC57" s="246"/>
      <c r="FD57" s="243">
        <f t="shared" si="163"/>
        <v>0</v>
      </c>
      <c r="FE57" s="246"/>
      <c r="FF57" s="246"/>
      <c r="FG57" s="246"/>
      <c r="FH57" s="246"/>
      <c r="FI57" s="246"/>
      <c r="FJ57" s="246"/>
      <c r="FK57" s="246"/>
      <c r="FL57" s="243">
        <f t="shared" si="164"/>
        <v>0</v>
      </c>
      <c r="FM57" s="246"/>
      <c r="FN57" s="246"/>
      <c r="FO57" s="246"/>
      <c r="FP57" s="246"/>
      <c r="FQ57" s="246"/>
      <c r="FR57" s="246"/>
      <c r="FS57" s="246"/>
      <c r="FT57" s="243">
        <f t="shared" si="165"/>
        <v>0</v>
      </c>
      <c r="FU57" s="246"/>
      <c r="FV57" s="246"/>
      <c r="FW57" s="246"/>
      <c r="FX57" s="246"/>
      <c r="FY57" s="246"/>
      <c r="FZ57" s="246"/>
      <c r="GA57" s="246"/>
      <c r="GB57" s="243">
        <f t="shared" si="166"/>
        <v>0</v>
      </c>
      <c r="GC57" s="246"/>
      <c r="GD57" s="246"/>
      <c r="GE57" s="246"/>
      <c r="GF57" s="246"/>
      <c r="GG57" s="246"/>
      <c r="GH57" s="246"/>
      <c r="GI57" s="246"/>
      <c r="GJ57" s="243">
        <f t="shared" si="167"/>
        <v>0</v>
      </c>
      <c r="GK57" s="246"/>
      <c r="GL57" s="246"/>
      <c r="GM57" s="246"/>
      <c r="GN57" s="246"/>
      <c r="GO57" s="246"/>
      <c r="GP57" s="246"/>
      <c r="GQ57" s="246"/>
      <c r="GR57" s="243">
        <f t="shared" si="168"/>
        <v>0</v>
      </c>
      <c r="GS57" s="246"/>
      <c r="GT57" s="246"/>
      <c r="GU57" s="246"/>
      <c r="GV57" s="246"/>
      <c r="GW57" s="246"/>
      <c r="GX57" s="246"/>
      <c r="GY57" s="246"/>
      <c r="GZ57" s="243">
        <f t="shared" si="169"/>
        <v>0</v>
      </c>
      <c r="HA57" s="246"/>
      <c r="HB57" s="246"/>
      <c r="HC57" s="246"/>
      <c r="HD57" s="246"/>
      <c r="HE57" s="246"/>
      <c r="HF57" s="246"/>
      <c r="HG57" s="246"/>
      <c r="HH57" s="243">
        <f t="shared" si="170"/>
        <v>0</v>
      </c>
      <c r="HI57" s="246"/>
      <c r="HJ57" s="246"/>
      <c r="HK57" s="246"/>
      <c r="HL57" s="246"/>
      <c r="HM57" s="246"/>
      <c r="HN57" s="246"/>
      <c r="HO57" s="246"/>
      <c r="HP57" s="243">
        <f t="shared" si="171"/>
        <v>0</v>
      </c>
      <c r="HQ57" s="246"/>
      <c r="HR57" s="246"/>
      <c r="HS57" s="246"/>
      <c r="HT57" s="246"/>
      <c r="HU57" s="246"/>
      <c r="HV57" s="246"/>
      <c r="HW57" s="246"/>
      <c r="HX57" s="243">
        <f t="shared" si="172"/>
        <v>0</v>
      </c>
      <c r="HY57" s="246"/>
      <c r="HZ57" s="246"/>
      <c r="IA57" s="246"/>
      <c r="IB57" s="246"/>
      <c r="IC57" s="246"/>
      <c r="ID57" s="246"/>
      <c r="IE57" s="246"/>
      <c r="IF57" s="243">
        <f t="shared" si="173"/>
        <v>0</v>
      </c>
      <c r="IG57" s="246"/>
      <c r="IH57" s="246"/>
      <c r="II57" s="246"/>
      <c r="IJ57" s="246"/>
      <c r="IK57" s="246"/>
      <c r="IL57" s="246"/>
      <c r="IM57" s="246"/>
      <c r="IN57" s="243">
        <f t="shared" si="174"/>
        <v>0</v>
      </c>
      <c r="IO57" s="246"/>
      <c r="IP57" s="246"/>
      <c r="IQ57" s="246"/>
      <c r="IR57" s="246"/>
      <c r="IS57" s="246"/>
      <c r="IT57" s="246"/>
      <c r="IU57" s="246"/>
      <c r="IV57" s="243">
        <f t="shared" si="175"/>
        <v>0</v>
      </c>
      <c r="IW57" s="246"/>
      <c r="IX57" s="246"/>
      <c r="IY57" s="246"/>
      <c r="IZ57" s="246"/>
      <c r="JA57" s="246"/>
      <c r="JB57" s="247">
        <v>16399.9994834397</v>
      </c>
      <c r="JC57" s="246">
        <v>14993.187189999999</v>
      </c>
      <c r="JD57" s="243">
        <f t="shared" si="176"/>
        <v>17991.824627999998</v>
      </c>
      <c r="JE57" s="247">
        <v>17000</v>
      </c>
      <c r="JF57" s="246"/>
      <c r="JG57" s="246"/>
      <c r="JH57" s="246"/>
      <c r="JI57" s="246"/>
      <c r="JJ57" s="246"/>
      <c r="JK57" s="246"/>
      <c r="JL57" s="243">
        <f t="shared" si="177"/>
        <v>0</v>
      </c>
      <c r="JM57" s="246"/>
      <c r="JN57" s="246"/>
      <c r="JO57" s="246"/>
      <c r="JP57" s="246"/>
      <c r="JQ57" s="246"/>
      <c r="JR57" s="246"/>
      <c r="JS57" s="246"/>
      <c r="JT57" s="243">
        <f t="shared" si="178"/>
        <v>0</v>
      </c>
      <c r="JU57" s="246"/>
      <c r="JV57" s="246"/>
      <c r="JW57" s="246"/>
      <c r="JX57" s="246"/>
      <c r="JY57" s="246"/>
      <c r="JZ57" s="246"/>
      <c r="KA57" s="246"/>
      <c r="KB57" s="243">
        <f t="shared" si="179"/>
        <v>0</v>
      </c>
      <c r="KC57" s="246"/>
      <c r="KD57" s="246"/>
      <c r="KE57" s="246"/>
      <c r="KF57" s="246"/>
      <c r="KG57" s="246"/>
      <c r="KH57" s="246"/>
      <c r="KI57" s="246"/>
      <c r="KJ57" s="243">
        <f t="shared" si="180"/>
        <v>0</v>
      </c>
      <c r="KK57" s="246"/>
      <c r="KL57" s="246"/>
      <c r="KM57" s="246"/>
      <c r="KN57" s="246"/>
      <c r="KO57" s="246"/>
      <c r="KP57" s="246"/>
      <c r="KQ57" s="246"/>
      <c r="KR57" s="243">
        <f t="shared" si="181"/>
        <v>0</v>
      </c>
      <c r="KS57" s="246"/>
      <c r="KT57" s="246"/>
      <c r="KU57" s="246"/>
      <c r="KV57" s="246"/>
      <c r="KW57" s="246"/>
      <c r="KX57" s="246"/>
      <c r="KY57" s="246"/>
      <c r="KZ57" s="243">
        <f t="shared" si="182"/>
        <v>0</v>
      </c>
      <c r="LA57" s="246"/>
      <c r="LB57" s="246"/>
      <c r="LC57" s="246"/>
      <c r="LD57" s="246"/>
      <c r="LE57" s="246"/>
      <c r="LF57" s="246"/>
      <c r="LG57" s="246"/>
      <c r="LH57" s="243">
        <f t="shared" si="183"/>
        <v>0</v>
      </c>
      <c r="LI57" s="246"/>
      <c r="LJ57" s="246"/>
      <c r="LK57" s="246"/>
      <c r="LL57" s="246"/>
      <c r="LM57" s="246"/>
      <c r="LN57" s="246"/>
      <c r="LO57" s="246"/>
      <c r="LP57" s="243">
        <f t="shared" si="184"/>
        <v>0</v>
      </c>
      <c r="LQ57" s="246"/>
      <c r="LR57" s="246"/>
      <c r="LS57" s="246"/>
      <c r="LT57" s="244">
        <f t="shared" si="185"/>
        <v>0</v>
      </c>
      <c r="LU57" s="246">
        <v>0</v>
      </c>
      <c r="LV57" s="246"/>
      <c r="LW57" s="246"/>
      <c r="LX57" s="246"/>
      <c r="LY57" s="246"/>
      <c r="LZ57" s="246"/>
      <c r="MA57" s="246"/>
      <c r="MB57" s="243">
        <f t="shared" si="186"/>
        <v>0</v>
      </c>
      <c r="MC57" s="246"/>
      <c r="MD57" s="246"/>
      <c r="ME57" s="246"/>
      <c r="MF57" s="246"/>
      <c r="MG57" s="246"/>
      <c r="MH57" s="246"/>
      <c r="MI57" s="246"/>
      <c r="MJ57" s="243">
        <f t="shared" si="187"/>
        <v>0</v>
      </c>
      <c r="MK57" s="246"/>
      <c r="ML57" s="246"/>
      <c r="MM57" s="246"/>
      <c r="MN57" s="246"/>
      <c r="MO57" s="246"/>
      <c r="MP57" s="246"/>
      <c r="MQ57" s="246"/>
      <c r="MR57" s="243">
        <f t="shared" si="188"/>
        <v>0</v>
      </c>
      <c r="MS57" s="271"/>
      <c r="MT57" s="246"/>
      <c r="MU57" s="246"/>
      <c r="MV57" s="246"/>
      <c r="MW57" s="246"/>
      <c r="MX57" s="246"/>
      <c r="MY57" s="246"/>
      <c r="MZ57" s="243">
        <f t="shared" si="189"/>
        <v>0</v>
      </c>
      <c r="NA57" s="246"/>
      <c r="NB57" s="246"/>
      <c r="NC57" s="246"/>
      <c r="ND57" s="243">
        <f t="shared" si="190"/>
        <v>0</v>
      </c>
      <c r="NE57" s="246">
        <v>0</v>
      </c>
      <c r="NF57" s="246"/>
      <c r="NG57" s="246"/>
      <c r="NH57" s="246"/>
      <c r="NI57" s="246"/>
      <c r="NJ57" s="246"/>
      <c r="NK57" s="246"/>
      <c r="NL57" s="243">
        <f t="shared" si="191"/>
        <v>0</v>
      </c>
      <c r="NM57" s="246"/>
      <c r="NN57" s="246"/>
      <c r="NO57" s="246"/>
      <c r="NP57" s="246"/>
      <c r="NQ57" s="246"/>
      <c r="NR57" s="246"/>
      <c r="NS57" s="246"/>
      <c r="NT57" s="243">
        <f t="shared" si="192"/>
        <v>0</v>
      </c>
      <c r="NU57" s="246"/>
      <c r="NV57" s="246"/>
      <c r="NW57" s="246"/>
      <c r="NX57" s="246"/>
      <c r="NY57" s="246"/>
      <c r="NZ57" s="246"/>
      <c r="OA57" s="246"/>
      <c r="OB57" s="243">
        <f t="shared" si="193"/>
        <v>0</v>
      </c>
      <c r="OC57" s="246"/>
      <c r="OD57" s="246"/>
      <c r="OE57" s="246"/>
      <c r="OF57" s="246"/>
      <c r="OG57" s="246"/>
      <c r="OH57" s="246"/>
      <c r="OI57" s="246"/>
      <c r="OJ57" s="243">
        <f t="shared" si="194"/>
        <v>0</v>
      </c>
      <c r="OK57" s="246"/>
      <c r="OL57" s="246"/>
      <c r="OM57" s="246"/>
      <c r="ON57" s="246"/>
      <c r="OO57" s="246"/>
      <c r="OP57" s="246"/>
      <c r="OQ57" s="246"/>
      <c r="OR57" s="243">
        <f t="shared" si="195"/>
        <v>0</v>
      </c>
      <c r="OS57" s="246"/>
      <c r="OT57" s="246"/>
      <c r="OU57" s="246"/>
      <c r="OV57" s="246"/>
      <c r="OW57" s="246"/>
      <c r="OX57" s="246"/>
      <c r="OY57" s="246"/>
      <c r="OZ57" s="243">
        <f t="shared" si="196"/>
        <v>0</v>
      </c>
      <c r="PA57" s="247"/>
      <c r="PB57" s="246"/>
      <c r="PC57" s="246"/>
      <c r="PD57" s="243">
        <f t="shared" si="197"/>
        <v>0</v>
      </c>
      <c r="PE57" s="247"/>
      <c r="PF57" s="246"/>
      <c r="PG57" s="246"/>
      <c r="PH57" s="246"/>
      <c r="PI57" s="246"/>
      <c r="PJ57" s="246"/>
      <c r="PK57" s="246"/>
      <c r="PL57" s="243">
        <f t="shared" si="139"/>
        <v>0</v>
      </c>
      <c r="PM57" s="247"/>
      <c r="PN57" s="246"/>
      <c r="PO57" s="246"/>
      <c r="PP57" s="246"/>
      <c r="PQ57" s="246"/>
      <c r="PR57" s="246"/>
      <c r="PS57" s="246">
        <v>0</v>
      </c>
      <c r="PT57" s="243">
        <f t="shared" si="198"/>
        <v>0</v>
      </c>
      <c r="PU57" s="246"/>
      <c r="PV57" s="246"/>
      <c r="PW57" s="246"/>
      <c r="PX57" s="246"/>
      <c r="PY57" s="246"/>
      <c r="PZ57" s="246"/>
      <c r="QA57" s="246"/>
      <c r="QB57" s="243">
        <f t="shared" si="199"/>
        <v>0</v>
      </c>
      <c r="QC57" s="246"/>
      <c r="QD57" s="246"/>
      <c r="QE57" s="246"/>
      <c r="QF57" s="246"/>
      <c r="QG57" s="246"/>
      <c r="QH57" s="246"/>
      <c r="QI57" s="246"/>
      <c r="QJ57" s="243">
        <f t="shared" si="200"/>
        <v>0</v>
      </c>
      <c r="QK57" s="246">
        <v>0</v>
      </c>
      <c r="QL57" s="246"/>
      <c r="QM57" s="246"/>
      <c r="QN57" s="246"/>
      <c r="QO57" s="246"/>
      <c r="QP57" s="243">
        <f t="shared" si="201"/>
        <v>0</v>
      </c>
      <c r="QQ57" s="243">
        <f t="shared" si="140"/>
        <v>0</v>
      </c>
      <c r="QR57" s="246"/>
      <c r="QS57" s="246"/>
      <c r="QT57" s="246"/>
      <c r="QU57" s="246"/>
      <c r="QV57" s="243">
        <f t="shared" si="202"/>
        <v>0</v>
      </c>
      <c r="QW57" s="246"/>
      <c r="QX57" s="246"/>
      <c r="QY57" s="246"/>
      <c r="QZ57" s="246"/>
      <c r="RA57" s="246"/>
      <c r="RB57" s="246"/>
      <c r="RC57" s="246"/>
      <c r="RD57" s="243">
        <f t="shared" si="203"/>
        <v>0</v>
      </c>
      <c r="RE57" s="300"/>
      <c r="RF57" s="259">
        <f t="shared" si="101"/>
        <v>17157.999459564537</v>
      </c>
      <c r="RG57" s="259">
        <f t="shared" si="141"/>
        <v>15769.661629999999</v>
      </c>
      <c r="RH57" s="259">
        <f t="shared" si="142"/>
        <v>18923.593955999997</v>
      </c>
      <c r="RI57" s="256">
        <f t="shared" si="143"/>
        <v>17790</v>
      </c>
    </row>
    <row r="58" spans="1:477">
      <c r="A58" s="5" t="s">
        <v>94</v>
      </c>
      <c r="B58" s="263"/>
      <c r="C58" s="246"/>
      <c r="D58" s="246"/>
      <c r="E58" s="246"/>
      <c r="F58" s="278">
        <v>8589.9998031401392</v>
      </c>
      <c r="G58" s="243">
        <v>7004.9783000000007</v>
      </c>
      <c r="H58" s="243">
        <f t="shared" si="144"/>
        <v>8405.9739599999994</v>
      </c>
      <c r="I58" s="278">
        <v>8500</v>
      </c>
      <c r="J58" s="246"/>
      <c r="K58" s="246"/>
      <c r="L58" s="246"/>
      <c r="M58" s="246"/>
      <c r="N58" s="246"/>
      <c r="O58" s="246"/>
      <c r="P58" s="243">
        <f t="shared" si="145"/>
        <v>0</v>
      </c>
      <c r="Q58" s="246"/>
      <c r="R58" s="246"/>
      <c r="S58" s="246"/>
      <c r="T58" s="246"/>
      <c r="U58" s="246"/>
      <c r="V58" s="246"/>
      <c r="W58" s="247"/>
      <c r="X58" s="243">
        <f t="shared" si="146"/>
        <v>0</v>
      </c>
      <c r="Y58" s="246"/>
      <c r="Z58" s="246"/>
      <c r="AA58" s="246"/>
      <c r="AB58" s="246"/>
      <c r="AC58" s="246"/>
      <c r="AD58" s="246"/>
      <c r="AE58" s="246"/>
      <c r="AF58" s="243">
        <f t="shared" si="147"/>
        <v>0</v>
      </c>
      <c r="AG58" s="246"/>
      <c r="AH58" s="246"/>
      <c r="AI58" s="246"/>
      <c r="AJ58" s="246"/>
      <c r="AK58" s="246"/>
      <c r="AL58" s="246"/>
      <c r="AM58" s="246"/>
      <c r="AN58" s="243">
        <f t="shared" si="148"/>
        <v>0</v>
      </c>
      <c r="AO58" s="246"/>
      <c r="AP58" s="246"/>
      <c r="AQ58" s="246"/>
      <c r="AR58" s="246"/>
      <c r="AS58" s="246"/>
      <c r="AT58" s="246"/>
      <c r="AU58" s="246"/>
      <c r="AV58" s="243">
        <f t="shared" si="149"/>
        <v>0</v>
      </c>
      <c r="AW58" s="246"/>
      <c r="AX58" s="246"/>
      <c r="AY58" s="246"/>
      <c r="AZ58" s="246"/>
      <c r="BA58" s="246"/>
      <c r="BB58" s="246"/>
      <c r="BC58" s="246"/>
      <c r="BD58" s="243">
        <f t="shared" si="150"/>
        <v>0</v>
      </c>
      <c r="BE58" s="246"/>
      <c r="BF58" s="246"/>
      <c r="BG58" s="246"/>
      <c r="BH58" s="246"/>
      <c r="BI58" s="246"/>
      <c r="BJ58" s="246"/>
      <c r="BK58" s="246"/>
      <c r="BL58" s="243">
        <f t="shared" si="151"/>
        <v>0</v>
      </c>
      <c r="BM58" s="246"/>
      <c r="BN58" s="246"/>
      <c r="BO58" s="246"/>
      <c r="BP58" s="246"/>
      <c r="BQ58" s="246"/>
      <c r="BR58" s="246"/>
      <c r="BS58" s="246"/>
      <c r="BT58" s="243">
        <f t="shared" si="152"/>
        <v>0</v>
      </c>
      <c r="BU58" s="246"/>
      <c r="BV58" s="246"/>
      <c r="BW58" s="246"/>
      <c r="BX58" s="246"/>
      <c r="BY58" s="246"/>
      <c r="BZ58" s="246"/>
      <c r="CA58" s="246"/>
      <c r="CB58" s="243">
        <f t="shared" si="153"/>
        <v>0</v>
      </c>
      <c r="CC58" s="246"/>
      <c r="CD58" s="246"/>
      <c r="CE58" s="246"/>
      <c r="CF58" s="246"/>
      <c r="CG58" s="246"/>
      <c r="CH58" s="246"/>
      <c r="CI58" s="246"/>
      <c r="CJ58" s="243">
        <f t="shared" si="154"/>
        <v>0</v>
      </c>
      <c r="CK58" s="246"/>
      <c r="CL58" s="246"/>
      <c r="CM58" s="246"/>
      <c r="CN58" s="246"/>
      <c r="CO58" s="246"/>
      <c r="CP58" s="246"/>
      <c r="CQ58" s="246"/>
      <c r="CR58" s="243">
        <f t="shared" si="155"/>
        <v>0</v>
      </c>
      <c r="CS58" s="246"/>
      <c r="CT58" s="246"/>
      <c r="CU58" s="246"/>
      <c r="CV58" s="246"/>
      <c r="CW58" s="246"/>
      <c r="CX58" s="246"/>
      <c r="CY58" s="246"/>
      <c r="CZ58" s="243">
        <f t="shared" si="156"/>
        <v>0</v>
      </c>
      <c r="DA58" s="246"/>
      <c r="DB58" s="246"/>
      <c r="DC58" s="246"/>
      <c r="DD58" s="246"/>
      <c r="DE58" s="246"/>
      <c r="DF58" s="246"/>
      <c r="DG58" s="246"/>
      <c r="DH58" s="243">
        <f t="shared" si="157"/>
        <v>0</v>
      </c>
      <c r="DI58" s="246"/>
      <c r="DJ58" s="246"/>
      <c r="DK58" s="246"/>
      <c r="DL58" s="246"/>
      <c r="DM58" s="246"/>
      <c r="DN58" s="246"/>
      <c r="DO58" s="246"/>
      <c r="DP58" s="243">
        <f t="shared" si="158"/>
        <v>0</v>
      </c>
      <c r="DQ58" s="246"/>
      <c r="DR58" s="246"/>
      <c r="DS58" s="246"/>
      <c r="DT58" s="246"/>
      <c r="DU58" s="246"/>
      <c r="DV58" s="246"/>
      <c r="DW58" s="246"/>
      <c r="DX58" s="243">
        <f t="shared" si="159"/>
        <v>0</v>
      </c>
      <c r="DY58" s="246"/>
      <c r="DZ58" s="246"/>
      <c r="EA58" s="246"/>
      <c r="EB58" s="246"/>
      <c r="EC58" s="246"/>
      <c r="ED58" s="246"/>
      <c r="EE58" s="246"/>
      <c r="EF58" s="243">
        <f t="shared" si="160"/>
        <v>0</v>
      </c>
      <c r="EG58" s="246"/>
      <c r="EH58" s="246"/>
      <c r="EI58" s="246"/>
      <c r="EJ58" s="246"/>
      <c r="EK58" s="246"/>
      <c r="EL58" s="246"/>
      <c r="EM58" s="246"/>
      <c r="EN58" s="243">
        <f t="shared" si="161"/>
        <v>0</v>
      </c>
      <c r="EO58" s="246"/>
      <c r="EP58" s="246"/>
      <c r="EQ58" s="246"/>
      <c r="ER58" s="246"/>
      <c r="ES58" s="246"/>
      <c r="ET58" s="246"/>
      <c r="EU58" s="246"/>
      <c r="EV58" s="243">
        <f t="shared" si="162"/>
        <v>0</v>
      </c>
      <c r="EW58" s="246"/>
      <c r="EX58" s="246"/>
      <c r="EY58" s="246"/>
      <c r="EZ58" s="246"/>
      <c r="FA58" s="246"/>
      <c r="FB58" s="246"/>
      <c r="FC58" s="246"/>
      <c r="FD58" s="243">
        <f t="shared" si="163"/>
        <v>0</v>
      </c>
      <c r="FE58" s="246"/>
      <c r="FF58" s="246"/>
      <c r="FG58" s="246"/>
      <c r="FH58" s="246"/>
      <c r="FI58" s="246"/>
      <c r="FJ58" s="246"/>
      <c r="FK58" s="246"/>
      <c r="FL58" s="243">
        <f t="shared" si="164"/>
        <v>0</v>
      </c>
      <c r="FM58" s="246"/>
      <c r="FN58" s="246"/>
      <c r="FO58" s="246"/>
      <c r="FP58" s="246"/>
      <c r="FQ58" s="246"/>
      <c r="FR58" s="246"/>
      <c r="FS58" s="246"/>
      <c r="FT58" s="243">
        <f t="shared" si="165"/>
        <v>0</v>
      </c>
      <c r="FU58" s="246"/>
      <c r="FV58" s="246"/>
      <c r="FW58" s="246"/>
      <c r="FX58" s="246"/>
      <c r="FY58" s="246"/>
      <c r="FZ58" s="246"/>
      <c r="GA58" s="246"/>
      <c r="GB58" s="243">
        <f t="shared" si="166"/>
        <v>0</v>
      </c>
      <c r="GC58" s="246"/>
      <c r="GD58" s="246"/>
      <c r="GE58" s="246"/>
      <c r="GF58" s="246"/>
      <c r="GG58" s="246"/>
      <c r="GH58" s="246"/>
      <c r="GI58" s="246"/>
      <c r="GJ58" s="243">
        <f t="shared" si="167"/>
        <v>0</v>
      </c>
      <c r="GK58" s="246"/>
      <c r="GL58" s="246"/>
      <c r="GM58" s="246"/>
      <c r="GN58" s="246"/>
      <c r="GO58" s="246"/>
      <c r="GP58" s="246"/>
      <c r="GQ58" s="246"/>
      <c r="GR58" s="243">
        <f t="shared" si="168"/>
        <v>0</v>
      </c>
      <c r="GS58" s="246"/>
      <c r="GT58" s="246"/>
      <c r="GU58" s="246"/>
      <c r="GV58" s="246"/>
      <c r="GW58" s="246"/>
      <c r="GX58" s="246"/>
      <c r="GY58" s="246"/>
      <c r="GZ58" s="243">
        <f t="shared" si="169"/>
        <v>0</v>
      </c>
      <c r="HA58" s="246"/>
      <c r="HB58" s="246"/>
      <c r="HC58" s="246"/>
      <c r="HD58" s="246"/>
      <c r="HE58" s="246"/>
      <c r="HF58" s="246"/>
      <c r="HG58" s="246"/>
      <c r="HH58" s="243">
        <f t="shared" si="170"/>
        <v>0</v>
      </c>
      <c r="HI58" s="246"/>
      <c r="HJ58" s="246"/>
      <c r="HK58" s="246"/>
      <c r="HL58" s="246"/>
      <c r="HM58" s="246"/>
      <c r="HN58" s="246"/>
      <c r="HO58" s="246"/>
      <c r="HP58" s="243">
        <f t="shared" si="171"/>
        <v>0</v>
      </c>
      <c r="HQ58" s="246"/>
      <c r="HR58" s="246"/>
      <c r="HS58" s="246"/>
      <c r="HT58" s="246"/>
      <c r="HU58" s="246"/>
      <c r="HV58" s="246"/>
      <c r="HW58" s="246"/>
      <c r="HX58" s="243">
        <f t="shared" si="172"/>
        <v>0</v>
      </c>
      <c r="HY58" s="246"/>
      <c r="HZ58" s="246"/>
      <c r="IA58" s="246"/>
      <c r="IB58" s="246"/>
      <c r="IC58" s="246"/>
      <c r="ID58" s="246"/>
      <c r="IE58" s="246"/>
      <c r="IF58" s="243">
        <f t="shared" si="173"/>
        <v>0</v>
      </c>
      <c r="IG58" s="246"/>
      <c r="IH58" s="246"/>
      <c r="II58" s="246"/>
      <c r="IJ58" s="246"/>
      <c r="IK58" s="246"/>
      <c r="IL58" s="246"/>
      <c r="IM58" s="246"/>
      <c r="IN58" s="243">
        <f t="shared" si="174"/>
        <v>0</v>
      </c>
      <c r="IO58" s="246"/>
      <c r="IP58" s="246"/>
      <c r="IQ58" s="246"/>
      <c r="IR58" s="246"/>
      <c r="IS58" s="246"/>
      <c r="IT58" s="246"/>
      <c r="IU58" s="246"/>
      <c r="IV58" s="243">
        <f t="shared" si="175"/>
        <v>0</v>
      </c>
      <c r="IW58" s="246"/>
      <c r="IX58" s="246"/>
      <c r="IY58" s="246"/>
      <c r="IZ58" s="246"/>
      <c r="JA58" s="246"/>
      <c r="JB58" s="246"/>
      <c r="JC58" s="246"/>
      <c r="JD58" s="243">
        <f t="shared" si="176"/>
        <v>0</v>
      </c>
      <c r="JE58" s="246"/>
      <c r="JF58" s="246"/>
      <c r="JG58" s="246"/>
      <c r="JH58" s="246"/>
      <c r="JI58" s="246"/>
      <c r="JJ58" s="246"/>
      <c r="JK58" s="246"/>
      <c r="JL58" s="243">
        <f t="shared" si="177"/>
        <v>0</v>
      </c>
      <c r="JM58" s="246"/>
      <c r="JN58" s="246"/>
      <c r="JO58" s="246"/>
      <c r="JP58" s="246"/>
      <c r="JQ58" s="246"/>
      <c r="JR58" s="246"/>
      <c r="JS58" s="246"/>
      <c r="JT58" s="243">
        <f t="shared" si="178"/>
        <v>0</v>
      </c>
      <c r="JU58" s="246"/>
      <c r="JV58" s="246"/>
      <c r="JW58" s="246"/>
      <c r="JX58" s="246"/>
      <c r="JY58" s="246"/>
      <c r="JZ58" s="246"/>
      <c r="KA58" s="246"/>
      <c r="KB58" s="243">
        <f t="shared" si="179"/>
        <v>0</v>
      </c>
      <c r="KC58" s="246"/>
      <c r="KD58" s="246"/>
      <c r="KE58" s="246"/>
      <c r="KF58" s="246"/>
      <c r="KG58" s="246"/>
      <c r="KH58" s="246"/>
      <c r="KI58" s="246"/>
      <c r="KJ58" s="243">
        <f t="shared" si="180"/>
        <v>0</v>
      </c>
      <c r="KK58" s="246"/>
      <c r="KL58" s="246"/>
      <c r="KM58" s="246"/>
      <c r="KN58" s="246"/>
      <c r="KO58" s="246"/>
      <c r="KP58" s="246"/>
      <c r="KQ58" s="246"/>
      <c r="KR58" s="243">
        <f t="shared" si="181"/>
        <v>0</v>
      </c>
      <c r="KS58" s="246"/>
      <c r="KT58" s="246"/>
      <c r="KU58" s="246"/>
      <c r="KV58" s="246"/>
      <c r="KW58" s="246"/>
      <c r="KX58" s="246"/>
      <c r="KY58" s="246"/>
      <c r="KZ58" s="243">
        <f t="shared" si="182"/>
        <v>0</v>
      </c>
      <c r="LA58" s="246"/>
      <c r="LB58" s="246"/>
      <c r="LC58" s="246"/>
      <c r="LD58" s="246"/>
      <c r="LE58" s="246"/>
      <c r="LF58" s="246"/>
      <c r="LG58" s="246"/>
      <c r="LH58" s="243">
        <f t="shared" si="183"/>
        <v>0</v>
      </c>
      <c r="LI58" s="246"/>
      <c r="LJ58" s="246"/>
      <c r="LK58" s="246"/>
      <c r="LL58" s="246"/>
      <c r="LM58" s="246"/>
      <c r="LN58" s="246"/>
      <c r="LO58" s="246"/>
      <c r="LP58" s="243">
        <f t="shared" si="184"/>
        <v>0</v>
      </c>
      <c r="LQ58" s="246"/>
      <c r="LR58" s="246"/>
      <c r="LS58" s="246"/>
      <c r="LT58" s="244">
        <f t="shared" si="185"/>
        <v>0</v>
      </c>
      <c r="LU58" s="246">
        <v>0</v>
      </c>
      <c r="LV58" s="246"/>
      <c r="LW58" s="246"/>
      <c r="LX58" s="246"/>
      <c r="LY58" s="246"/>
      <c r="LZ58" s="246"/>
      <c r="MA58" s="246"/>
      <c r="MB58" s="243">
        <f t="shared" si="186"/>
        <v>0</v>
      </c>
      <c r="MC58" s="246"/>
      <c r="MD58" s="246"/>
      <c r="ME58" s="246"/>
      <c r="MF58" s="246"/>
      <c r="MG58" s="246"/>
      <c r="MH58" s="246"/>
      <c r="MI58" s="246"/>
      <c r="MJ58" s="243">
        <f t="shared" si="187"/>
        <v>0</v>
      </c>
      <c r="MK58" s="246"/>
      <c r="ML58" s="246"/>
      <c r="MM58" s="246"/>
      <c r="MN58" s="246"/>
      <c r="MO58" s="246"/>
      <c r="MP58" s="246"/>
      <c r="MQ58" s="246"/>
      <c r="MR58" s="243">
        <f t="shared" si="188"/>
        <v>0</v>
      </c>
      <c r="MS58" s="271"/>
      <c r="MT58" s="246"/>
      <c r="MU58" s="246"/>
      <c r="MV58" s="246"/>
      <c r="MW58" s="246"/>
      <c r="MX58" s="246"/>
      <c r="MY58" s="246"/>
      <c r="MZ58" s="243">
        <f t="shared" si="189"/>
        <v>0</v>
      </c>
      <c r="NA58" s="246"/>
      <c r="NB58" s="246"/>
      <c r="NC58" s="246"/>
      <c r="ND58" s="243">
        <f t="shared" si="190"/>
        <v>0</v>
      </c>
      <c r="NE58" s="246">
        <v>0</v>
      </c>
      <c r="NF58" s="246"/>
      <c r="NG58" s="246"/>
      <c r="NH58" s="246"/>
      <c r="NI58" s="246"/>
      <c r="NJ58" s="246"/>
      <c r="NK58" s="246"/>
      <c r="NL58" s="243">
        <f t="shared" si="191"/>
        <v>0</v>
      </c>
      <c r="NM58" s="246"/>
      <c r="NN58" s="246"/>
      <c r="NO58" s="246"/>
      <c r="NP58" s="246"/>
      <c r="NQ58" s="246"/>
      <c r="NR58" s="246"/>
      <c r="NS58" s="246"/>
      <c r="NT58" s="243">
        <f t="shared" si="192"/>
        <v>0</v>
      </c>
      <c r="NU58" s="246"/>
      <c r="NV58" s="246"/>
      <c r="NW58" s="246"/>
      <c r="NX58" s="246"/>
      <c r="NY58" s="246"/>
      <c r="NZ58" s="246"/>
      <c r="OA58" s="246"/>
      <c r="OB58" s="243">
        <f t="shared" si="193"/>
        <v>0</v>
      </c>
      <c r="OC58" s="246"/>
      <c r="OD58" s="246"/>
      <c r="OE58" s="246"/>
      <c r="OF58" s="246"/>
      <c r="OG58" s="246"/>
      <c r="OH58" s="246"/>
      <c r="OI58" s="246"/>
      <c r="OJ58" s="243">
        <f t="shared" si="194"/>
        <v>0</v>
      </c>
      <c r="OK58" s="246"/>
      <c r="OL58" s="246"/>
      <c r="OM58" s="246"/>
      <c r="ON58" s="246"/>
      <c r="OO58" s="246"/>
      <c r="OP58" s="246"/>
      <c r="OQ58" s="246"/>
      <c r="OR58" s="243">
        <f t="shared" si="195"/>
        <v>0</v>
      </c>
      <c r="OS58" s="246"/>
      <c r="OT58" s="246"/>
      <c r="OU58" s="246"/>
      <c r="OV58" s="246"/>
      <c r="OW58" s="246"/>
      <c r="OX58" s="246"/>
      <c r="OY58" s="246"/>
      <c r="OZ58" s="243">
        <f t="shared" si="196"/>
        <v>0</v>
      </c>
      <c r="PA58" s="247"/>
      <c r="PB58" s="246"/>
      <c r="PC58" s="246"/>
      <c r="PD58" s="243">
        <f t="shared" si="197"/>
        <v>0</v>
      </c>
      <c r="PE58" s="247"/>
      <c r="PF58" s="246"/>
      <c r="PG58" s="246"/>
      <c r="PH58" s="246"/>
      <c r="PI58" s="246"/>
      <c r="PJ58" s="246"/>
      <c r="PK58" s="246"/>
      <c r="PL58" s="243">
        <f t="shared" si="139"/>
        <v>0</v>
      </c>
      <c r="PM58" s="247"/>
      <c r="PN58" s="246"/>
      <c r="PO58" s="246"/>
      <c r="PP58" s="246"/>
      <c r="PQ58" s="246"/>
      <c r="PR58" s="246">
        <v>-1090</v>
      </c>
      <c r="PS58" s="246">
        <v>0</v>
      </c>
      <c r="PT58" s="243">
        <f t="shared" si="198"/>
        <v>0</v>
      </c>
      <c r="PU58" s="246"/>
      <c r="PV58" s="246"/>
      <c r="PW58" s="246"/>
      <c r="PX58" s="246"/>
      <c r="PY58" s="246"/>
      <c r="PZ58" s="246"/>
      <c r="QA58" s="246"/>
      <c r="QB58" s="243">
        <f t="shared" si="199"/>
        <v>0</v>
      </c>
      <c r="QC58" s="246"/>
      <c r="QD58" s="246"/>
      <c r="QE58" s="246"/>
      <c r="QF58" s="246"/>
      <c r="QG58" s="246"/>
      <c r="QH58" s="246"/>
      <c r="QI58" s="246"/>
      <c r="QJ58" s="243">
        <f t="shared" si="200"/>
        <v>0</v>
      </c>
      <c r="QK58" s="246">
        <v>0</v>
      </c>
      <c r="QL58" s="246"/>
      <c r="QM58" s="246"/>
      <c r="QN58" s="246"/>
      <c r="QO58" s="246"/>
      <c r="QP58" s="243">
        <f t="shared" si="201"/>
        <v>0</v>
      </c>
      <c r="QQ58" s="243">
        <f t="shared" si="140"/>
        <v>0</v>
      </c>
      <c r="QR58" s="246"/>
      <c r="QS58" s="246"/>
      <c r="QT58" s="246"/>
      <c r="QU58" s="246"/>
      <c r="QV58" s="243">
        <f t="shared" si="202"/>
        <v>0</v>
      </c>
      <c r="QW58" s="246"/>
      <c r="QX58" s="246"/>
      <c r="QY58" s="246"/>
      <c r="QZ58" s="246"/>
      <c r="RA58" s="246"/>
      <c r="RB58" s="246"/>
      <c r="RC58" s="246"/>
      <c r="RD58" s="243">
        <f t="shared" si="203"/>
        <v>0</v>
      </c>
      <c r="RE58" s="300"/>
      <c r="RF58" s="259">
        <f t="shared" si="101"/>
        <v>7499.9998031401392</v>
      </c>
      <c r="RG58" s="259">
        <f t="shared" si="141"/>
        <v>7004.9783000000007</v>
      </c>
      <c r="RH58" s="259">
        <f t="shared" si="142"/>
        <v>8405.9739599999994</v>
      </c>
      <c r="RI58" s="256">
        <f t="shared" si="143"/>
        <v>8500</v>
      </c>
    </row>
    <row r="59" spans="1:477">
      <c r="A59" s="5" t="s">
        <v>95</v>
      </c>
      <c r="B59" s="263"/>
      <c r="C59" s="246"/>
      <c r="D59" s="246"/>
      <c r="E59" s="246"/>
      <c r="F59" s="278">
        <v>17199.999488164402</v>
      </c>
      <c r="G59" s="243">
        <v>13890.00531</v>
      </c>
      <c r="H59" s="243">
        <f t="shared" si="144"/>
        <v>16668.006372000003</v>
      </c>
      <c r="I59" s="278">
        <v>16660</v>
      </c>
      <c r="J59" s="246"/>
      <c r="K59" s="246"/>
      <c r="L59" s="246"/>
      <c r="M59" s="246"/>
      <c r="N59" s="246"/>
      <c r="O59" s="246"/>
      <c r="P59" s="243">
        <f t="shared" si="145"/>
        <v>0</v>
      </c>
      <c r="Q59" s="246"/>
      <c r="R59" s="246"/>
      <c r="S59" s="246"/>
      <c r="T59" s="246"/>
      <c r="U59" s="246"/>
      <c r="V59" s="246"/>
      <c r="W59" s="247"/>
      <c r="X59" s="243">
        <f t="shared" si="146"/>
        <v>0</v>
      </c>
      <c r="Y59" s="246"/>
      <c r="Z59" s="246"/>
      <c r="AA59" s="246"/>
      <c r="AB59" s="246"/>
      <c r="AC59" s="246"/>
      <c r="AD59" s="246"/>
      <c r="AE59" s="246"/>
      <c r="AF59" s="243">
        <f t="shared" si="147"/>
        <v>0</v>
      </c>
      <c r="AG59" s="246"/>
      <c r="AH59" s="246"/>
      <c r="AI59" s="246"/>
      <c r="AJ59" s="246"/>
      <c r="AK59" s="246"/>
      <c r="AL59" s="246"/>
      <c r="AM59" s="246"/>
      <c r="AN59" s="243">
        <f t="shared" si="148"/>
        <v>0</v>
      </c>
      <c r="AO59" s="246"/>
      <c r="AP59" s="246"/>
      <c r="AQ59" s="246"/>
      <c r="AR59" s="246"/>
      <c r="AS59" s="246"/>
      <c r="AT59" s="246"/>
      <c r="AU59" s="246"/>
      <c r="AV59" s="243">
        <f t="shared" si="149"/>
        <v>0</v>
      </c>
      <c r="AW59" s="246"/>
      <c r="AX59" s="246"/>
      <c r="AY59" s="246"/>
      <c r="AZ59" s="246"/>
      <c r="BA59" s="246"/>
      <c r="BB59" s="246"/>
      <c r="BC59" s="246"/>
      <c r="BD59" s="243">
        <f t="shared" si="150"/>
        <v>0</v>
      </c>
      <c r="BE59" s="246"/>
      <c r="BF59" s="246"/>
      <c r="BG59" s="246"/>
      <c r="BH59" s="246"/>
      <c r="BI59" s="246"/>
      <c r="BJ59" s="246"/>
      <c r="BK59" s="246"/>
      <c r="BL59" s="243">
        <f t="shared" si="151"/>
        <v>0</v>
      </c>
      <c r="BM59" s="246"/>
      <c r="BN59" s="246"/>
      <c r="BO59" s="246"/>
      <c r="BP59" s="246"/>
      <c r="BQ59" s="246"/>
      <c r="BR59" s="246"/>
      <c r="BS59" s="246"/>
      <c r="BT59" s="243">
        <f t="shared" si="152"/>
        <v>0</v>
      </c>
      <c r="BU59" s="246"/>
      <c r="BV59" s="246"/>
      <c r="BW59" s="246"/>
      <c r="BX59" s="246"/>
      <c r="BY59" s="246"/>
      <c r="BZ59" s="246"/>
      <c r="CA59" s="246"/>
      <c r="CB59" s="243">
        <f t="shared" si="153"/>
        <v>0</v>
      </c>
      <c r="CC59" s="246"/>
      <c r="CD59" s="246"/>
      <c r="CE59" s="246"/>
      <c r="CF59" s="246"/>
      <c r="CG59" s="246"/>
      <c r="CH59" s="246"/>
      <c r="CI59" s="246"/>
      <c r="CJ59" s="243">
        <f t="shared" si="154"/>
        <v>0</v>
      </c>
      <c r="CK59" s="246"/>
      <c r="CL59" s="246"/>
      <c r="CM59" s="246"/>
      <c r="CN59" s="246"/>
      <c r="CO59" s="246"/>
      <c r="CP59" s="246"/>
      <c r="CQ59" s="246"/>
      <c r="CR59" s="243">
        <f t="shared" si="155"/>
        <v>0</v>
      </c>
      <c r="CS59" s="246"/>
      <c r="CT59" s="246"/>
      <c r="CU59" s="246"/>
      <c r="CV59" s="246"/>
      <c r="CW59" s="246"/>
      <c r="CX59" s="246"/>
      <c r="CY59" s="246"/>
      <c r="CZ59" s="243">
        <f t="shared" si="156"/>
        <v>0</v>
      </c>
      <c r="DA59" s="246"/>
      <c r="DB59" s="246"/>
      <c r="DC59" s="246"/>
      <c r="DD59" s="246"/>
      <c r="DE59" s="246"/>
      <c r="DF59" s="246"/>
      <c r="DG59" s="246"/>
      <c r="DH59" s="243">
        <f t="shared" si="157"/>
        <v>0</v>
      </c>
      <c r="DI59" s="246"/>
      <c r="DJ59" s="246"/>
      <c r="DK59" s="246"/>
      <c r="DL59" s="246"/>
      <c r="DM59" s="246"/>
      <c r="DN59" s="246"/>
      <c r="DO59" s="246"/>
      <c r="DP59" s="243">
        <f t="shared" si="158"/>
        <v>0</v>
      </c>
      <c r="DQ59" s="246"/>
      <c r="DR59" s="246"/>
      <c r="DS59" s="246"/>
      <c r="DT59" s="246"/>
      <c r="DU59" s="246"/>
      <c r="DV59" s="246"/>
      <c r="DW59" s="246"/>
      <c r="DX59" s="243">
        <f t="shared" si="159"/>
        <v>0</v>
      </c>
      <c r="DY59" s="246"/>
      <c r="DZ59" s="246"/>
      <c r="EA59" s="246"/>
      <c r="EB59" s="246"/>
      <c r="EC59" s="246"/>
      <c r="ED59" s="246"/>
      <c r="EE59" s="246"/>
      <c r="EF59" s="243">
        <f t="shared" si="160"/>
        <v>0</v>
      </c>
      <c r="EG59" s="246"/>
      <c r="EH59" s="246"/>
      <c r="EI59" s="246"/>
      <c r="EJ59" s="246"/>
      <c r="EK59" s="246"/>
      <c r="EL59" s="246"/>
      <c r="EM59" s="246"/>
      <c r="EN59" s="243">
        <f t="shared" si="161"/>
        <v>0</v>
      </c>
      <c r="EO59" s="246"/>
      <c r="EP59" s="246"/>
      <c r="EQ59" s="246"/>
      <c r="ER59" s="246"/>
      <c r="ES59" s="246"/>
      <c r="ET59" s="246"/>
      <c r="EU59" s="246"/>
      <c r="EV59" s="243">
        <f t="shared" si="162"/>
        <v>0</v>
      </c>
      <c r="EW59" s="246"/>
      <c r="EX59" s="246"/>
      <c r="EY59" s="246"/>
      <c r="EZ59" s="246"/>
      <c r="FA59" s="246"/>
      <c r="FB59" s="246"/>
      <c r="FC59" s="246"/>
      <c r="FD59" s="243">
        <f t="shared" si="163"/>
        <v>0</v>
      </c>
      <c r="FE59" s="246"/>
      <c r="FF59" s="246"/>
      <c r="FG59" s="246"/>
      <c r="FH59" s="246"/>
      <c r="FI59" s="246"/>
      <c r="FJ59" s="246"/>
      <c r="FK59" s="246"/>
      <c r="FL59" s="243">
        <f t="shared" si="164"/>
        <v>0</v>
      </c>
      <c r="FM59" s="246"/>
      <c r="FN59" s="246"/>
      <c r="FO59" s="246"/>
      <c r="FP59" s="246"/>
      <c r="FQ59" s="246"/>
      <c r="FR59" s="246"/>
      <c r="FS59" s="246"/>
      <c r="FT59" s="243">
        <f t="shared" si="165"/>
        <v>0</v>
      </c>
      <c r="FU59" s="246"/>
      <c r="FV59" s="246"/>
      <c r="FW59" s="246"/>
      <c r="FX59" s="246"/>
      <c r="FY59" s="246"/>
      <c r="FZ59" s="246"/>
      <c r="GA59" s="246"/>
      <c r="GB59" s="243">
        <f t="shared" si="166"/>
        <v>0</v>
      </c>
      <c r="GC59" s="246"/>
      <c r="GD59" s="246"/>
      <c r="GE59" s="246"/>
      <c r="GF59" s="246"/>
      <c r="GG59" s="246"/>
      <c r="GH59" s="246"/>
      <c r="GI59" s="246"/>
      <c r="GJ59" s="243">
        <f t="shared" si="167"/>
        <v>0</v>
      </c>
      <c r="GK59" s="246"/>
      <c r="GL59" s="246"/>
      <c r="GM59" s="246"/>
      <c r="GN59" s="246"/>
      <c r="GO59" s="246"/>
      <c r="GP59" s="246"/>
      <c r="GQ59" s="246"/>
      <c r="GR59" s="243">
        <f t="shared" si="168"/>
        <v>0</v>
      </c>
      <c r="GS59" s="246"/>
      <c r="GT59" s="246"/>
      <c r="GU59" s="246"/>
      <c r="GV59" s="246"/>
      <c r="GW59" s="246"/>
      <c r="GX59" s="246"/>
      <c r="GY59" s="246"/>
      <c r="GZ59" s="243">
        <f t="shared" si="169"/>
        <v>0</v>
      </c>
      <c r="HA59" s="246"/>
      <c r="HB59" s="246"/>
      <c r="HC59" s="246"/>
      <c r="HD59" s="246"/>
      <c r="HE59" s="246"/>
      <c r="HF59" s="246"/>
      <c r="HG59" s="246"/>
      <c r="HH59" s="243">
        <f t="shared" si="170"/>
        <v>0</v>
      </c>
      <c r="HI59" s="246"/>
      <c r="HJ59" s="246"/>
      <c r="HK59" s="246"/>
      <c r="HL59" s="246"/>
      <c r="HM59" s="246"/>
      <c r="HN59" s="246"/>
      <c r="HO59" s="246"/>
      <c r="HP59" s="243">
        <f t="shared" si="171"/>
        <v>0</v>
      </c>
      <c r="HQ59" s="246"/>
      <c r="HR59" s="246"/>
      <c r="HS59" s="246"/>
      <c r="HT59" s="246"/>
      <c r="HU59" s="246"/>
      <c r="HV59" s="246"/>
      <c r="HW59" s="246"/>
      <c r="HX59" s="243">
        <f t="shared" si="172"/>
        <v>0</v>
      </c>
      <c r="HY59" s="246"/>
      <c r="HZ59" s="246"/>
      <c r="IA59" s="246"/>
      <c r="IB59" s="246"/>
      <c r="IC59" s="246"/>
      <c r="ID59" s="246"/>
      <c r="IE59" s="246"/>
      <c r="IF59" s="243">
        <f t="shared" si="173"/>
        <v>0</v>
      </c>
      <c r="IG59" s="246"/>
      <c r="IH59" s="246"/>
      <c r="II59" s="246"/>
      <c r="IJ59" s="246"/>
      <c r="IK59" s="246"/>
      <c r="IL59" s="246"/>
      <c r="IM59" s="246"/>
      <c r="IN59" s="243">
        <f t="shared" si="174"/>
        <v>0</v>
      </c>
      <c r="IO59" s="246"/>
      <c r="IP59" s="246"/>
      <c r="IQ59" s="246"/>
      <c r="IR59" s="246"/>
      <c r="IS59" s="246"/>
      <c r="IT59" s="246"/>
      <c r="IU59" s="246"/>
      <c r="IV59" s="243">
        <f t="shared" si="175"/>
        <v>0</v>
      </c>
      <c r="IW59" s="246"/>
      <c r="IX59" s="246"/>
      <c r="IY59" s="246"/>
      <c r="IZ59" s="246"/>
      <c r="JA59" s="246"/>
      <c r="JB59" s="246"/>
      <c r="JC59" s="246"/>
      <c r="JD59" s="243">
        <f t="shared" si="176"/>
        <v>0</v>
      </c>
      <c r="JE59" s="246"/>
      <c r="JF59" s="246"/>
      <c r="JG59" s="246"/>
      <c r="JH59" s="246"/>
      <c r="JI59" s="246"/>
      <c r="JJ59" s="246"/>
      <c r="JK59" s="246"/>
      <c r="JL59" s="243">
        <f t="shared" si="177"/>
        <v>0</v>
      </c>
      <c r="JM59" s="246"/>
      <c r="JN59" s="246"/>
      <c r="JO59" s="246"/>
      <c r="JP59" s="246"/>
      <c r="JQ59" s="246"/>
      <c r="JR59" s="246"/>
      <c r="JS59" s="246"/>
      <c r="JT59" s="243">
        <f t="shared" si="178"/>
        <v>0</v>
      </c>
      <c r="JU59" s="246"/>
      <c r="JV59" s="246"/>
      <c r="JW59" s="246"/>
      <c r="JX59" s="246"/>
      <c r="JY59" s="246"/>
      <c r="JZ59" s="246"/>
      <c r="KA59" s="246"/>
      <c r="KB59" s="243">
        <f t="shared" si="179"/>
        <v>0</v>
      </c>
      <c r="KC59" s="246"/>
      <c r="KD59" s="246"/>
      <c r="KE59" s="246"/>
      <c r="KF59" s="246"/>
      <c r="KG59" s="246"/>
      <c r="KH59" s="246"/>
      <c r="KI59" s="246"/>
      <c r="KJ59" s="243">
        <f t="shared" si="180"/>
        <v>0</v>
      </c>
      <c r="KK59" s="246"/>
      <c r="KL59" s="246"/>
      <c r="KM59" s="246"/>
      <c r="KN59" s="246"/>
      <c r="KO59" s="246"/>
      <c r="KP59" s="246"/>
      <c r="KQ59" s="246"/>
      <c r="KR59" s="243">
        <f t="shared" si="181"/>
        <v>0</v>
      </c>
      <c r="KS59" s="246"/>
      <c r="KT59" s="246"/>
      <c r="KU59" s="246"/>
      <c r="KV59" s="246"/>
      <c r="KW59" s="246"/>
      <c r="KX59" s="246"/>
      <c r="KY59" s="246"/>
      <c r="KZ59" s="243">
        <f t="shared" si="182"/>
        <v>0</v>
      </c>
      <c r="LA59" s="246"/>
      <c r="LB59" s="246"/>
      <c r="LC59" s="246"/>
      <c r="LD59" s="246"/>
      <c r="LE59" s="246"/>
      <c r="LF59" s="246"/>
      <c r="LG59" s="246"/>
      <c r="LH59" s="243">
        <f t="shared" si="183"/>
        <v>0</v>
      </c>
      <c r="LI59" s="246"/>
      <c r="LJ59" s="246"/>
      <c r="LK59" s="246"/>
      <c r="LL59" s="246"/>
      <c r="LM59" s="246"/>
      <c r="LN59" s="246"/>
      <c r="LO59" s="246"/>
      <c r="LP59" s="243">
        <f t="shared" si="184"/>
        <v>0</v>
      </c>
      <c r="LQ59" s="246"/>
      <c r="LR59" s="246"/>
      <c r="LS59" s="246"/>
      <c r="LT59" s="244">
        <f t="shared" si="185"/>
        <v>0</v>
      </c>
      <c r="LU59" s="246">
        <v>0</v>
      </c>
      <c r="LV59" s="246"/>
      <c r="LW59" s="246"/>
      <c r="LX59" s="246"/>
      <c r="LY59" s="246"/>
      <c r="LZ59" s="246"/>
      <c r="MA59" s="246"/>
      <c r="MB59" s="243">
        <f t="shared" si="186"/>
        <v>0</v>
      </c>
      <c r="MC59" s="246"/>
      <c r="MD59" s="246"/>
      <c r="ME59" s="246"/>
      <c r="MF59" s="246"/>
      <c r="MG59" s="246"/>
      <c r="MH59" s="246"/>
      <c r="MI59" s="246"/>
      <c r="MJ59" s="243">
        <f t="shared" si="187"/>
        <v>0</v>
      </c>
      <c r="MK59" s="246"/>
      <c r="ML59" s="246"/>
      <c r="MM59" s="246"/>
      <c r="MN59" s="246"/>
      <c r="MO59" s="246"/>
      <c r="MP59" s="246"/>
      <c r="MQ59" s="246"/>
      <c r="MR59" s="243">
        <f t="shared" si="188"/>
        <v>0</v>
      </c>
      <c r="MS59" s="271"/>
      <c r="MT59" s="246"/>
      <c r="MU59" s="246"/>
      <c r="MV59" s="246"/>
      <c r="MW59" s="246"/>
      <c r="MX59" s="246"/>
      <c r="MY59" s="246"/>
      <c r="MZ59" s="243">
        <f t="shared" si="189"/>
        <v>0</v>
      </c>
      <c r="NA59" s="246"/>
      <c r="NB59" s="246"/>
      <c r="NC59" s="246"/>
      <c r="ND59" s="243">
        <f t="shared" si="190"/>
        <v>0</v>
      </c>
      <c r="NE59" s="246">
        <v>0</v>
      </c>
      <c r="NF59" s="246"/>
      <c r="NG59" s="246"/>
      <c r="NH59" s="246"/>
      <c r="NI59" s="246"/>
      <c r="NJ59" s="246"/>
      <c r="NK59" s="246"/>
      <c r="NL59" s="243">
        <f t="shared" si="191"/>
        <v>0</v>
      </c>
      <c r="NM59" s="246"/>
      <c r="NN59" s="246"/>
      <c r="NO59" s="246"/>
      <c r="NP59" s="246"/>
      <c r="NQ59" s="246"/>
      <c r="NR59" s="246"/>
      <c r="NS59" s="246"/>
      <c r="NT59" s="243">
        <f t="shared" si="192"/>
        <v>0</v>
      </c>
      <c r="NU59" s="246"/>
      <c r="NV59" s="246"/>
      <c r="NW59" s="246"/>
      <c r="NX59" s="246"/>
      <c r="NY59" s="246"/>
      <c r="NZ59" s="246"/>
      <c r="OA59" s="246"/>
      <c r="OB59" s="243">
        <f t="shared" si="193"/>
        <v>0</v>
      </c>
      <c r="OC59" s="246"/>
      <c r="OD59" s="246"/>
      <c r="OE59" s="246"/>
      <c r="OF59" s="246"/>
      <c r="OG59" s="246"/>
      <c r="OH59" s="246"/>
      <c r="OI59" s="246"/>
      <c r="OJ59" s="243">
        <f t="shared" si="194"/>
        <v>0</v>
      </c>
      <c r="OK59" s="246"/>
      <c r="OL59" s="246"/>
      <c r="OM59" s="246"/>
      <c r="ON59" s="246"/>
      <c r="OO59" s="246"/>
      <c r="OP59" s="246"/>
      <c r="OQ59" s="246"/>
      <c r="OR59" s="243">
        <f t="shared" si="195"/>
        <v>0</v>
      </c>
      <c r="OS59" s="246"/>
      <c r="OT59" s="246"/>
      <c r="OU59" s="246"/>
      <c r="OV59" s="246"/>
      <c r="OW59" s="246"/>
      <c r="OX59" s="246"/>
      <c r="OY59" s="246"/>
      <c r="OZ59" s="243">
        <f t="shared" si="196"/>
        <v>0</v>
      </c>
      <c r="PA59" s="247"/>
      <c r="PB59" s="246"/>
      <c r="PC59" s="246"/>
      <c r="PD59" s="243">
        <f t="shared" si="197"/>
        <v>0</v>
      </c>
      <c r="PE59" s="247"/>
      <c r="PF59" s="246"/>
      <c r="PG59" s="246"/>
      <c r="PH59" s="246"/>
      <c r="PI59" s="246"/>
      <c r="PJ59" s="246"/>
      <c r="PK59" s="246"/>
      <c r="PL59" s="243">
        <f t="shared" si="139"/>
        <v>0</v>
      </c>
      <c r="PM59" s="247"/>
      <c r="PN59" s="246"/>
      <c r="PO59" s="246"/>
      <c r="PP59" s="246"/>
      <c r="PQ59" s="246"/>
      <c r="PR59" s="246">
        <v>2300</v>
      </c>
      <c r="PS59" s="246">
        <v>0</v>
      </c>
      <c r="PT59" s="243">
        <f t="shared" si="198"/>
        <v>0</v>
      </c>
      <c r="PU59" s="246"/>
      <c r="PV59" s="246"/>
      <c r="PW59" s="246"/>
      <c r="PX59" s="246"/>
      <c r="PY59" s="246"/>
      <c r="PZ59" s="246"/>
      <c r="QA59" s="246"/>
      <c r="QB59" s="243">
        <f t="shared" si="199"/>
        <v>0</v>
      </c>
      <c r="QC59" s="246"/>
      <c r="QD59" s="246"/>
      <c r="QE59" s="246"/>
      <c r="QF59" s="246"/>
      <c r="QG59" s="246"/>
      <c r="QH59" s="246"/>
      <c r="QI59" s="246"/>
      <c r="QJ59" s="243">
        <f t="shared" si="200"/>
        <v>0</v>
      </c>
      <c r="QK59" s="246">
        <v>0</v>
      </c>
      <c r="QL59" s="246"/>
      <c r="QM59" s="246"/>
      <c r="QN59" s="246"/>
      <c r="QO59" s="246"/>
      <c r="QP59" s="243">
        <f t="shared" si="201"/>
        <v>0</v>
      </c>
      <c r="QQ59" s="243">
        <f t="shared" si="140"/>
        <v>0</v>
      </c>
      <c r="QR59" s="246"/>
      <c r="QS59" s="246"/>
      <c r="QT59" s="246"/>
      <c r="QU59" s="246"/>
      <c r="QV59" s="243">
        <f t="shared" si="202"/>
        <v>0</v>
      </c>
      <c r="QW59" s="246"/>
      <c r="QX59" s="246"/>
      <c r="QY59" s="246"/>
      <c r="QZ59" s="246"/>
      <c r="RA59" s="246"/>
      <c r="RB59" s="246"/>
      <c r="RC59" s="246"/>
      <c r="RD59" s="243">
        <f t="shared" si="203"/>
        <v>0</v>
      </c>
      <c r="RE59" s="300"/>
      <c r="RF59" s="259">
        <f t="shared" si="101"/>
        <v>19499.999488164402</v>
      </c>
      <c r="RG59" s="259">
        <f t="shared" si="141"/>
        <v>13890.00531</v>
      </c>
      <c r="RH59" s="259">
        <f t="shared" si="142"/>
        <v>16668.006372000003</v>
      </c>
      <c r="RI59" s="256">
        <f t="shared" si="143"/>
        <v>16660</v>
      </c>
    </row>
    <row r="60" spans="1:477">
      <c r="A60" s="5" t="s">
        <v>96</v>
      </c>
      <c r="B60" s="263"/>
      <c r="C60" s="246"/>
      <c r="D60" s="246"/>
      <c r="E60" s="246"/>
      <c r="F60" s="278">
        <v>1299.9999658566301</v>
      </c>
      <c r="G60" s="243">
        <v>778.84202000000005</v>
      </c>
      <c r="H60" s="243">
        <f t="shared" si="144"/>
        <v>934.61042399999997</v>
      </c>
      <c r="I60" s="278">
        <v>800</v>
      </c>
      <c r="J60" s="246"/>
      <c r="K60" s="246"/>
      <c r="L60" s="246"/>
      <c r="M60" s="246"/>
      <c r="N60" s="246"/>
      <c r="O60" s="246"/>
      <c r="P60" s="243">
        <f t="shared" si="145"/>
        <v>0</v>
      </c>
      <c r="Q60" s="246"/>
      <c r="R60" s="246"/>
      <c r="S60" s="246"/>
      <c r="T60" s="246"/>
      <c r="U60" s="246"/>
      <c r="V60" s="246"/>
      <c r="W60" s="247"/>
      <c r="X60" s="243">
        <f t="shared" si="146"/>
        <v>0</v>
      </c>
      <c r="Y60" s="246"/>
      <c r="Z60" s="246"/>
      <c r="AA60" s="246"/>
      <c r="AB60" s="246"/>
      <c r="AC60" s="246"/>
      <c r="AD60" s="246"/>
      <c r="AE60" s="246"/>
      <c r="AF60" s="243">
        <f t="shared" si="147"/>
        <v>0</v>
      </c>
      <c r="AG60" s="246"/>
      <c r="AH60" s="246"/>
      <c r="AI60" s="246"/>
      <c r="AJ60" s="246"/>
      <c r="AK60" s="246"/>
      <c r="AL60" s="246"/>
      <c r="AM60" s="246"/>
      <c r="AN60" s="243">
        <f t="shared" si="148"/>
        <v>0</v>
      </c>
      <c r="AO60" s="246"/>
      <c r="AP60" s="246"/>
      <c r="AQ60" s="246"/>
      <c r="AR60" s="246"/>
      <c r="AS60" s="246"/>
      <c r="AT60" s="246"/>
      <c r="AU60" s="246"/>
      <c r="AV60" s="243">
        <f t="shared" si="149"/>
        <v>0</v>
      </c>
      <c r="AW60" s="246"/>
      <c r="AX60" s="246"/>
      <c r="AY60" s="246"/>
      <c r="AZ60" s="246"/>
      <c r="BA60" s="246"/>
      <c r="BB60" s="246"/>
      <c r="BC60" s="246"/>
      <c r="BD60" s="243">
        <f t="shared" si="150"/>
        <v>0</v>
      </c>
      <c r="BE60" s="246"/>
      <c r="BF60" s="246"/>
      <c r="BG60" s="246"/>
      <c r="BH60" s="246"/>
      <c r="BI60" s="246"/>
      <c r="BJ60" s="246"/>
      <c r="BK60" s="246"/>
      <c r="BL60" s="243">
        <f t="shared" si="151"/>
        <v>0</v>
      </c>
      <c r="BM60" s="246"/>
      <c r="BN60" s="246"/>
      <c r="BO60" s="246"/>
      <c r="BP60" s="246"/>
      <c r="BQ60" s="246"/>
      <c r="BR60" s="246"/>
      <c r="BS60" s="246"/>
      <c r="BT60" s="243">
        <f t="shared" si="152"/>
        <v>0</v>
      </c>
      <c r="BU60" s="246"/>
      <c r="BV60" s="246"/>
      <c r="BW60" s="246"/>
      <c r="BX60" s="246"/>
      <c r="BY60" s="246"/>
      <c r="BZ60" s="246"/>
      <c r="CA60" s="246"/>
      <c r="CB60" s="243">
        <f t="shared" si="153"/>
        <v>0</v>
      </c>
      <c r="CC60" s="246"/>
      <c r="CD60" s="246"/>
      <c r="CE60" s="246"/>
      <c r="CF60" s="246"/>
      <c r="CG60" s="246"/>
      <c r="CH60" s="246"/>
      <c r="CI60" s="246"/>
      <c r="CJ60" s="243">
        <f t="shared" si="154"/>
        <v>0</v>
      </c>
      <c r="CK60" s="246"/>
      <c r="CL60" s="246"/>
      <c r="CM60" s="246"/>
      <c r="CN60" s="246"/>
      <c r="CO60" s="246"/>
      <c r="CP60" s="246"/>
      <c r="CQ60" s="246"/>
      <c r="CR60" s="243">
        <f t="shared" si="155"/>
        <v>0</v>
      </c>
      <c r="CS60" s="246"/>
      <c r="CT60" s="246"/>
      <c r="CU60" s="246"/>
      <c r="CV60" s="246"/>
      <c r="CW60" s="246"/>
      <c r="CX60" s="246"/>
      <c r="CY60" s="246"/>
      <c r="CZ60" s="243">
        <f t="shared" si="156"/>
        <v>0</v>
      </c>
      <c r="DA60" s="246"/>
      <c r="DB60" s="246"/>
      <c r="DC60" s="246"/>
      <c r="DD60" s="246"/>
      <c r="DE60" s="246"/>
      <c r="DF60" s="246"/>
      <c r="DG60" s="246"/>
      <c r="DH60" s="243">
        <f t="shared" si="157"/>
        <v>0</v>
      </c>
      <c r="DI60" s="246"/>
      <c r="DJ60" s="246"/>
      <c r="DK60" s="246"/>
      <c r="DL60" s="246"/>
      <c r="DM60" s="246"/>
      <c r="DN60" s="246"/>
      <c r="DO60" s="246"/>
      <c r="DP60" s="243">
        <f t="shared" si="158"/>
        <v>0</v>
      </c>
      <c r="DQ60" s="246"/>
      <c r="DR60" s="246"/>
      <c r="DS60" s="246"/>
      <c r="DT60" s="246"/>
      <c r="DU60" s="246"/>
      <c r="DV60" s="246"/>
      <c r="DW60" s="246"/>
      <c r="DX60" s="243">
        <f t="shared" si="159"/>
        <v>0</v>
      </c>
      <c r="DY60" s="246"/>
      <c r="DZ60" s="246"/>
      <c r="EA60" s="246"/>
      <c r="EB60" s="246"/>
      <c r="EC60" s="246"/>
      <c r="ED60" s="246"/>
      <c r="EE60" s="246"/>
      <c r="EF60" s="243">
        <f t="shared" si="160"/>
        <v>0</v>
      </c>
      <c r="EG60" s="246"/>
      <c r="EH60" s="246"/>
      <c r="EI60" s="246"/>
      <c r="EJ60" s="246"/>
      <c r="EK60" s="246"/>
      <c r="EL60" s="246"/>
      <c r="EM60" s="246"/>
      <c r="EN60" s="243">
        <f t="shared" si="161"/>
        <v>0</v>
      </c>
      <c r="EO60" s="246"/>
      <c r="EP60" s="246"/>
      <c r="EQ60" s="246"/>
      <c r="ER60" s="246"/>
      <c r="ES60" s="246"/>
      <c r="ET60" s="246"/>
      <c r="EU60" s="246"/>
      <c r="EV60" s="243">
        <f t="shared" si="162"/>
        <v>0</v>
      </c>
      <c r="EW60" s="246"/>
      <c r="EX60" s="246"/>
      <c r="EY60" s="246"/>
      <c r="EZ60" s="246"/>
      <c r="FA60" s="246"/>
      <c r="FB60" s="246"/>
      <c r="FC60" s="246"/>
      <c r="FD60" s="243">
        <f t="shared" si="163"/>
        <v>0</v>
      </c>
      <c r="FE60" s="246"/>
      <c r="FF60" s="246"/>
      <c r="FG60" s="246"/>
      <c r="FH60" s="246"/>
      <c r="FI60" s="246"/>
      <c r="FJ60" s="246"/>
      <c r="FK60" s="246"/>
      <c r="FL60" s="243">
        <f t="shared" si="164"/>
        <v>0</v>
      </c>
      <c r="FM60" s="246"/>
      <c r="FN60" s="246"/>
      <c r="FO60" s="246"/>
      <c r="FP60" s="246"/>
      <c r="FQ60" s="246"/>
      <c r="FR60" s="246"/>
      <c r="FS60" s="246"/>
      <c r="FT60" s="243">
        <f t="shared" si="165"/>
        <v>0</v>
      </c>
      <c r="FU60" s="246"/>
      <c r="FV60" s="246"/>
      <c r="FW60" s="246"/>
      <c r="FX60" s="246"/>
      <c r="FY60" s="246"/>
      <c r="FZ60" s="246"/>
      <c r="GA60" s="246"/>
      <c r="GB60" s="243">
        <f t="shared" si="166"/>
        <v>0</v>
      </c>
      <c r="GC60" s="246"/>
      <c r="GD60" s="246"/>
      <c r="GE60" s="246"/>
      <c r="GF60" s="246"/>
      <c r="GG60" s="246"/>
      <c r="GH60" s="246"/>
      <c r="GI60" s="246"/>
      <c r="GJ60" s="243">
        <f t="shared" si="167"/>
        <v>0</v>
      </c>
      <c r="GK60" s="246"/>
      <c r="GL60" s="246"/>
      <c r="GM60" s="246"/>
      <c r="GN60" s="246"/>
      <c r="GO60" s="246"/>
      <c r="GP60" s="246"/>
      <c r="GQ60" s="246"/>
      <c r="GR60" s="243">
        <f t="shared" si="168"/>
        <v>0</v>
      </c>
      <c r="GS60" s="246"/>
      <c r="GT60" s="246"/>
      <c r="GU60" s="246"/>
      <c r="GV60" s="246"/>
      <c r="GW60" s="246"/>
      <c r="GX60" s="246"/>
      <c r="GY60" s="246"/>
      <c r="GZ60" s="243">
        <f t="shared" si="169"/>
        <v>0</v>
      </c>
      <c r="HA60" s="246"/>
      <c r="HB60" s="246"/>
      <c r="HC60" s="246"/>
      <c r="HD60" s="246"/>
      <c r="HE60" s="246"/>
      <c r="HF60" s="246"/>
      <c r="HG60" s="246"/>
      <c r="HH60" s="243">
        <f t="shared" si="170"/>
        <v>0</v>
      </c>
      <c r="HI60" s="246"/>
      <c r="HJ60" s="246"/>
      <c r="HK60" s="246"/>
      <c r="HL60" s="246"/>
      <c r="HM60" s="246"/>
      <c r="HN60" s="246"/>
      <c r="HO60" s="246"/>
      <c r="HP60" s="243">
        <f t="shared" si="171"/>
        <v>0</v>
      </c>
      <c r="HQ60" s="246"/>
      <c r="HR60" s="246"/>
      <c r="HS60" s="246"/>
      <c r="HT60" s="246"/>
      <c r="HU60" s="246"/>
      <c r="HV60" s="246"/>
      <c r="HW60" s="246"/>
      <c r="HX60" s="243">
        <f t="shared" si="172"/>
        <v>0</v>
      </c>
      <c r="HY60" s="246"/>
      <c r="HZ60" s="246"/>
      <c r="IA60" s="246"/>
      <c r="IB60" s="246"/>
      <c r="IC60" s="246"/>
      <c r="ID60" s="246"/>
      <c r="IE60" s="246"/>
      <c r="IF60" s="243">
        <f t="shared" si="173"/>
        <v>0</v>
      </c>
      <c r="IG60" s="246"/>
      <c r="IH60" s="246"/>
      <c r="II60" s="246"/>
      <c r="IJ60" s="246"/>
      <c r="IK60" s="246"/>
      <c r="IL60" s="246"/>
      <c r="IM60" s="246"/>
      <c r="IN60" s="243">
        <f t="shared" si="174"/>
        <v>0</v>
      </c>
      <c r="IO60" s="246"/>
      <c r="IP60" s="246"/>
      <c r="IQ60" s="246"/>
      <c r="IR60" s="246"/>
      <c r="IS60" s="246"/>
      <c r="IT60" s="246"/>
      <c r="IU60" s="246"/>
      <c r="IV60" s="243">
        <f t="shared" si="175"/>
        <v>0</v>
      </c>
      <c r="IW60" s="246"/>
      <c r="IX60" s="246"/>
      <c r="IY60" s="246"/>
      <c r="IZ60" s="246"/>
      <c r="JA60" s="246"/>
      <c r="JB60" s="246"/>
      <c r="JC60" s="246"/>
      <c r="JD60" s="243">
        <f t="shared" si="176"/>
        <v>0</v>
      </c>
      <c r="JE60" s="246"/>
      <c r="JF60" s="246"/>
      <c r="JG60" s="246"/>
      <c r="JH60" s="246"/>
      <c r="JI60" s="246"/>
      <c r="JJ60" s="246"/>
      <c r="JK60" s="246"/>
      <c r="JL60" s="243">
        <f t="shared" si="177"/>
        <v>0</v>
      </c>
      <c r="JM60" s="246"/>
      <c r="JN60" s="246"/>
      <c r="JO60" s="246"/>
      <c r="JP60" s="246"/>
      <c r="JQ60" s="246"/>
      <c r="JR60" s="246"/>
      <c r="JS60" s="246"/>
      <c r="JT60" s="243">
        <f t="shared" si="178"/>
        <v>0</v>
      </c>
      <c r="JU60" s="246"/>
      <c r="JV60" s="246"/>
      <c r="JW60" s="246"/>
      <c r="JX60" s="246"/>
      <c r="JY60" s="246"/>
      <c r="JZ60" s="246"/>
      <c r="KA60" s="246"/>
      <c r="KB60" s="243">
        <f t="shared" si="179"/>
        <v>0</v>
      </c>
      <c r="KC60" s="246"/>
      <c r="KD60" s="246"/>
      <c r="KE60" s="246"/>
      <c r="KF60" s="246"/>
      <c r="KG60" s="246"/>
      <c r="KH60" s="246"/>
      <c r="KI60" s="246"/>
      <c r="KJ60" s="243">
        <f t="shared" si="180"/>
        <v>0</v>
      </c>
      <c r="KK60" s="246"/>
      <c r="KL60" s="246"/>
      <c r="KM60" s="246"/>
      <c r="KN60" s="246"/>
      <c r="KO60" s="246"/>
      <c r="KP60" s="246"/>
      <c r="KQ60" s="246"/>
      <c r="KR60" s="243">
        <f t="shared" si="181"/>
        <v>0</v>
      </c>
      <c r="KS60" s="246"/>
      <c r="KT60" s="246"/>
      <c r="KU60" s="246"/>
      <c r="KV60" s="246"/>
      <c r="KW60" s="246"/>
      <c r="KX60" s="246"/>
      <c r="KY60" s="246"/>
      <c r="KZ60" s="243">
        <f t="shared" si="182"/>
        <v>0</v>
      </c>
      <c r="LA60" s="246"/>
      <c r="LB60" s="246"/>
      <c r="LC60" s="246"/>
      <c r="LD60" s="246"/>
      <c r="LE60" s="246"/>
      <c r="LF60" s="246"/>
      <c r="LG60" s="246"/>
      <c r="LH60" s="243">
        <f t="shared" si="183"/>
        <v>0</v>
      </c>
      <c r="LI60" s="246"/>
      <c r="LJ60" s="246"/>
      <c r="LK60" s="246"/>
      <c r="LL60" s="246"/>
      <c r="LM60" s="246"/>
      <c r="LN60" s="246"/>
      <c r="LO60" s="246"/>
      <c r="LP60" s="243">
        <f t="shared" si="184"/>
        <v>0</v>
      </c>
      <c r="LQ60" s="246"/>
      <c r="LR60" s="246"/>
      <c r="LS60" s="246"/>
      <c r="LT60" s="244">
        <f t="shared" si="185"/>
        <v>0</v>
      </c>
      <c r="LU60" s="246">
        <v>0</v>
      </c>
      <c r="LV60" s="246"/>
      <c r="LW60" s="246"/>
      <c r="LX60" s="246"/>
      <c r="LY60" s="246"/>
      <c r="LZ60" s="246"/>
      <c r="MA60" s="246"/>
      <c r="MB60" s="243">
        <f t="shared" si="186"/>
        <v>0</v>
      </c>
      <c r="MC60" s="246"/>
      <c r="MD60" s="246"/>
      <c r="ME60" s="246"/>
      <c r="MF60" s="246"/>
      <c r="MG60" s="246"/>
      <c r="MH60" s="246"/>
      <c r="MI60" s="246"/>
      <c r="MJ60" s="243">
        <f t="shared" si="187"/>
        <v>0</v>
      </c>
      <c r="MK60" s="246"/>
      <c r="ML60" s="246"/>
      <c r="MM60" s="246"/>
      <c r="MN60" s="246"/>
      <c r="MO60" s="246"/>
      <c r="MP60" s="246"/>
      <c r="MQ60" s="246"/>
      <c r="MR60" s="243">
        <f t="shared" si="188"/>
        <v>0</v>
      </c>
      <c r="MS60" s="271"/>
      <c r="MT60" s="246"/>
      <c r="MU60" s="246"/>
      <c r="MV60" s="246"/>
      <c r="MW60" s="246"/>
      <c r="MX60" s="246"/>
      <c r="MY60" s="246"/>
      <c r="MZ60" s="243">
        <f t="shared" si="189"/>
        <v>0</v>
      </c>
      <c r="NA60" s="246"/>
      <c r="NB60" s="246"/>
      <c r="NC60" s="246"/>
      <c r="ND60" s="243">
        <f t="shared" si="190"/>
        <v>0</v>
      </c>
      <c r="NE60" s="246">
        <v>0</v>
      </c>
      <c r="NF60" s="246"/>
      <c r="NG60" s="246"/>
      <c r="NH60" s="246"/>
      <c r="NI60" s="246"/>
      <c r="NJ60" s="246"/>
      <c r="NK60" s="246"/>
      <c r="NL60" s="243">
        <f t="shared" si="191"/>
        <v>0</v>
      </c>
      <c r="NM60" s="246"/>
      <c r="NN60" s="246"/>
      <c r="NO60" s="246"/>
      <c r="NP60" s="246"/>
      <c r="NQ60" s="246"/>
      <c r="NR60" s="246"/>
      <c r="NS60" s="246"/>
      <c r="NT60" s="243">
        <f t="shared" si="192"/>
        <v>0</v>
      </c>
      <c r="NU60" s="246"/>
      <c r="NV60" s="246"/>
      <c r="NW60" s="246"/>
      <c r="NX60" s="246"/>
      <c r="NY60" s="246"/>
      <c r="NZ60" s="246"/>
      <c r="OA60" s="246"/>
      <c r="OB60" s="243">
        <f t="shared" si="193"/>
        <v>0</v>
      </c>
      <c r="OC60" s="246"/>
      <c r="OD60" s="246"/>
      <c r="OE60" s="246"/>
      <c r="OF60" s="246"/>
      <c r="OG60" s="246"/>
      <c r="OH60" s="246"/>
      <c r="OI60" s="246"/>
      <c r="OJ60" s="243">
        <f t="shared" si="194"/>
        <v>0</v>
      </c>
      <c r="OK60" s="246"/>
      <c r="OL60" s="246"/>
      <c r="OM60" s="246"/>
      <c r="ON60" s="246"/>
      <c r="OO60" s="246"/>
      <c r="OP60" s="246"/>
      <c r="OQ60" s="246"/>
      <c r="OR60" s="243">
        <f t="shared" si="195"/>
        <v>0</v>
      </c>
      <c r="OS60" s="246"/>
      <c r="OT60" s="246"/>
      <c r="OU60" s="246"/>
      <c r="OV60" s="246"/>
      <c r="OW60" s="246"/>
      <c r="OX60" s="246"/>
      <c r="OY60" s="246"/>
      <c r="OZ60" s="243">
        <f t="shared" si="196"/>
        <v>0</v>
      </c>
      <c r="PA60" s="247"/>
      <c r="PB60" s="246"/>
      <c r="PC60" s="246"/>
      <c r="PD60" s="243">
        <f t="shared" si="197"/>
        <v>0</v>
      </c>
      <c r="PE60" s="247"/>
      <c r="PF60" s="246"/>
      <c r="PG60" s="246"/>
      <c r="PH60" s="246"/>
      <c r="PI60" s="246"/>
      <c r="PJ60" s="246"/>
      <c r="PK60" s="246"/>
      <c r="PL60" s="243">
        <f t="shared" si="139"/>
        <v>0</v>
      </c>
      <c r="PM60" s="247"/>
      <c r="PN60" s="246"/>
      <c r="PO60" s="246"/>
      <c r="PP60" s="246"/>
      <c r="PQ60" s="246"/>
      <c r="PR60" s="246">
        <v>0</v>
      </c>
      <c r="PS60" s="246">
        <v>0</v>
      </c>
      <c r="PT60" s="243">
        <f t="shared" si="198"/>
        <v>0</v>
      </c>
      <c r="PU60" s="246"/>
      <c r="PV60" s="246"/>
      <c r="PW60" s="246"/>
      <c r="PX60" s="246"/>
      <c r="PY60" s="246"/>
      <c r="PZ60" s="246"/>
      <c r="QA60" s="246"/>
      <c r="QB60" s="243">
        <f t="shared" si="199"/>
        <v>0</v>
      </c>
      <c r="QC60" s="246"/>
      <c r="QD60" s="246"/>
      <c r="QE60" s="246"/>
      <c r="QF60" s="246"/>
      <c r="QG60" s="246"/>
      <c r="QH60" s="246"/>
      <c r="QI60" s="246"/>
      <c r="QJ60" s="243">
        <f t="shared" si="200"/>
        <v>0</v>
      </c>
      <c r="QK60" s="246">
        <v>0</v>
      </c>
      <c r="QL60" s="246"/>
      <c r="QM60" s="246"/>
      <c r="QN60" s="246"/>
      <c r="QO60" s="246"/>
      <c r="QP60" s="243">
        <f t="shared" si="201"/>
        <v>0</v>
      </c>
      <c r="QQ60" s="243">
        <f t="shared" si="140"/>
        <v>0</v>
      </c>
      <c r="QR60" s="246"/>
      <c r="QS60" s="246"/>
      <c r="QT60" s="246"/>
      <c r="QU60" s="246"/>
      <c r="QV60" s="243">
        <f t="shared" si="202"/>
        <v>0</v>
      </c>
      <c r="QW60" s="246"/>
      <c r="QX60" s="246"/>
      <c r="QY60" s="246"/>
      <c r="QZ60" s="246"/>
      <c r="RA60" s="246"/>
      <c r="RB60" s="246"/>
      <c r="RC60" s="246"/>
      <c r="RD60" s="243">
        <f t="shared" si="203"/>
        <v>0</v>
      </c>
      <c r="RE60" s="300"/>
      <c r="RF60" s="259">
        <f t="shared" si="101"/>
        <v>1299.9999658566301</v>
      </c>
      <c r="RG60" s="259">
        <f t="shared" si="141"/>
        <v>778.84202000000005</v>
      </c>
      <c r="RH60" s="259">
        <f t="shared" si="142"/>
        <v>934.61042399999997</v>
      </c>
      <c r="RI60" s="256">
        <f t="shared" si="143"/>
        <v>800</v>
      </c>
    </row>
    <row r="61" spans="1:477" s="281" customFormat="1">
      <c r="A61" s="279" t="s">
        <v>97</v>
      </c>
      <c r="B61" s="280"/>
      <c r="C61" s="247"/>
      <c r="D61" s="247"/>
      <c r="E61" s="247"/>
      <c r="F61" s="247">
        <v>0</v>
      </c>
      <c r="G61" s="243">
        <v>212.22999999999996</v>
      </c>
      <c r="H61" s="243">
        <f t="shared" si="144"/>
        <v>254.67599999999993</v>
      </c>
      <c r="I61" s="247">
        <v>255</v>
      </c>
      <c r="J61" s="247"/>
      <c r="K61" s="247"/>
      <c r="L61" s="247"/>
      <c r="M61" s="247"/>
      <c r="N61" s="247">
        <v>0</v>
      </c>
      <c r="O61" s="247">
        <v>9.351329999999999</v>
      </c>
      <c r="P61" s="243">
        <f t="shared" si="145"/>
        <v>11.221595999999998</v>
      </c>
      <c r="Q61" s="247">
        <v>12</v>
      </c>
      <c r="R61" s="247"/>
      <c r="S61" s="247"/>
      <c r="T61" s="247"/>
      <c r="U61" s="247"/>
      <c r="V61" s="247">
        <v>0</v>
      </c>
      <c r="W61" s="247">
        <v>25.421240000000004</v>
      </c>
      <c r="X61" s="243">
        <f t="shared" si="146"/>
        <v>30.505488000000003</v>
      </c>
      <c r="Y61" s="247">
        <v>40</v>
      </c>
      <c r="Z61" s="247"/>
      <c r="AA61" s="247"/>
      <c r="AB61" s="247"/>
      <c r="AC61" s="247"/>
      <c r="AD61" s="247">
        <v>0</v>
      </c>
      <c r="AE61" s="247">
        <v>43.854810000000001</v>
      </c>
      <c r="AF61" s="243">
        <f t="shared" si="147"/>
        <v>52.625772000000005</v>
      </c>
      <c r="AG61" s="247">
        <v>60</v>
      </c>
      <c r="AH61" s="247"/>
      <c r="AI61" s="247"/>
      <c r="AJ61" s="247"/>
      <c r="AK61" s="247"/>
      <c r="AL61" s="247">
        <v>0</v>
      </c>
      <c r="AM61" s="247">
        <v>2.8420999999999998</v>
      </c>
      <c r="AN61" s="243">
        <f t="shared" si="148"/>
        <v>3.4105199999999996</v>
      </c>
      <c r="AO61" s="247">
        <v>5</v>
      </c>
      <c r="AP61" s="247"/>
      <c r="AQ61" s="247"/>
      <c r="AR61" s="247"/>
      <c r="AS61" s="247"/>
      <c r="AT61" s="247">
        <v>0</v>
      </c>
      <c r="AU61" s="247">
        <v>272.34019999999998</v>
      </c>
      <c r="AV61" s="243">
        <f t="shared" si="149"/>
        <v>326.80823999999996</v>
      </c>
      <c r="AW61" s="247">
        <v>320</v>
      </c>
      <c r="AX61" s="247"/>
      <c r="AY61" s="247"/>
      <c r="AZ61" s="247"/>
      <c r="BA61" s="247"/>
      <c r="BB61" s="247">
        <v>0</v>
      </c>
      <c r="BC61" s="247">
        <v>1394.5964900000001</v>
      </c>
      <c r="BD61" s="243">
        <f t="shared" si="150"/>
        <v>1673.5157880000002</v>
      </c>
      <c r="BE61" s="247">
        <v>1651</v>
      </c>
      <c r="BF61" s="247"/>
      <c r="BG61" s="247"/>
      <c r="BH61" s="247"/>
      <c r="BI61" s="247"/>
      <c r="BJ61" s="247">
        <v>0</v>
      </c>
      <c r="BK61" s="247">
        <v>4.1774299999999993</v>
      </c>
      <c r="BL61" s="243">
        <f t="shared" si="151"/>
        <v>5.0129159999999988</v>
      </c>
      <c r="BM61" s="247">
        <v>6</v>
      </c>
      <c r="BN61" s="247"/>
      <c r="BO61" s="247"/>
      <c r="BP61" s="247"/>
      <c r="BQ61" s="247"/>
      <c r="BR61" s="247">
        <v>0</v>
      </c>
      <c r="BS61" s="247">
        <v>255.33941000000002</v>
      </c>
      <c r="BT61" s="243">
        <f t="shared" si="152"/>
        <v>306.40729200000004</v>
      </c>
      <c r="BU61" s="247">
        <v>300</v>
      </c>
      <c r="BV61" s="247"/>
      <c r="BW61" s="247"/>
      <c r="BX61" s="247"/>
      <c r="BY61" s="247"/>
      <c r="BZ61" s="247">
        <v>0</v>
      </c>
      <c r="CA61" s="247">
        <v>116.30011</v>
      </c>
      <c r="CB61" s="243">
        <f t="shared" si="153"/>
        <v>139.56013200000001</v>
      </c>
      <c r="CC61" s="247">
        <v>150</v>
      </c>
      <c r="CD61" s="247"/>
      <c r="CE61" s="247"/>
      <c r="CF61" s="247"/>
      <c r="CG61" s="247"/>
      <c r="CH61" s="247">
        <v>0</v>
      </c>
      <c r="CI61" s="247">
        <v>42.606200000000001</v>
      </c>
      <c r="CJ61" s="243">
        <f t="shared" si="154"/>
        <v>51.127440000000007</v>
      </c>
      <c r="CK61" s="247">
        <v>51</v>
      </c>
      <c r="CL61" s="247"/>
      <c r="CM61" s="247"/>
      <c r="CN61" s="247"/>
      <c r="CO61" s="247"/>
      <c r="CP61" s="247">
        <v>0</v>
      </c>
      <c r="CQ61" s="247">
        <v>17.625820000000001</v>
      </c>
      <c r="CR61" s="243">
        <f t="shared" si="155"/>
        <v>21.150984000000001</v>
      </c>
      <c r="CS61" s="247">
        <v>20</v>
      </c>
      <c r="CT61" s="247"/>
      <c r="CU61" s="247"/>
      <c r="CV61" s="247"/>
      <c r="CW61" s="247"/>
      <c r="CX61" s="247">
        <v>0</v>
      </c>
      <c r="CY61" s="247">
        <v>323.38992999999999</v>
      </c>
      <c r="CZ61" s="243">
        <f t="shared" si="156"/>
        <v>388.06791600000003</v>
      </c>
      <c r="DA61" s="247">
        <v>400</v>
      </c>
      <c r="DB61" s="247"/>
      <c r="DC61" s="247"/>
      <c r="DD61" s="247"/>
      <c r="DE61" s="247"/>
      <c r="DF61" s="247">
        <v>0</v>
      </c>
      <c r="DG61" s="247">
        <v>69.921699999999987</v>
      </c>
      <c r="DH61" s="243">
        <f t="shared" si="157"/>
        <v>83.90603999999999</v>
      </c>
      <c r="DI61" s="247">
        <v>93</v>
      </c>
      <c r="DJ61" s="247"/>
      <c r="DK61" s="247"/>
      <c r="DL61" s="247"/>
      <c r="DM61" s="247"/>
      <c r="DN61" s="247"/>
      <c r="DO61" s="247"/>
      <c r="DP61" s="243">
        <f t="shared" si="158"/>
        <v>0</v>
      </c>
      <c r="DQ61" s="247">
        <v>0</v>
      </c>
      <c r="DR61" s="247"/>
      <c r="DS61" s="247"/>
      <c r="DT61" s="247"/>
      <c r="DU61" s="247"/>
      <c r="DV61" s="247">
        <v>0</v>
      </c>
      <c r="DW61" s="247">
        <v>49.380130000000008</v>
      </c>
      <c r="DX61" s="243">
        <f t="shared" si="159"/>
        <v>59.256156000000004</v>
      </c>
      <c r="DY61" s="247">
        <v>65</v>
      </c>
      <c r="DZ61" s="247"/>
      <c r="EA61" s="247"/>
      <c r="EB61" s="247"/>
      <c r="EC61" s="247"/>
      <c r="ED61" s="247">
        <v>0</v>
      </c>
      <c r="EE61" s="247">
        <v>119.70576</v>
      </c>
      <c r="EF61" s="243">
        <f t="shared" si="160"/>
        <v>143.64691199999999</v>
      </c>
      <c r="EG61" s="247">
        <v>150</v>
      </c>
      <c r="EH61" s="247"/>
      <c r="EI61" s="247"/>
      <c r="EJ61" s="247"/>
      <c r="EK61" s="247"/>
      <c r="EL61" s="247">
        <v>0</v>
      </c>
      <c r="EM61" s="247">
        <v>0.25686999999999999</v>
      </c>
      <c r="EN61" s="243">
        <f t="shared" si="161"/>
        <v>0.30824399999999996</v>
      </c>
      <c r="EO61" s="247">
        <v>0</v>
      </c>
      <c r="EP61" s="247"/>
      <c r="EQ61" s="247"/>
      <c r="ER61" s="247"/>
      <c r="ES61" s="247"/>
      <c r="ET61" s="247"/>
      <c r="EU61" s="247"/>
      <c r="EV61" s="243">
        <f t="shared" si="162"/>
        <v>0</v>
      </c>
      <c r="EW61" s="247">
        <v>0</v>
      </c>
      <c r="EX61" s="247"/>
      <c r="EY61" s="247"/>
      <c r="EZ61" s="247"/>
      <c r="FA61" s="247"/>
      <c r="FB61" s="247">
        <v>0</v>
      </c>
      <c r="FC61" s="247">
        <v>0.22019</v>
      </c>
      <c r="FD61" s="243">
        <f t="shared" si="163"/>
        <v>0.26422800000000002</v>
      </c>
      <c r="FE61" s="247">
        <v>0</v>
      </c>
      <c r="FF61" s="247"/>
      <c r="FG61" s="247"/>
      <c r="FH61" s="247"/>
      <c r="FI61" s="247"/>
      <c r="FJ61" s="247">
        <v>0</v>
      </c>
      <c r="FK61" s="247">
        <v>43.055970000000002</v>
      </c>
      <c r="FL61" s="243">
        <f t="shared" si="164"/>
        <v>51.667164000000007</v>
      </c>
      <c r="FM61" s="247">
        <v>40</v>
      </c>
      <c r="FN61" s="247"/>
      <c r="FO61" s="247"/>
      <c r="FP61" s="247"/>
      <c r="FQ61" s="247"/>
      <c r="FR61" s="247"/>
      <c r="FS61" s="247"/>
      <c r="FT61" s="243">
        <f t="shared" si="165"/>
        <v>0</v>
      </c>
      <c r="FU61" s="247">
        <v>0</v>
      </c>
      <c r="FV61" s="247"/>
      <c r="FW61" s="247"/>
      <c r="FX61" s="247"/>
      <c r="FY61" s="247"/>
      <c r="FZ61" s="247">
        <v>0</v>
      </c>
      <c r="GA61" s="247">
        <v>7.4749999999999997E-2</v>
      </c>
      <c r="GB61" s="243">
        <f t="shared" si="166"/>
        <v>8.9700000000000002E-2</v>
      </c>
      <c r="GC61" s="247">
        <v>0</v>
      </c>
      <c r="GD61" s="247"/>
      <c r="GE61" s="247"/>
      <c r="GF61" s="247"/>
      <c r="GG61" s="247"/>
      <c r="GH61" s="247">
        <v>0</v>
      </c>
      <c r="GI61" s="247">
        <v>0.2782</v>
      </c>
      <c r="GJ61" s="243">
        <f t="shared" si="167"/>
        <v>0.33384000000000003</v>
      </c>
      <c r="GK61" s="247">
        <v>0</v>
      </c>
      <c r="GL61" s="247"/>
      <c r="GM61" s="247"/>
      <c r="GN61" s="247"/>
      <c r="GO61" s="247"/>
      <c r="GP61" s="247">
        <v>0</v>
      </c>
      <c r="GQ61" s="247">
        <v>0.13956000000000002</v>
      </c>
      <c r="GR61" s="243">
        <f t="shared" si="168"/>
        <v>0.16747200000000001</v>
      </c>
      <c r="GS61" s="247">
        <v>0</v>
      </c>
      <c r="GT61" s="247"/>
      <c r="GU61" s="247"/>
      <c r="GV61" s="247"/>
      <c r="GW61" s="247"/>
      <c r="GX61" s="247">
        <v>0</v>
      </c>
      <c r="GY61" s="247">
        <v>9.7860000000000003E-2</v>
      </c>
      <c r="GZ61" s="243">
        <f t="shared" si="169"/>
        <v>0.11743199999999999</v>
      </c>
      <c r="HA61" s="247">
        <v>0</v>
      </c>
      <c r="HB61" s="247"/>
      <c r="HC61" s="247"/>
      <c r="HD61" s="247"/>
      <c r="HE61" s="247"/>
      <c r="HF61" s="247"/>
      <c r="HG61" s="247"/>
      <c r="HH61" s="243">
        <f t="shared" si="170"/>
        <v>0</v>
      </c>
      <c r="HI61" s="247">
        <v>0</v>
      </c>
      <c r="HJ61" s="247"/>
      <c r="HK61" s="247"/>
      <c r="HL61" s="247"/>
      <c r="HM61" s="247"/>
      <c r="HN61" s="247"/>
      <c r="HO61" s="247"/>
      <c r="HP61" s="243">
        <f t="shared" si="171"/>
        <v>0</v>
      </c>
      <c r="HQ61" s="247">
        <v>0</v>
      </c>
      <c r="HR61" s="247"/>
      <c r="HS61" s="247"/>
      <c r="HT61" s="247"/>
      <c r="HU61" s="247"/>
      <c r="HV61" s="247">
        <v>0</v>
      </c>
      <c r="HW61" s="247">
        <v>0.15540000000000001</v>
      </c>
      <c r="HX61" s="243">
        <f t="shared" si="172"/>
        <v>0.18648000000000003</v>
      </c>
      <c r="HY61" s="247">
        <v>0</v>
      </c>
      <c r="HZ61" s="247"/>
      <c r="IA61" s="247"/>
      <c r="IB61" s="247"/>
      <c r="IC61" s="247"/>
      <c r="ID61" s="247">
        <v>0</v>
      </c>
      <c r="IE61" s="247">
        <v>11.961949999999998</v>
      </c>
      <c r="IF61" s="243">
        <f t="shared" si="173"/>
        <v>14.354339999999999</v>
      </c>
      <c r="IG61" s="247">
        <v>15</v>
      </c>
      <c r="IH61" s="247"/>
      <c r="II61" s="247"/>
      <c r="IJ61" s="247"/>
      <c r="IK61" s="247"/>
      <c r="IL61" s="247">
        <v>0</v>
      </c>
      <c r="IM61" s="247">
        <v>6.5901199999999998</v>
      </c>
      <c r="IN61" s="243">
        <f t="shared" si="174"/>
        <v>7.9081439999999992</v>
      </c>
      <c r="IO61" s="247">
        <v>7</v>
      </c>
      <c r="IP61" s="247"/>
      <c r="IQ61" s="247"/>
      <c r="IR61" s="247"/>
      <c r="IS61" s="247"/>
      <c r="IT61" s="247"/>
      <c r="IU61" s="247"/>
      <c r="IV61" s="243">
        <f t="shared" si="175"/>
        <v>0</v>
      </c>
      <c r="IW61" s="247">
        <v>0</v>
      </c>
      <c r="IX61" s="247"/>
      <c r="IY61" s="247"/>
      <c r="IZ61" s="247"/>
      <c r="JA61" s="247"/>
      <c r="JB61" s="247">
        <v>0</v>
      </c>
      <c r="JC61" s="247">
        <v>8.8087999999999997</v>
      </c>
      <c r="JD61" s="243">
        <f t="shared" si="176"/>
        <v>10.57056</v>
      </c>
      <c r="JE61" s="247">
        <v>12</v>
      </c>
      <c r="JF61" s="247"/>
      <c r="JG61" s="247"/>
      <c r="JH61" s="247"/>
      <c r="JI61" s="247"/>
      <c r="JJ61" s="247"/>
      <c r="JK61" s="247"/>
      <c r="JL61" s="243">
        <f t="shared" si="177"/>
        <v>0</v>
      </c>
      <c r="JM61" s="247">
        <v>0</v>
      </c>
      <c r="JN61" s="247"/>
      <c r="JO61" s="247"/>
      <c r="JP61" s="247"/>
      <c r="JQ61" s="247"/>
      <c r="JR61" s="247"/>
      <c r="JS61" s="247"/>
      <c r="JT61" s="243">
        <f t="shared" si="178"/>
        <v>0</v>
      </c>
      <c r="JU61" s="247">
        <v>0</v>
      </c>
      <c r="JV61" s="247"/>
      <c r="JW61" s="247"/>
      <c r="JX61" s="247"/>
      <c r="JY61" s="247"/>
      <c r="JZ61" s="247"/>
      <c r="KA61" s="247"/>
      <c r="KB61" s="243">
        <f t="shared" si="179"/>
        <v>0</v>
      </c>
      <c r="KC61" s="247">
        <v>0</v>
      </c>
      <c r="KD61" s="247"/>
      <c r="KE61" s="247"/>
      <c r="KF61" s="247"/>
      <c r="KG61" s="247"/>
      <c r="KH61" s="247"/>
      <c r="KI61" s="247"/>
      <c r="KJ61" s="243">
        <f t="shared" si="180"/>
        <v>0</v>
      </c>
      <c r="KK61" s="247">
        <v>0</v>
      </c>
      <c r="KL61" s="247"/>
      <c r="KM61" s="247"/>
      <c r="KN61" s="247"/>
      <c r="KO61" s="247"/>
      <c r="KP61" s="247"/>
      <c r="KQ61" s="247"/>
      <c r="KR61" s="243">
        <f t="shared" si="181"/>
        <v>0</v>
      </c>
      <c r="KS61" s="247">
        <v>0</v>
      </c>
      <c r="KT61" s="247"/>
      <c r="KU61" s="247"/>
      <c r="KV61" s="247"/>
      <c r="KW61" s="247"/>
      <c r="KX61" s="247"/>
      <c r="KY61" s="247"/>
      <c r="KZ61" s="243">
        <f t="shared" si="182"/>
        <v>0</v>
      </c>
      <c r="LA61" s="247">
        <v>0</v>
      </c>
      <c r="LB61" s="247"/>
      <c r="LC61" s="247"/>
      <c r="LD61" s="247"/>
      <c r="LE61" s="247"/>
      <c r="LF61" s="247"/>
      <c r="LG61" s="247"/>
      <c r="LH61" s="243">
        <f t="shared" si="183"/>
        <v>0</v>
      </c>
      <c r="LI61" s="247">
        <v>0</v>
      </c>
      <c r="LJ61" s="247"/>
      <c r="LK61" s="247"/>
      <c r="LL61" s="247"/>
      <c r="LM61" s="247"/>
      <c r="LN61" s="247">
        <v>0</v>
      </c>
      <c r="LO61" s="247">
        <v>4.41716</v>
      </c>
      <c r="LP61" s="243">
        <f t="shared" si="184"/>
        <v>5.300592</v>
      </c>
      <c r="LQ61" s="247">
        <v>4</v>
      </c>
      <c r="LR61" s="247"/>
      <c r="LS61" s="247"/>
      <c r="LT61" s="244">
        <f t="shared" si="185"/>
        <v>0</v>
      </c>
      <c r="LU61" s="247">
        <v>0</v>
      </c>
      <c r="LV61" s="247"/>
      <c r="LW61" s="247"/>
      <c r="LX61" s="247"/>
      <c r="LY61" s="247"/>
      <c r="LZ61" s="247"/>
      <c r="MA61" s="247"/>
      <c r="MB61" s="243">
        <f t="shared" si="186"/>
        <v>0</v>
      </c>
      <c r="MC61" s="247"/>
      <c r="MD61" s="247"/>
      <c r="ME61" s="247"/>
      <c r="MF61" s="247"/>
      <c r="MG61" s="247"/>
      <c r="MH61" s="247">
        <v>0</v>
      </c>
      <c r="MI61" s="247">
        <v>154.37887000000001</v>
      </c>
      <c r="MJ61" s="243">
        <f t="shared" si="187"/>
        <v>185.25464399999998</v>
      </c>
      <c r="MK61" s="247">
        <v>190</v>
      </c>
      <c r="ML61" s="247"/>
      <c r="MM61" s="247"/>
      <c r="MN61" s="247"/>
      <c r="MO61" s="247"/>
      <c r="MP61" s="247"/>
      <c r="MQ61" s="247"/>
      <c r="MR61" s="243">
        <f t="shared" si="188"/>
        <v>0</v>
      </c>
      <c r="MS61" s="271"/>
      <c r="MT61" s="247"/>
      <c r="MU61" s="247"/>
      <c r="MV61" s="247"/>
      <c r="MW61" s="247"/>
      <c r="MX61" s="247">
        <v>0</v>
      </c>
      <c r="MY61" s="247">
        <v>694.93940999999995</v>
      </c>
      <c r="MZ61" s="243">
        <f t="shared" si="189"/>
        <v>833.92729199999985</v>
      </c>
      <c r="NA61" s="247">
        <v>878</v>
      </c>
      <c r="NB61" s="247"/>
      <c r="NC61" s="247"/>
      <c r="ND61" s="243">
        <f t="shared" si="190"/>
        <v>0</v>
      </c>
      <c r="NE61" s="247">
        <v>0</v>
      </c>
      <c r="NF61" s="247"/>
      <c r="NG61" s="247"/>
      <c r="NH61" s="247"/>
      <c r="NI61" s="247"/>
      <c r="NJ61" s="247"/>
      <c r="NK61" s="247"/>
      <c r="NL61" s="243">
        <f t="shared" si="191"/>
        <v>0</v>
      </c>
      <c r="NM61" s="247">
        <v>0</v>
      </c>
      <c r="NN61" s="247"/>
      <c r="NO61" s="247"/>
      <c r="NP61" s="247"/>
      <c r="NQ61" s="247"/>
      <c r="NR61" s="247"/>
      <c r="NS61" s="247"/>
      <c r="NT61" s="243">
        <f t="shared" si="192"/>
        <v>0</v>
      </c>
      <c r="NU61" s="247">
        <v>0</v>
      </c>
      <c r="NV61" s="247"/>
      <c r="NW61" s="247"/>
      <c r="NX61" s="247"/>
      <c r="NY61" s="247"/>
      <c r="NZ61" s="247"/>
      <c r="OA61" s="247"/>
      <c r="OB61" s="243">
        <f t="shared" si="193"/>
        <v>0</v>
      </c>
      <c r="OC61" s="247"/>
      <c r="OD61" s="247"/>
      <c r="OE61" s="247"/>
      <c r="OF61" s="247"/>
      <c r="OG61" s="247"/>
      <c r="OH61" s="247">
        <v>0</v>
      </c>
      <c r="OI61" s="247">
        <v>133.85950000000003</v>
      </c>
      <c r="OJ61" s="243">
        <f t="shared" si="194"/>
        <v>160.63140000000004</v>
      </c>
      <c r="OK61" s="247">
        <v>157</v>
      </c>
      <c r="OL61" s="247"/>
      <c r="OM61" s="247"/>
      <c r="ON61" s="247"/>
      <c r="OO61" s="247"/>
      <c r="OP61" s="247">
        <v>0</v>
      </c>
      <c r="OQ61" s="247">
        <v>38.974440000000001</v>
      </c>
      <c r="OR61" s="243">
        <f t="shared" si="195"/>
        <v>46.769328000000002</v>
      </c>
      <c r="OS61" s="247">
        <v>49</v>
      </c>
      <c r="OT61" s="247"/>
      <c r="OU61" s="247"/>
      <c r="OV61" s="247"/>
      <c r="OW61" s="247"/>
      <c r="OX61" s="247"/>
      <c r="OY61" s="247"/>
      <c r="OZ61" s="243">
        <f t="shared" si="196"/>
        <v>0</v>
      </c>
      <c r="PA61" s="247">
        <v>0</v>
      </c>
      <c r="PB61" s="247"/>
      <c r="PC61" s="247"/>
      <c r="PD61" s="243">
        <f t="shared" si="197"/>
        <v>0</v>
      </c>
      <c r="PE61" s="247">
        <v>0</v>
      </c>
      <c r="PF61" s="247"/>
      <c r="PG61" s="247"/>
      <c r="PH61" s="247"/>
      <c r="PI61" s="247"/>
      <c r="PJ61" s="247">
        <v>0</v>
      </c>
      <c r="PK61" s="247">
        <v>29.185199999999998</v>
      </c>
      <c r="PL61" s="243">
        <f t="shared" si="139"/>
        <v>35.022239999999996</v>
      </c>
      <c r="PM61" s="247">
        <v>0</v>
      </c>
      <c r="PN61" s="247"/>
      <c r="PO61" s="247"/>
      <c r="PP61" s="247"/>
      <c r="PQ61" s="247"/>
      <c r="PR61" s="247"/>
      <c r="PS61" s="247"/>
      <c r="PT61" s="243">
        <f t="shared" si="198"/>
        <v>0</v>
      </c>
      <c r="PU61" s="247"/>
      <c r="PV61" s="247"/>
      <c r="PW61" s="247"/>
      <c r="PX61" s="247"/>
      <c r="PY61" s="247"/>
      <c r="PZ61" s="247"/>
      <c r="QA61" s="247"/>
      <c r="QB61" s="243">
        <f t="shared" si="199"/>
        <v>0</v>
      </c>
      <c r="QC61" s="247"/>
      <c r="QD61" s="247"/>
      <c r="QE61" s="247"/>
      <c r="QF61" s="247"/>
      <c r="QG61" s="247"/>
      <c r="QH61" s="247"/>
      <c r="QI61" s="247"/>
      <c r="QJ61" s="243">
        <f t="shared" si="200"/>
        <v>0</v>
      </c>
      <c r="QK61" s="247">
        <v>0</v>
      </c>
      <c r="QL61" s="247"/>
      <c r="QM61" s="247"/>
      <c r="QN61" s="247"/>
      <c r="QO61" s="247"/>
      <c r="QP61" s="243">
        <f t="shared" si="201"/>
        <v>0</v>
      </c>
      <c r="QQ61" s="243">
        <f t="shared" si="140"/>
        <v>0</v>
      </c>
      <c r="QR61" s="247"/>
      <c r="QS61" s="247"/>
      <c r="QT61" s="247"/>
      <c r="QU61" s="247"/>
      <c r="QV61" s="243">
        <f t="shared" si="202"/>
        <v>0</v>
      </c>
      <c r="QW61" s="247"/>
      <c r="QX61" s="247"/>
      <c r="QY61" s="247"/>
      <c r="QZ61" s="247"/>
      <c r="RA61" s="247"/>
      <c r="RB61" s="247"/>
      <c r="RC61" s="247"/>
      <c r="RD61" s="243">
        <f t="shared" si="203"/>
        <v>0</v>
      </c>
      <c r="RE61" s="300"/>
      <c r="RF61" s="259">
        <f t="shared" si="101"/>
        <v>0</v>
      </c>
      <c r="RG61" s="259">
        <f t="shared" si="141"/>
        <v>4086.4769100000003</v>
      </c>
      <c r="RH61" s="259">
        <f t="shared" si="142"/>
        <v>4903.7722920000015</v>
      </c>
      <c r="RI61" s="256">
        <f t="shared" si="143"/>
        <v>4930</v>
      </c>
    </row>
    <row r="62" spans="1:477">
      <c r="A62" s="5" t="s">
        <v>98</v>
      </c>
      <c r="B62" s="263">
        <v>9.9998700312055308E-6</v>
      </c>
      <c r="C62" s="246">
        <v>0</v>
      </c>
      <c r="D62" s="246">
        <v>0</v>
      </c>
      <c r="E62" s="246">
        <v>0</v>
      </c>
      <c r="F62" s="246"/>
      <c r="G62" s="243"/>
      <c r="H62" s="243">
        <f t="shared" si="144"/>
        <v>0</v>
      </c>
      <c r="I62" s="246">
        <v>0</v>
      </c>
      <c r="J62" s="246">
        <v>867.00100750907404</v>
      </c>
      <c r="K62" s="246">
        <v>812.87910000000011</v>
      </c>
      <c r="L62" s="246">
        <v>1179.55052572554</v>
      </c>
      <c r="M62" s="246">
        <v>1077.6692100000009</v>
      </c>
      <c r="N62" s="246">
        <v>1228.2560000000001</v>
      </c>
      <c r="O62" s="246">
        <v>1180.2416500000002</v>
      </c>
      <c r="P62" s="243">
        <f t="shared" si="145"/>
        <v>1416.28998</v>
      </c>
      <c r="Q62" s="246">
        <v>1400</v>
      </c>
      <c r="R62" s="246"/>
      <c r="S62" s="246"/>
      <c r="T62" s="246"/>
      <c r="U62" s="246"/>
      <c r="V62" s="246"/>
      <c r="W62" s="247"/>
      <c r="X62" s="243">
        <f t="shared" si="146"/>
        <v>0</v>
      </c>
      <c r="Y62" s="246"/>
      <c r="Z62" s="246">
        <v>9855.4140190557246</v>
      </c>
      <c r="AA62" s="246">
        <v>11145.18846000001</v>
      </c>
      <c r="AB62" s="246">
        <v>11098.980824396298</v>
      </c>
      <c r="AC62" s="246">
        <v>11378.065590000004</v>
      </c>
      <c r="AD62" s="246">
        <v>11470.10768358349</v>
      </c>
      <c r="AE62" s="246">
        <v>9627.1515999999992</v>
      </c>
      <c r="AF62" s="243">
        <f t="shared" si="147"/>
        <v>11552.581920000001</v>
      </c>
      <c r="AG62" s="246">
        <v>11550</v>
      </c>
      <c r="AH62" s="246">
        <v>30.39964289437</v>
      </c>
      <c r="AI62" s="246">
        <v>29.90934</v>
      </c>
      <c r="AJ62" s="246">
        <v>29.99994211536</v>
      </c>
      <c r="AK62" s="246">
        <v>28.695160000000001</v>
      </c>
      <c r="AL62" s="246">
        <v>29.999253481936002</v>
      </c>
      <c r="AM62" s="246">
        <v>0</v>
      </c>
      <c r="AN62" s="243">
        <f t="shared" si="148"/>
        <v>0</v>
      </c>
      <c r="AO62" s="246">
        <v>30</v>
      </c>
      <c r="AP62" s="246"/>
      <c r="AQ62" s="246"/>
      <c r="AR62" s="246"/>
      <c r="AS62" s="246"/>
      <c r="AT62" s="246"/>
      <c r="AU62" s="246"/>
      <c r="AV62" s="243">
        <f t="shared" si="149"/>
        <v>0</v>
      </c>
      <c r="AW62" s="246"/>
      <c r="AX62" s="246"/>
      <c r="AY62" s="246"/>
      <c r="AZ62" s="246"/>
      <c r="BA62" s="246"/>
      <c r="BB62" s="246"/>
      <c r="BC62" s="246"/>
      <c r="BD62" s="243">
        <f t="shared" si="150"/>
        <v>0</v>
      </c>
      <c r="BE62" s="246"/>
      <c r="BF62" s="246">
        <v>270.73494920046198</v>
      </c>
      <c r="BG62" s="246">
        <v>215.53927999999999</v>
      </c>
      <c r="BH62" s="246">
        <v>823.99967693618908</v>
      </c>
      <c r="BI62" s="246">
        <v>622.73874999999998</v>
      </c>
      <c r="BJ62" s="246">
        <v>584.98544289776805</v>
      </c>
      <c r="BK62" s="246">
        <v>486.01114999999993</v>
      </c>
      <c r="BL62" s="243">
        <f t="shared" si="151"/>
        <v>583.21337999999992</v>
      </c>
      <c r="BM62" s="246">
        <v>600</v>
      </c>
      <c r="BN62" s="246"/>
      <c r="BO62" s="246"/>
      <c r="BP62" s="246"/>
      <c r="BQ62" s="246"/>
      <c r="BR62" s="246"/>
      <c r="BS62" s="246"/>
      <c r="BT62" s="243">
        <f t="shared" si="152"/>
        <v>0</v>
      </c>
      <c r="BU62" s="246"/>
      <c r="BV62" s="246"/>
      <c r="BW62" s="246"/>
      <c r="BX62" s="246"/>
      <c r="BY62" s="246"/>
      <c r="BZ62" s="246">
        <v>72.599999999999994</v>
      </c>
      <c r="CA62" s="246">
        <v>122.59477999999999</v>
      </c>
      <c r="CB62" s="243">
        <f t="shared" si="153"/>
        <v>147.11373599999996</v>
      </c>
      <c r="CC62" s="246">
        <v>0</v>
      </c>
      <c r="CD62" s="246">
        <v>90.140104748404994</v>
      </c>
      <c r="CE62" s="246">
        <v>29.645</v>
      </c>
      <c r="CF62" s="246">
        <v>29.99994211536</v>
      </c>
      <c r="CG62" s="246">
        <v>36.179000000000002</v>
      </c>
      <c r="CH62" s="246">
        <v>39.999004642582001</v>
      </c>
      <c r="CI62" s="246">
        <v>24.200600000000001</v>
      </c>
      <c r="CJ62" s="243">
        <f t="shared" si="154"/>
        <v>29.040720000000004</v>
      </c>
      <c r="CK62" s="246">
        <v>35</v>
      </c>
      <c r="CL62" s="246">
        <v>1963.5543340413381</v>
      </c>
      <c r="CM62" s="246">
        <v>1773.1084200000012</v>
      </c>
      <c r="CN62" s="246">
        <v>1616.996867353696</v>
      </c>
      <c r="CO62" s="246">
        <v>982.9534000000001</v>
      </c>
      <c r="CP62" s="246">
        <v>1132.97180650115</v>
      </c>
      <c r="CQ62" s="246">
        <v>583.178</v>
      </c>
      <c r="CR62" s="243">
        <f t="shared" si="155"/>
        <v>699.81359999999995</v>
      </c>
      <c r="CS62" s="246">
        <v>1000</v>
      </c>
      <c r="CT62" s="246"/>
      <c r="CU62" s="246"/>
      <c r="CV62" s="246">
        <v>0</v>
      </c>
      <c r="CW62" s="246">
        <v>406.35187999999999</v>
      </c>
      <c r="CX62" s="246">
        <v>243.92053332999899</v>
      </c>
      <c r="CY62" s="246">
        <v>0</v>
      </c>
      <c r="CZ62" s="243">
        <f t="shared" si="156"/>
        <v>0</v>
      </c>
      <c r="DA62" s="246">
        <v>0</v>
      </c>
      <c r="DB62" s="246"/>
      <c r="DC62" s="246"/>
      <c r="DD62" s="246"/>
      <c r="DE62" s="246"/>
      <c r="DF62" s="246"/>
      <c r="DG62" s="246"/>
      <c r="DH62" s="243">
        <f t="shared" si="157"/>
        <v>0</v>
      </c>
      <c r="DI62" s="246"/>
      <c r="DJ62" s="246"/>
      <c r="DK62" s="246"/>
      <c r="DL62" s="246"/>
      <c r="DM62" s="246"/>
      <c r="DN62" s="246"/>
      <c r="DO62" s="246"/>
      <c r="DP62" s="243">
        <f t="shared" si="158"/>
        <v>0</v>
      </c>
      <c r="DQ62" s="246"/>
      <c r="DR62" s="246">
        <v>37.310389694931999</v>
      </c>
      <c r="DS62" s="246">
        <v>0</v>
      </c>
      <c r="DT62" s="246">
        <v>0</v>
      </c>
      <c r="DU62" s="246">
        <v>63.440300000000001</v>
      </c>
      <c r="DV62" s="246">
        <v>49.998755803228001</v>
      </c>
      <c r="DW62" s="246">
        <v>0</v>
      </c>
      <c r="DX62" s="243">
        <f t="shared" si="159"/>
        <v>0</v>
      </c>
      <c r="DY62" s="246">
        <v>0</v>
      </c>
      <c r="DZ62" s="246"/>
      <c r="EA62" s="246"/>
      <c r="EB62" s="246"/>
      <c r="EC62" s="246"/>
      <c r="ED62" s="246"/>
      <c r="EE62" s="246"/>
      <c r="EF62" s="243">
        <f t="shared" si="160"/>
        <v>0</v>
      </c>
      <c r="EG62" s="246"/>
      <c r="EH62" s="246"/>
      <c r="EI62" s="246"/>
      <c r="EJ62" s="246"/>
      <c r="EK62" s="246"/>
      <c r="EL62" s="246"/>
      <c r="EM62" s="246"/>
      <c r="EN62" s="243">
        <f t="shared" si="161"/>
        <v>0</v>
      </c>
      <c r="EO62" s="246"/>
      <c r="EP62" s="246"/>
      <c r="EQ62" s="246"/>
      <c r="ER62" s="246"/>
      <c r="ES62" s="246"/>
      <c r="ET62" s="246"/>
      <c r="EU62" s="246"/>
      <c r="EV62" s="243">
        <f t="shared" si="162"/>
        <v>0</v>
      </c>
      <c r="EW62" s="246"/>
      <c r="EX62" s="246"/>
      <c r="EY62" s="246"/>
      <c r="EZ62" s="246"/>
      <c r="FA62" s="246"/>
      <c r="FB62" s="246"/>
      <c r="FC62" s="246"/>
      <c r="FD62" s="243">
        <f t="shared" si="163"/>
        <v>0</v>
      </c>
      <c r="FE62" s="246"/>
      <c r="FF62" s="246"/>
      <c r="FG62" s="246"/>
      <c r="FH62" s="246"/>
      <c r="FI62" s="246"/>
      <c r="FJ62" s="246"/>
      <c r="FK62" s="246"/>
      <c r="FL62" s="243">
        <f t="shared" si="164"/>
        <v>0</v>
      </c>
      <c r="FM62" s="246"/>
      <c r="FN62" s="246"/>
      <c r="FO62" s="246"/>
      <c r="FP62" s="246"/>
      <c r="FQ62" s="246"/>
      <c r="FR62" s="246"/>
      <c r="FS62" s="246"/>
      <c r="FT62" s="243">
        <f t="shared" si="165"/>
        <v>0</v>
      </c>
      <c r="FU62" s="246"/>
      <c r="FV62" s="246"/>
      <c r="FW62" s="246"/>
      <c r="FX62" s="246"/>
      <c r="FY62" s="246"/>
      <c r="FZ62" s="246"/>
      <c r="GA62" s="246"/>
      <c r="GB62" s="243">
        <f t="shared" si="166"/>
        <v>0</v>
      </c>
      <c r="GC62" s="246"/>
      <c r="GD62" s="246"/>
      <c r="GE62" s="246"/>
      <c r="GF62" s="246"/>
      <c r="GG62" s="246"/>
      <c r="GH62" s="246"/>
      <c r="GI62" s="246"/>
      <c r="GJ62" s="243">
        <f t="shared" si="167"/>
        <v>0</v>
      </c>
      <c r="GK62" s="246"/>
      <c r="GL62" s="246"/>
      <c r="GM62" s="246"/>
      <c r="GN62" s="246"/>
      <c r="GO62" s="246"/>
      <c r="GP62" s="246"/>
      <c r="GQ62" s="246"/>
      <c r="GR62" s="243">
        <f t="shared" si="168"/>
        <v>0</v>
      </c>
      <c r="GS62" s="246"/>
      <c r="GT62" s="246"/>
      <c r="GU62" s="246"/>
      <c r="GV62" s="246"/>
      <c r="GW62" s="246"/>
      <c r="GX62" s="246"/>
      <c r="GY62" s="246"/>
      <c r="GZ62" s="243">
        <f t="shared" si="169"/>
        <v>0</v>
      </c>
      <c r="HA62" s="246"/>
      <c r="HB62" s="246"/>
      <c r="HC62" s="246"/>
      <c r="HD62" s="246"/>
      <c r="HE62" s="246"/>
      <c r="HF62" s="246"/>
      <c r="HG62" s="246"/>
      <c r="HH62" s="243">
        <f t="shared" si="170"/>
        <v>0</v>
      </c>
      <c r="HI62" s="246"/>
      <c r="HJ62" s="246">
        <v>52.099146865192999</v>
      </c>
      <c r="HK62" s="246">
        <v>42.252890000000001</v>
      </c>
      <c r="HL62" s="246">
        <v>41.999918961504001</v>
      </c>
      <c r="HM62" s="246">
        <v>41.462500000000006</v>
      </c>
      <c r="HN62" s="246">
        <v>41.998954874711004</v>
      </c>
      <c r="HO62" s="246">
        <v>30.767779999999998</v>
      </c>
      <c r="HP62" s="243">
        <f t="shared" si="171"/>
        <v>36.921335999999997</v>
      </c>
      <c r="HQ62" s="246">
        <v>45</v>
      </c>
      <c r="HR62" s="246"/>
      <c r="HS62" s="246"/>
      <c r="HT62" s="246"/>
      <c r="HU62" s="246"/>
      <c r="HV62" s="246"/>
      <c r="HW62" s="246"/>
      <c r="HX62" s="243">
        <f t="shared" si="172"/>
        <v>0</v>
      </c>
      <c r="HY62" s="246"/>
      <c r="HZ62" s="246">
        <v>226.08540053925799</v>
      </c>
      <c r="IA62" s="246">
        <v>219.67143000000002</v>
      </c>
      <c r="IB62" s="246">
        <v>162.999600909208</v>
      </c>
      <c r="IC62" s="246">
        <v>180.15065999999999</v>
      </c>
      <c r="ID62" s="246">
        <v>209.99477437355799</v>
      </c>
      <c r="IE62" s="246">
        <v>244.96357</v>
      </c>
      <c r="IF62" s="243">
        <f t="shared" si="173"/>
        <v>293.95628399999998</v>
      </c>
      <c r="IG62" s="246">
        <v>290</v>
      </c>
      <c r="IH62" s="246"/>
      <c r="II62" s="246"/>
      <c r="IJ62" s="246"/>
      <c r="IK62" s="246"/>
      <c r="IL62" s="246"/>
      <c r="IM62" s="246"/>
      <c r="IN62" s="243">
        <f t="shared" si="174"/>
        <v>0</v>
      </c>
      <c r="IO62" s="246"/>
      <c r="IP62" s="246"/>
      <c r="IQ62" s="246"/>
      <c r="IR62" s="246"/>
      <c r="IS62" s="246"/>
      <c r="IT62" s="246"/>
      <c r="IU62" s="246"/>
      <c r="IV62" s="243">
        <f t="shared" si="175"/>
        <v>0</v>
      </c>
      <c r="IW62" s="246"/>
      <c r="IX62" s="246"/>
      <c r="IY62" s="246"/>
      <c r="IZ62" s="246">
        <v>0</v>
      </c>
      <c r="JA62" s="246">
        <v>18.149999999999999</v>
      </c>
      <c r="JB62" s="246">
        <v>0</v>
      </c>
      <c r="JC62" s="246"/>
      <c r="JD62" s="243">
        <f t="shared" si="176"/>
        <v>0</v>
      </c>
      <c r="JE62" s="246">
        <v>0</v>
      </c>
      <c r="JF62" s="246"/>
      <c r="JG62" s="246"/>
      <c r="JH62" s="246"/>
      <c r="JI62" s="246"/>
      <c r="JJ62" s="246"/>
      <c r="JK62" s="246"/>
      <c r="JL62" s="243">
        <f t="shared" si="177"/>
        <v>0</v>
      </c>
      <c r="JM62" s="246"/>
      <c r="JN62" s="246"/>
      <c r="JO62" s="246"/>
      <c r="JP62" s="246"/>
      <c r="JQ62" s="246"/>
      <c r="JR62" s="246"/>
      <c r="JS62" s="246"/>
      <c r="JT62" s="243">
        <f t="shared" si="178"/>
        <v>0</v>
      </c>
      <c r="JU62" s="246"/>
      <c r="JV62" s="246"/>
      <c r="JW62" s="246"/>
      <c r="JX62" s="246"/>
      <c r="JY62" s="246"/>
      <c r="JZ62" s="246"/>
      <c r="KA62" s="246"/>
      <c r="KB62" s="243">
        <f t="shared" si="179"/>
        <v>0</v>
      </c>
      <c r="KC62" s="246"/>
      <c r="KD62" s="246"/>
      <c r="KE62" s="246"/>
      <c r="KF62" s="246"/>
      <c r="KG62" s="246"/>
      <c r="KH62" s="246"/>
      <c r="KI62" s="246"/>
      <c r="KJ62" s="243">
        <f t="shared" si="180"/>
        <v>0</v>
      </c>
      <c r="KK62" s="246"/>
      <c r="KL62" s="246"/>
      <c r="KM62" s="246"/>
      <c r="KN62" s="246"/>
      <c r="KO62" s="246"/>
      <c r="KP62" s="246"/>
      <c r="KQ62" s="246"/>
      <c r="KR62" s="243">
        <f t="shared" si="181"/>
        <v>0</v>
      </c>
      <c r="KS62" s="246"/>
      <c r="KT62" s="246"/>
      <c r="KU62" s="246"/>
      <c r="KV62" s="246"/>
      <c r="KW62" s="246"/>
      <c r="KX62" s="246"/>
      <c r="KY62" s="246"/>
      <c r="KZ62" s="243">
        <f t="shared" si="182"/>
        <v>0</v>
      </c>
      <c r="LA62" s="246"/>
      <c r="LB62" s="246"/>
      <c r="LC62" s="246"/>
      <c r="LD62" s="246"/>
      <c r="LE62" s="246"/>
      <c r="LF62" s="246"/>
      <c r="LG62" s="246"/>
      <c r="LH62" s="243">
        <f t="shared" si="183"/>
        <v>0</v>
      </c>
      <c r="LI62" s="246"/>
      <c r="LJ62" s="246"/>
      <c r="LK62" s="246"/>
      <c r="LL62" s="246"/>
      <c r="LM62" s="246"/>
      <c r="LN62" s="246"/>
      <c r="LO62" s="246"/>
      <c r="LP62" s="243">
        <f t="shared" si="184"/>
        <v>0</v>
      </c>
      <c r="LQ62" s="246"/>
      <c r="LR62" s="246"/>
      <c r="LS62" s="246"/>
      <c r="LT62" s="244">
        <f t="shared" si="185"/>
        <v>0</v>
      </c>
      <c r="LU62" s="246">
        <v>0</v>
      </c>
      <c r="LV62" s="246"/>
      <c r="LW62" s="246"/>
      <c r="LX62" s="246"/>
      <c r="LY62" s="246"/>
      <c r="LZ62" s="246"/>
      <c r="MA62" s="246"/>
      <c r="MB62" s="243">
        <f t="shared" si="186"/>
        <v>0</v>
      </c>
      <c r="MC62" s="246"/>
      <c r="MD62" s="246">
        <v>322.25052251254499</v>
      </c>
      <c r="ME62" s="246">
        <v>701.09712000000002</v>
      </c>
      <c r="MF62" s="246">
        <v>615.01981819411401</v>
      </c>
      <c r="MG62" s="246">
        <v>520.93394000000001</v>
      </c>
      <c r="MH62" s="246">
        <v>667.98337753112503</v>
      </c>
      <c r="MI62" s="246">
        <v>527.79912000000002</v>
      </c>
      <c r="MJ62" s="243">
        <f t="shared" si="187"/>
        <v>633.35894400000006</v>
      </c>
      <c r="MK62" s="246">
        <v>670</v>
      </c>
      <c r="ML62" s="246"/>
      <c r="MM62" s="246"/>
      <c r="MN62" s="246"/>
      <c r="MO62" s="246"/>
      <c r="MP62" s="246"/>
      <c r="MQ62" s="246"/>
      <c r="MR62" s="243">
        <f t="shared" si="188"/>
        <v>0</v>
      </c>
      <c r="MS62" s="271"/>
      <c r="MT62" s="246">
        <v>633.21959133815506</v>
      </c>
      <c r="MU62" s="246">
        <v>192.12885</v>
      </c>
      <c r="MV62" s="246">
        <v>223.99986924614399</v>
      </c>
      <c r="MW62" s="246">
        <v>51.674290000000013</v>
      </c>
      <c r="MX62" s="246">
        <v>61.998457196002001</v>
      </c>
      <c r="MY62" s="246">
        <v>201.37438000000003</v>
      </c>
      <c r="MZ62" s="243">
        <f t="shared" si="189"/>
        <v>241.64925600000004</v>
      </c>
      <c r="NA62" s="246">
        <v>62</v>
      </c>
      <c r="NB62" s="246"/>
      <c r="NC62" s="246"/>
      <c r="ND62" s="243">
        <f t="shared" si="190"/>
        <v>0</v>
      </c>
      <c r="NE62" s="246">
        <v>0</v>
      </c>
      <c r="NF62" s="246"/>
      <c r="NG62" s="246"/>
      <c r="NH62" s="246"/>
      <c r="NI62" s="246"/>
      <c r="NJ62" s="246"/>
      <c r="NK62" s="246"/>
      <c r="NL62" s="243">
        <f t="shared" si="191"/>
        <v>0</v>
      </c>
      <c r="NM62" s="246"/>
      <c r="NN62" s="246"/>
      <c r="NO62" s="246"/>
      <c r="NP62" s="246"/>
      <c r="NQ62" s="246"/>
      <c r="NR62" s="246"/>
      <c r="NS62" s="246"/>
      <c r="NT62" s="243">
        <f t="shared" si="192"/>
        <v>0</v>
      </c>
      <c r="NU62" s="246"/>
      <c r="NV62" s="246"/>
      <c r="NW62" s="246"/>
      <c r="NX62" s="246"/>
      <c r="NY62" s="246"/>
      <c r="NZ62" s="246"/>
      <c r="OA62" s="246"/>
      <c r="OB62" s="243">
        <f t="shared" si="193"/>
        <v>0</v>
      </c>
      <c r="OC62" s="246"/>
      <c r="OD62" s="246"/>
      <c r="OE62" s="246"/>
      <c r="OF62" s="246"/>
      <c r="OG62" s="246"/>
      <c r="OH62" s="246"/>
      <c r="OI62" s="246"/>
      <c r="OJ62" s="243">
        <f t="shared" si="194"/>
        <v>0</v>
      </c>
      <c r="OK62" s="246"/>
      <c r="OL62" s="246"/>
      <c r="OM62" s="246"/>
      <c r="ON62" s="246"/>
      <c r="OO62" s="246"/>
      <c r="OP62" s="246"/>
      <c r="OQ62" s="246"/>
      <c r="OR62" s="243">
        <f t="shared" si="195"/>
        <v>0</v>
      </c>
      <c r="OS62" s="246"/>
      <c r="OT62" s="246"/>
      <c r="OU62" s="246"/>
      <c r="OV62" s="246"/>
      <c r="OW62" s="246"/>
      <c r="OX62" s="246"/>
      <c r="OY62" s="246"/>
      <c r="OZ62" s="243">
        <f t="shared" si="196"/>
        <v>0</v>
      </c>
      <c r="PA62" s="247"/>
      <c r="PB62" s="246"/>
      <c r="PC62" s="246"/>
      <c r="PD62" s="243">
        <f t="shared" si="197"/>
        <v>0</v>
      </c>
      <c r="PE62" s="247"/>
      <c r="PF62" s="246">
        <v>0</v>
      </c>
      <c r="PG62" s="246">
        <v>140.30590000000001</v>
      </c>
      <c r="PH62" s="246">
        <v>0</v>
      </c>
      <c r="PI62" s="246">
        <v>157.65820000000002</v>
      </c>
      <c r="PJ62" s="246">
        <v>0</v>
      </c>
      <c r="PK62" s="246">
        <v>35.055</v>
      </c>
      <c r="PL62" s="243">
        <f t="shared" si="139"/>
        <v>42.066000000000003</v>
      </c>
      <c r="PM62" s="247"/>
      <c r="PN62" s="246">
        <v>-894.25055789365103</v>
      </c>
      <c r="PO62" s="246">
        <v>0</v>
      </c>
      <c r="PP62" s="246">
        <v>-723.128491401053</v>
      </c>
      <c r="PQ62" s="246">
        <v>0</v>
      </c>
      <c r="PR62" s="246">
        <v>260</v>
      </c>
      <c r="PS62" s="246">
        <v>0</v>
      </c>
      <c r="PT62" s="243">
        <f t="shared" si="198"/>
        <v>0</v>
      </c>
      <c r="PU62" s="246"/>
      <c r="PV62" s="246"/>
      <c r="PW62" s="246"/>
      <c r="PX62" s="246"/>
      <c r="PY62" s="246"/>
      <c r="PZ62" s="246"/>
      <c r="QA62" s="246"/>
      <c r="QB62" s="243">
        <f t="shared" si="199"/>
        <v>0</v>
      </c>
      <c r="QC62" s="246"/>
      <c r="QD62" s="246"/>
      <c r="QE62" s="246"/>
      <c r="QF62" s="246"/>
      <c r="QG62" s="246"/>
      <c r="QH62" s="246"/>
      <c r="QI62" s="246"/>
      <c r="QJ62" s="243">
        <f t="shared" si="200"/>
        <v>0</v>
      </c>
      <c r="QK62" s="246">
        <v>0</v>
      </c>
      <c r="QL62" s="246"/>
      <c r="QM62" s="246"/>
      <c r="QN62" s="246"/>
      <c r="QO62" s="246"/>
      <c r="QP62" s="243">
        <f t="shared" si="201"/>
        <v>0</v>
      </c>
      <c r="QQ62" s="243">
        <f t="shared" si="140"/>
        <v>0</v>
      </c>
      <c r="QR62" s="246"/>
      <c r="QS62" s="246"/>
      <c r="QT62" s="246"/>
      <c r="QU62" s="246"/>
      <c r="QV62" s="243">
        <f t="shared" si="202"/>
        <v>0</v>
      </c>
      <c r="QW62" s="246"/>
      <c r="QX62" s="246"/>
      <c r="QY62" s="246"/>
      <c r="QZ62" s="246"/>
      <c r="RA62" s="246"/>
      <c r="RB62" s="246"/>
      <c r="RC62" s="246"/>
      <c r="RD62" s="243">
        <f t="shared" si="203"/>
        <v>0</v>
      </c>
      <c r="RE62" s="300"/>
      <c r="RF62" s="259">
        <f t="shared" si="101"/>
        <v>16094.814044215549</v>
      </c>
      <c r="RG62" s="259">
        <f t="shared" si="141"/>
        <v>13063.337629999998</v>
      </c>
      <c r="RH62" s="259">
        <f t="shared" si="142"/>
        <v>15676.005156000001</v>
      </c>
      <c r="RI62" s="256">
        <f t="shared" si="143"/>
        <v>15682</v>
      </c>
    </row>
    <row r="63" spans="1:477">
      <c r="A63" s="5" t="s">
        <v>99</v>
      </c>
      <c r="B63" s="263"/>
      <c r="C63" s="246"/>
      <c r="D63" s="246"/>
      <c r="E63" s="246"/>
      <c r="F63" s="278">
        <v>1800</v>
      </c>
      <c r="G63" s="243">
        <v>1695.17265</v>
      </c>
      <c r="H63" s="243">
        <f t="shared" si="144"/>
        <v>2034.2071800000001</v>
      </c>
      <c r="I63" s="278">
        <v>860</v>
      </c>
      <c r="J63" s="246"/>
      <c r="K63" s="246"/>
      <c r="L63" s="246"/>
      <c r="M63" s="246"/>
      <c r="N63" s="246"/>
      <c r="O63" s="246"/>
      <c r="P63" s="243">
        <f t="shared" si="145"/>
        <v>0</v>
      </c>
      <c r="Q63" s="246"/>
      <c r="R63" s="246"/>
      <c r="S63" s="246"/>
      <c r="T63" s="246"/>
      <c r="U63" s="246"/>
      <c r="V63" s="246"/>
      <c r="W63" s="247"/>
      <c r="X63" s="243">
        <f t="shared" si="146"/>
        <v>0</v>
      </c>
      <c r="Y63" s="246"/>
      <c r="Z63" s="246"/>
      <c r="AA63" s="246"/>
      <c r="AB63" s="246"/>
      <c r="AC63" s="246"/>
      <c r="AD63" s="246"/>
      <c r="AE63" s="246"/>
      <c r="AF63" s="243">
        <f t="shared" si="147"/>
        <v>0</v>
      </c>
      <c r="AG63" s="246"/>
      <c r="AH63" s="246"/>
      <c r="AI63" s="246"/>
      <c r="AJ63" s="246"/>
      <c r="AK63" s="246"/>
      <c r="AL63" s="246"/>
      <c r="AM63" s="246"/>
      <c r="AN63" s="243">
        <f t="shared" si="148"/>
        <v>0</v>
      </c>
      <c r="AO63" s="246"/>
      <c r="AP63" s="246"/>
      <c r="AQ63" s="246"/>
      <c r="AR63" s="246"/>
      <c r="AS63" s="246"/>
      <c r="AT63" s="246"/>
      <c r="AU63" s="246"/>
      <c r="AV63" s="243">
        <f t="shared" si="149"/>
        <v>0</v>
      </c>
      <c r="AW63" s="246"/>
      <c r="AX63" s="246"/>
      <c r="AY63" s="246"/>
      <c r="AZ63" s="246"/>
      <c r="BA63" s="246"/>
      <c r="BB63" s="246"/>
      <c r="BC63" s="246"/>
      <c r="BD63" s="243">
        <f t="shared" si="150"/>
        <v>0</v>
      </c>
      <c r="BE63" s="246"/>
      <c r="BF63" s="246"/>
      <c r="BG63" s="246"/>
      <c r="BH63" s="246"/>
      <c r="BI63" s="246"/>
      <c r="BJ63" s="246"/>
      <c r="BK63" s="246"/>
      <c r="BL63" s="243">
        <f t="shared" si="151"/>
        <v>0</v>
      </c>
      <c r="BM63" s="246"/>
      <c r="BN63" s="246"/>
      <c r="BO63" s="246"/>
      <c r="BP63" s="246"/>
      <c r="BQ63" s="246"/>
      <c r="BR63" s="246"/>
      <c r="BS63" s="246"/>
      <c r="BT63" s="243">
        <f t="shared" si="152"/>
        <v>0</v>
      </c>
      <c r="BU63" s="246"/>
      <c r="BV63" s="246"/>
      <c r="BW63" s="246"/>
      <c r="BX63" s="246"/>
      <c r="BY63" s="246"/>
      <c r="BZ63" s="246"/>
      <c r="CA63" s="246"/>
      <c r="CB63" s="243">
        <f t="shared" si="153"/>
        <v>0</v>
      </c>
      <c r="CC63" s="246"/>
      <c r="CD63" s="246"/>
      <c r="CE63" s="246"/>
      <c r="CF63" s="246"/>
      <c r="CG63" s="246"/>
      <c r="CH63" s="246"/>
      <c r="CI63" s="246"/>
      <c r="CJ63" s="243">
        <f t="shared" si="154"/>
        <v>0</v>
      </c>
      <c r="CK63" s="246"/>
      <c r="CL63" s="246"/>
      <c r="CM63" s="246"/>
      <c r="CN63" s="246"/>
      <c r="CO63" s="246"/>
      <c r="CP63" s="246"/>
      <c r="CQ63" s="246"/>
      <c r="CR63" s="243">
        <f t="shared" si="155"/>
        <v>0</v>
      </c>
      <c r="CS63" s="246"/>
      <c r="CT63" s="246"/>
      <c r="CU63" s="246"/>
      <c r="CV63" s="246"/>
      <c r="CW63" s="246"/>
      <c r="CX63" s="246"/>
      <c r="CY63" s="246"/>
      <c r="CZ63" s="243">
        <f t="shared" si="156"/>
        <v>0</v>
      </c>
      <c r="DA63" s="246"/>
      <c r="DB63" s="246"/>
      <c r="DC63" s="246"/>
      <c r="DD63" s="246"/>
      <c r="DE63" s="246"/>
      <c r="DF63" s="246"/>
      <c r="DG63" s="246"/>
      <c r="DH63" s="243">
        <f t="shared" si="157"/>
        <v>0</v>
      </c>
      <c r="DI63" s="246"/>
      <c r="DJ63" s="246"/>
      <c r="DK63" s="246"/>
      <c r="DL63" s="246"/>
      <c r="DM63" s="246"/>
      <c r="DN63" s="246"/>
      <c r="DO63" s="246"/>
      <c r="DP63" s="243">
        <f t="shared" si="158"/>
        <v>0</v>
      </c>
      <c r="DQ63" s="246"/>
      <c r="DR63" s="246"/>
      <c r="DS63" s="246"/>
      <c r="DT63" s="246"/>
      <c r="DU63" s="246"/>
      <c r="DV63" s="246"/>
      <c r="DW63" s="246"/>
      <c r="DX63" s="243">
        <f t="shared" si="159"/>
        <v>0</v>
      </c>
      <c r="DY63" s="246"/>
      <c r="DZ63" s="246"/>
      <c r="EA63" s="246"/>
      <c r="EB63" s="246"/>
      <c r="EC63" s="246"/>
      <c r="ED63" s="246"/>
      <c r="EE63" s="246"/>
      <c r="EF63" s="243">
        <f t="shared" si="160"/>
        <v>0</v>
      </c>
      <c r="EG63" s="246"/>
      <c r="EH63" s="246"/>
      <c r="EI63" s="246"/>
      <c r="EJ63" s="246"/>
      <c r="EK63" s="246"/>
      <c r="EL63" s="246"/>
      <c r="EM63" s="246"/>
      <c r="EN63" s="243">
        <f t="shared" si="161"/>
        <v>0</v>
      </c>
      <c r="EO63" s="246"/>
      <c r="EP63" s="246"/>
      <c r="EQ63" s="246"/>
      <c r="ER63" s="246"/>
      <c r="ES63" s="246"/>
      <c r="ET63" s="246"/>
      <c r="EU63" s="246"/>
      <c r="EV63" s="243">
        <f t="shared" si="162"/>
        <v>0</v>
      </c>
      <c r="EW63" s="246"/>
      <c r="EX63" s="246"/>
      <c r="EY63" s="246"/>
      <c r="EZ63" s="246"/>
      <c r="FA63" s="246"/>
      <c r="FB63" s="246"/>
      <c r="FC63" s="246"/>
      <c r="FD63" s="243">
        <f t="shared" si="163"/>
        <v>0</v>
      </c>
      <c r="FE63" s="246"/>
      <c r="FF63" s="246"/>
      <c r="FG63" s="246"/>
      <c r="FH63" s="246"/>
      <c r="FI63" s="246"/>
      <c r="FJ63" s="246"/>
      <c r="FK63" s="246"/>
      <c r="FL63" s="243">
        <f t="shared" si="164"/>
        <v>0</v>
      </c>
      <c r="FM63" s="246"/>
      <c r="FN63" s="246"/>
      <c r="FO63" s="246"/>
      <c r="FP63" s="246"/>
      <c r="FQ63" s="246"/>
      <c r="FR63" s="246"/>
      <c r="FS63" s="246"/>
      <c r="FT63" s="243">
        <f t="shared" si="165"/>
        <v>0</v>
      </c>
      <c r="FU63" s="246"/>
      <c r="FV63" s="246"/>
      <c r="FW63" s="246"/>
      <c r="FX63" s="246"/>
      <c r="FY63" s="246"/>
      <c r="FZ63" s="246"/>
      <c r="GA63" s="246"/>
      <c r="GB63" s="243">
        <f t="shared" si="166"/>
        <v>0</v>
      </c>
      <c r="GC63" s="246"/>
      <c r="GD63" s="246"/>
      <c r="GE63" s="246"/>
      <c r="GF63" s="246"/>
      <c r="GG63" s="246"/>
      <c r="GH63" s="246"/>
      <c r="GI63" s="246"/>
      <c r="GJ63" s="243">
        <f t="shared" si="167"/>
        <v>0</v>
      </c>
      <c r="GK63" s="246"/>
      <c r="GL63" s="246"/>
      <c r="GM63" s="246"/>
      <c r="GN63" s="246"/>
      <c r="GO63" s="246"/>
      <c r="GP63" s="246"/>
      <c r="GQ63" s="246"/>
      <c r="GR63" s="243">
        <f t="shared" si="168"/>
        <v>0</v>
      </c>
      <c r="GS63" s="246"/>
      <c r="GT63" s="246"/>
      <c r="GU63" s="246"/>
      <c r="GV63" s="246"/>
      <c r="GW63" s="246"/>
      <c r="GX63" s="246"/>
      <c r="GY63" s="246"/>
      <c r="GZ63" s="243">
        <f t="shared" si="169"/>
        <v>0</v>
      </c>
      <c r="HA63" s="246"/>
      <c r="HB63" s="246"/>
      <c r="HC63" s="246"/>
      <c r="HD63" s="246"/>
      <c r="HE63" s="246"/>
      <c r="HF63" s="246"/>
      <c r="HG63" s="246"/>
      <c r="HH63" s="243">
        <f t="shared" si="170"/>
        <v>0</v>
      </c>
      <c r="HI63" s="246"/>
      <c r="HJ63" s="246"/>
      <c r="HK63" s="246"/>
      <c r="HL63" s="246"/>
      <c r="HM63" s="246"/>
      <c r="HN63" s="246"/>
      <c r="HO63" s="246"/>
      <c r="HP63" s="243">
        <f t="shared" si="171"/>
        <v>0</v>
      </c>
      <c r="HQ63" s="246"/>
      <c r="HR63" s="246"/>
      <c r="HS63" s="246"/>
      <c r="HT63" s="246"/>
      <c r="HU63" s="246"/>
      <c r="HV63" s="246"/>
      <c r="HW63" s="246"/>
      <c r="HX63" s="243">
        <f t="shared" si="172"/>
        <v>0</v>
      </c>
      <c r="HY63" s="246"/>
      <c r="HZ63" s="246"/>
      <c r="IA63" s="246"/>
      <c r="IB63" s="246"/>
      <c r="IC63" s="246"/>
      <c r="ID63" s="246"/>
      <c r="IE63" s="246"/>
      <c r="IF63" s="243">
        <f t="shared" si="173"/>
        <v>0</v>
      </c>
      <c r="IG63" s="246"/>
      <c r="IH63" s="246"/>
      <c r="II63" s="246"/>
      <c r="IJ63" s="246"/>
      <c r="IK63" s="246"/>
      <c r="IL63" s="246"/>
      <c r="IM63" s="246"/>
      <c r="IN63" s="243">
        <f t="shared" si="174"/>
        <v>0</v>
      </c>
      <c r="IO63" s="246"/>
      <c r="IP63" s="246"/>
      <c r="IQ63" s="246"/>
      <c r="IR63" s="246"/>
      <c r="IS63" s="246"/>
      <c r="IT63" s="246"/>
      <c r="IU63" s="246"/>
      <c r="IV63" s="243">
        <f t="shared" si="175"/>
        <v>0</v>
      </c>
      <c r="IW63" s="246"/>
      <c r="IX63" s="246"/>
      <c r="IY63" s="246"/>
      <c r="IZ63" s="246"/>
      <c r="JA63" s="246"/>
      <c r="JB63" s="246"/>
      <c r="JC63" s="246"/>
      <c r="JD63" s="243">
        <f t="shared" si="176"/>
        <v>0</v>
      </c>
      <c r="JE63" s="246"/>
      <c r="JF63" s="246"/>
      <c r="JG63" s="246"/>
      <c r="JH63" s="246"/>
      <c r="JI63" s="246"/>
      <c r="JJ63" s="246"/>
      <c r="JK63" s="246"/>
      <c r="JL63" s="243">
        <f t="shared" si="177"/>
        <v>0</v>
      </c>
      <c r="JM63" s="246"/>
      <c r="JN63" s="246"/>
      <c r="JO63" s="246"/>
      <c r="JP63" s="246"/>
      <c r="JQ63" s="246"/>
      <c r="JR63" s="246"/>
      <c r="JS63" s="246"/>
      <c r="JT63" s="243">
        <f t="shared" si="178"/>
        <v>0</v>
      </c>
      <c r="JU63" s="246"/>
      <c r="JV63" s="246"/>
      <c r="JW63" s="246"/>
      <c r="JX63" s="246"/>
      <c r="JY63" s="246"/>
      <c r="JZ63" s="246"/>
      <c r="KA63" s="246"/>
      <c r="KB63" s="243">
        <f t="shared" si="179"/>
        <v>0</v>
      </c>
      <c r="KC63" s="246"/>
      <c r="KD63" s="246"/>
      <c r="KE63" s="246"/>
      <c r="KF63" s="246"/>
      <c r="KG63" s="246"/>
      <c r="KH63" s="246"/>
      <c r="KI63" s="246"/>
      <c r="KJ63" s="243">
        <f t="shared" si="180"/>
        <v>0</v>
      </c>
      <c r="KK63" s="246"/>
      <c r="KL63" s="246"/>
      <c r="KM63" s="246"/>
      <c r="KN63" s="246"/>
      <c r="KO63" s="246"/>
      <c r="KP63" s="246"/>
      <c r="KQ63" s="246"/>
      <c r="KR63" s="243">
        <f t="shared" si="181"/>
        <v>0</v>
      </c>
      <c r="KS63" s="246"/>
      <c r="KT63" s="246"/>
      <c r="KU63" s="246"/>
      <c r="KV63" s="246"/>
      <c r="KW63" s="246"/>
      <c r="KX63" s="246"/>
      <c r="KY63" s="246"/>
      <c r="KZ63" s="243">
        <f t="shared" si="182"/>
        <v>0</v>
      </c>
      <c r="LA63" s="246"/>
      <c r="LB63" s="246"/>
      <c r="LC63" s="246"/>
      <c r="LD63" s="246"/>
      <c r="LE63" s="246"/>
      <c r="LF63" s="246"/>
      <c r="LG63" s="246"/>
      <c r="LH63" s="243">
        <f t="shared" si="183"/>
        <v>0</v>
      </c>
      <c r="LI63" s="246"/>
      <c r="LJ63" s="246"/>
      <c r="LK63" s="246"/>
      <c r="LL63" s="246"/>
      <c r="LM63" s="246"/>
      <c r="LN63" s="246"/>
      <c r="LO63" s="246"/>
      <c r="LP63" s="243">
        <f t="shared" si="184"/>
        <v>0</v>
      </c>
      <c r="LQ63" s="246"/>
      <c r="LR63" s="246"/>
      <c r="LS63" s="246"/>
      <c r="LT63" s="244">
        <f t="shared" si="185"/>
        <v>0</v>
      </c>
      <c r="LU63" s="246">
        <v>0</v>
      </c>
      <c r="LV63" s="246"/>
      <c r="LW63" s="246"/>
      <c r="LX63" s="246"/>
      <c r="LY63" s="246"/>
      <c r="LZ63" s="246"/>
      <c r="MA63" s="246"/>
      <c r="MB63" s="243">
        <f t="shared" si="186"/>
        <v>0</v>
      </c>
      <c r="MC63" s="246"/>
      <c r="MD63" s="246"/>
      <c r="ME63" s="246"/>
      <c r="MF63" s="246"/>
      <c r="MG63" s="246"/>
      <c r="MH63" s="246"/>
      <c r="MI63" s="246"/>
      <c r="MJ63" s="243">
        <f t="shared" si="187"/>
        <v>0</v>
      </c>
      <c r="MK63" s="246"/>
      <c r="ML63" s="246"/>
      <c r="MM63" s="246"/>
      <c r="MN63" s="246"/>
      <c r="MO63" s="246"/>
      <c r="MP63" s="246"/>
      <c r="MQ63" s="246"/>
      <c r="MR63" s="243">
        <f t="shared" si="188"/>
        <v>0</v>
      </c>
      <c r="MS63" s="271"/>
      <c r="MT63" s="246"/>
      <c r="MU63" s="246"/>
      <c r="MV63" s="246"/>
      <c r="MW63" s="246"/>
      <c r="MX63" s="246"/>
      <c r="MY63" s="246"/>
      <c r="MZ63" s="243">
        <f t="shared" si="189"/>
        <v>0</v>
      </c>
      <c r="NA63" s="246"/>
      <c r="NB63" s="246"/>
      <c r="NC63" s="246"/>
      <c r="ND63" s="243">
        <f t="shared" si="190"/>
        <v>0</v>
      </c>
      <c r="NE63" s="246">
        <v>0</v>
      </c>
      <c r="NF63" s="246"/>
      <c r="NG63" s="246"/>
      <c r="NH63" s="246"/>
      <c r="NI63" s="246"/>
      <c r="NJ63" s="246"/>
      <c r="NK63" s="246"/>
      <c r="NL63" s="243">
        <f t="shared" si="191"/>
        <v>0</v>
      </c>
      <c r="NM63" s="246"/>
      <c r="NN63" s="246"/>
      <c r="NO63" s="246"/>
      <c r="NP63" s="246"/>
      <c r="NQ63" s="246"/>
      <c r="NR63" s="246"/>
      <c r="NS63" s="246"/>
      <c r="NT63" s="243">
        <f t="shared" si="192"/>
        <v>0</v>
      </c>
      <c r="NU63" s="246"/>
      <c r="NV63" s="246"/>
      <c r="NW63" s="246"/>
      <c r="NX63" s="246"/>
      <c r="NY63" s="246"/>
      <c r="NZ63" s="246"/>
      <c r="OA63" s="246"/>
      <c r="OB63" s="243">
        <f t="shared" si="193"/>
        <v>0</v>
      </c>
      <c r="OC63" s="246"/>
      <c r="OD63" s="246"/>
      <c r="OE63" s="246"/>
      <c r="OF63" s="246"/>
      <c r="OG63" s="246"/>
      <c r="OH63" s="246"/>
      <c r="OI63" s="246"/>
      <c r="OJ63" s="243">
        <f t="shared" si="194"/>
        <v>0</v>
      </c>
      <c r="OK63" s="246"/>
      <c r="OL63" s="246"/>
      <c r="OM63" s="246"/>
      <c r="ON63" s="246"/>
      <c r="OO63" s="246"/>
      <c r="OP63" s="246"/>
      <c r="OQ63" s="246"/>
      <c r="OR63" s="243">
        <f t="shared" si="195"/>
        <v>0</v>
      </c>
      <c r="OS63" s="246"/>
      <c r="OT63" s="246"/>
      <c r="OU63" s="246"/>
      <c r="OV63" s="246"/>
      <c r="OW63" s="246"/>
      <c r="OX63" s="246"/>
      <c r="OY63" s="246"/>
      <c r="OZ63" s="243">
        <f t="shared" si="196"/>
        <v>0</v>
      </c>
      <c r="PA63" s="247"/>
      <c r="PB63" s="246"/>
      <c r="PC63" s="246"/>
      <c r="PD63" s="243">
        <f t="shared" si="197"/>
        <v>0</v>
      </c>
      <c r="PE63" s="247"/>
      <c r="PF63" s="246"/>
      <c r="PG63" s="246"/>
      <c r="PH63" s="246"/>
      <c r="PI63" s="246"/>
      <c r="PJ63" s="246"/>
      <c r="PK63" s="246"/>
      <c r="PL63" s="243">
        <f t="shared" si="139"/>
        <v>0</v>
      </c>
      <c r="PM63" s="247"/>
      <c r="PN63" s="246"/>
      <c r="PO63" s="246"/>
      <c r="PP63" s="246"/>
      <c r="PQ63" s="246"/>
      <c r="PR63" s="246">
        <v>-1800</v>
      </c>
      <c r="PS63" s="246">
        <v>0</v>
      </c>
      <c r="PT63" s="243">
        <f t="shared" si="198"/>
        <v>0</v>
      </c>
      <c r="PU63" s="246"/>
      <c r="PV63" s="246"/>
      <c r="PW63" s="246"/>
      <c r="PX63" s="246"/>
      <c r="PY63" s="246"/>
      <c r="PZ63" s="246"/>
      <c r="QA63" s="246"/>
      <c r="QB63" s="243">
        <f t="shared" si="199"/>
        <v>0</v>
      </c>
      <c r="QC63" s="246"/>
      <c r="QD63" s="246"/>
      <c r="QE63" s="246"/>
      <c r="QF63" s="246"/>
      <c r="QG63" s="246"/>
      <c r="QH63" s="246"/>
      <c r="QI63" s="246"/>
      <c r="QJ63" s="243">
        <f t="shared" si="200"/>
        <v>0</v>
      </c>
      <c r="QK63" s="246">
        <v>0</v>
      </c>
      <c r="QL63" s="246"/>
      <c r="QM63" s="246"/>
      <c r="QN63" s="246"/>
      <c r="QO63" s="246"/>
      <c r="QP63" s="243">
        <f t="shared" si="201"/>
        <v>0</v>
      </c>
      <c r="QQ63" s="243">
        <f t="shared" si="140"/>
        <v>0</v>
      </c>
      <c r="QR63" s="246"/>
      <c r="QS63" s="246"/>
      <c r="QT63" s="246"/>
      <c r="QU63" s="246"/>
      <c r="QV63" s="243">
        <f t="shared" si="202"/>
        <v>0</v>
      </c>
      <c r="QW63" s="246"/>
      <c r="QX63" s="246"/>
      <c r="QY63" s="246"/>
      <c r="QZ63" s="246"/>
      <c r="RA63" s="246"/>
      <c r="RB63" s="246"/>
      <c r="RC63" s="246"/>
      <c r="RD63" s="243">
        <f t="shared" si="203"/>
        <v>0</v>
      </c>
      <c r="RE63" s="300"/>
      <c r="RF63" s="259">
        <f t="shared" si="101"/>
        <v>0</v>
      </c>
      <c r="RG63" s="259">
        <f t="shared" si="141"/>
        <v>1695.17265</v>
      </c>
      <c r="RH63" s="259">
        <f t="shared" si="142"/>
        <v>2034.2071800000001</v>
      </c>
      <c r="RI63" s="256">
        <f t="shared" si="143"/>
        <v>860</v>
      </c>
    </row>
    <row r="64" spans="1:477">
      <c r="A64" s="5" t="s">
        <v>113</v>
      </c>
      <c r="B64" s="263"/>
      <c r="C64" s="246"/>
      <c r="D64" s="246"/>
      <c r="E64" s="246"/>
      <c r="F64" s="246"/>
      <c r="G64" s="243"/>
      <c r="H64" s="243">
        <f t="shared" si="144"/>
        <v>0</v>
      </c>
      <c r="I64" s="246"/>
      <c r="J64" s="246"/>
      <c r="K64" s="246"/>
      <c r="L64" s="246"/>
      <c r="M64" s="246"/>
      <c r="N64" s="246"/>
      <c r="O64" s="246"/>
      <c r="P64" s="243">
        <f t="shared" si="145"/>
        <v>0</v>
      </c>
      <c r="Q64" s="246"/>
      <c r="R64" s="246"/>
      <c r="S64" s="246"/>
      <c r="T64" s="246"/>
      <c r="U64" s="246"/>
      <c r="V64" s="246"/>
      <c r="W64" s="247"/>
      <c r="X64" s="243">
        <f t="shared" si="146"/>
        <v>0</v>
      </c>
      <c r="Y64" s="246"/>
      <c r="Z64" s="246"/>
      <c r="AA64" s="246"/>
      <c r="AB64" s="246"/>
      <c r="AC64" s="246"/>
      <c r="AD64" s="246"/>
      <c r="AE64" s="246"/>
      <c r="AF64" s="243">
        <f t="shared" si="147"/>
        <v>0</v>
      </c>
      <c r="AG64" s="246"/>
      <c r="AH64" s="246"/>
      <c r="AI64" s="246"/>
      <c r="AJ64" s="246"/>
      <c r="AK64" s="246"/>
      <c r="AL64" s="246"/>
      <c r="AM64" s="246"/>
      <c r="AN64" s="243">
        <f t="shared" si="148"/>
        <v>0</v>
      </c>
      <c r="AO64" s="246"/>
      <c r="AP64" s="246"/>
      <c r="AQ64" s="246"/>
      <c r="AR64" s="246"/>
      <c r="AS64" s="246"/>
      <c r="AT64" s="246"/>
      <c r="AU64" s="246"/>
      <c r="AV64" s="243">
        <f t="shared" si="149"/>
        <v>0</v>
      </c>
      <c r="AW64" s="246"/>
      <c r="AX64" s="246"/>
      <c r="AY64" s="246"/>
      <c r="AZ64" s="246"/>
      <c r="BA64" s="246"/>
      <c r="BB64" s="246"/>
      <c r="BC64" s="246"/>
      <c r="BD64" s="243">
        <f t="shared" si="150"/>
        <v>0</v>
      </c>
      <c r="BE64" s="246"/>
      <c r="BF64" s="246"/>
      <c r="BG64" s="246"/>
      <c r="BH64" s="246"/>
      <c r="BI64" s="246"/>
      <c r="BJ64" s="246"/>
      <c r="BK64" s="246"/>
      <c r="BL64" s="243">
        <f t="shared" si="151"/>
        <v>0</v>
      </c>
      <c r="BM64" s="246"/>
      <c r="BN64" s="246"/>
      <c r="BO64" s="246"/>
      <c r="BP64" s="246"/>
      <c r="BQ64" s="246"/>
      <c r="BR64" s="246"/>
      <c r="BS64" s="246"/>
      <c r="BT64" s="243">
        <f t="shared" si="152"/>
        <v>0</v>
      </c>
      <c r="BU64" s="246"/>
      <c r="BV64" s="246"/>
      <c r="BW64" s="246"/>
      <c r="BX64" s="246"/>
      <c r="BY64" s="246"/>
      <c r="BZ64" s="246"/>
      <c r="CA64" s="246"/>
      <c r="CB64" s="243">
        <f t="shared" si="153"/>
        <v>0</v>
      </c>
      <c r="CC64" s="246"/>
      <c r="CD64" s="246"/>
      <c r="CE64" s="246"/>
      <c r="CF64" s="246"/>
      <c r="CG64" s="246"/>
      <c r="CH64" s="246"/>
      <c r="CI64" s="246"/>
      <c r="CJ64" s="243">
        <f t="shared" si="154"/>
        <v>0</v>
      </c>
      <c r="CK64" s="246"/>
      <c r="CL64" s="246"/>
      <c r="CM64" s="246"/>
      <c r="CN64" s="246"/>
      <c r="CO64" s="246"/>
      <c r="CP64" s="246"/>
      <c r="CQ64" s="246"/>
      <c r="CR64" s="243">
        <f t="shared" si="155"/>
        <v>0</v>
      </c>
      <c r="CS64" s="246"/>
      <c r="CT64" s="246"/>
      <c r="CU64" s="246"/>
      <c r="CV64" s="246"/>
      <c r="CW64" s="246"/>
      <c r="CX64" s="246"/>
      <c r="CY64" s="246"/>
      <c r="CZ64" s="243">
        <f t="shared" si="156"/>
        <v>0</v>
      </c>
      <c r="DA64" s="246"/>
      <c r="DB64" s="246"/>
      <c r="DC64" s="246"/>
      <c r="DD64" s="246"/>
      <c r="DE64" s="246"/>
      <c r="DF64" s="246"/>
      <c r="DG64" s="246"/>
      <c r="DH64" s="243">
        <f t="shared" si="157"/>
        <v>0</v>
      </c>
      <c r="DI64" s="246"/>
      <c r="DJ64" s="246"/>
      <c r="DK64" s="246"/>
      <c r="DL64" s="246"/>
      <c r="DM64" s="246"/>
      <c r="DN64" s="246"/>
      <c r="DO64" s="246"/>
      <c r="DP64" s="243">
        <f t="shared" si="158"/>
        <v>0</v>
      </c>
      <c r="DQ64" s="246"/>
      <c r="DR64" s="246"/>
      <c r="DS64" s="246"/>
      <c r="DT64" s="246"/>
      <c r="DU64" s="246"/>
      <c r="DV64" s="246"/>
      <c r="DW64" s="246"/>
      <c r="DX64" s="243">
        <f t="shared" si="159"/>
        <v>0</v>
      </c>
      <c r="DY64" s="246"/>
      <c r="DZ64" s="246"/>
      <c r="EA64" s="246"/>
      <c r="EB64" s="246"/>
      <c r="EC64" s="246"/>
      <c r="ED64" s="246"/>
      <c r="EE64" s="246"/>
      <c r="EF64" s="243">
        <f t="shared" si="160"/>
        <v>0</v>
      </c>
      <c r="EG64" s="246"/>
      <c r="EH64" s="246"/>
      <c r="EI64" s="246"/>
      <c r="EJ64" s="246"/>
      <c r="EK64" s="246"/>
      <c r="EL64" s="246"/>
      <c r="EM64" s="246"/>
      <c r="EN64" s="243">
        <f t="shared" si="161"/>
        <v>0</v>
      </c>
      <c r="EO64" s="246"/>
      <c r="EP64" s="246"/>
      <c r="EQ64" s="246"/>
      <c r="ER64" s="246"/>
      <c r="ES64" s="246"/>
      <c r="ET64" s="246"/>
      <c r="EU64" s="246"/>
      <c r="EV64" s="243">
        <f t="shared" si="162"/>
        <v>0</v>
      </c>
      <c r="EW64" s="246"/>
      <c r="EX64" s="246"/>
      <c r="EY64" s="246"/>
      <c r="EZ64" s="246"/>
      <c r="FA64" s="246"/>
      <c r="FB64" s="246"/>
      <c r="FC64" s="246"/>
      <c r="FD64" s="243">
        <f t="shared" si="163"/>
        <v>0</v>
      </c>
      <c r="FE64" s="246"/>
      <c r="FF64" s="246"/>
      <c r="FG64" s="246"/>
      <c r="FH64" s="246"/>
      <c r="FI64" s="246"/>
      <c r="FJ64" s="246"/>
      <c r="FK64" s="246"/>
      <c r="FL64" s="243">
        <f t="shared" si="164"/>
        <v>0</v>
      </c>
      <c r="FM64" s="246"/>
      <c r="FN64" s="246"/>
      <c r="FO64" s="246"/>
      <c r="FP64" s="246"/>
      <c r="FQ64" s="246"/>
      <c r="FR64" s="246"/>
      <c r="FS64" s="246"/>
      <c r="FT64" s="243">
        <f t="shared" si="165"/>
        <v>0</v>
      </c>
      <c r="FU64" s="246"/>
      <c r="FV64" s="246"/>
      <c r="FW64" s="246"/>
      <c r="FX64" s="246"/>
      <c r="FY64" s="246"/>
      <c r="FZ64" s="246"/>
      <c r="GA64" s="246"/>
      <c r="GB64" s="243">
        <f t="shared" si="166"/>
        <v>0</v>
      </c>
      <c r="GC64" s="246"/>
      <c r="GD64" s="246"/>
      <c r="GE64" s="246"/>
      <c r="GF64" s="246"/>
      <c r="GG64" s="246"/>
      <c r="GH64" s="246"/>
      <c r="GI64" s="246"/>
      <c r="GJ64" s="243">
        <f t="shared" si="167"/>
        <v>0</v>
      </c>
      <c r="GK64" s="246"/>
      <c r="GL64" s="246"/>
      <c r="GM64" s="246"/>
      <c r="GN64" s="246"/>
      <c r="GO64" s="246"/>
      <c r="GP64" s="246"/>
      <c r="GQ64" s="246"/>
      <c r="GR64" s="243">
        <f t="shared" si="168"/>
        <v>0</v>
      </c>
      <c r="GS64" s="246"/>
      <c r="GT64" s="246"/>
      <c r="GU64" s="246"/>
      <c r="GV64" s="246"/>
      <c r="GW64" s="246"/>
      <c r="GX64" s="246"/>
      <c r="GY64" s="246"/>
      <c r="GZ64" s="243">
        <f t="shared" si="169"/>
        <v>0</v>
      </c>
      <c r="HA64" s="246"/>
      <c r="HB64" s="246"/>
      <c r="HC64" s="246"/>
      <c r="HD64" s="246"/>
      <c r="HE64" s="246"/>
      <c r="HF64" s="246"/>
      <c r="HG64" s="246"/>
      <c r="HH64" s="243">
        <f t="shared" si="170"/>
        <v>0</v>
      </c>
      <c r="HI64" s="246"/>
      <c r="HJ64" s="246"/>
      <c r="HK64" s="246"/>
      <c r="HL64" s="246"/>
      <c r="HM64" s="246"/>
      <c r="HN64" s="246"/>
      <c r="HO64" s="246"/>
      <c r="HP64" s="243">
        <f t="shared" si="171"/>
        <v>0</v>
      </c>
      <c r="HQ64" s="246"/>
      <c r="HR64" s="246"/>
      <c r="HS64" s="246"/>
      <c r="HT64" s="246"/>
      <c r="HU64" s="246"/>
      <c r="HV64" s="246"/>
      <c r="HW64" s="246"/>
      <c r="HX64" s="243">
        <f t="shared" si="172"/>
        <v>0</v>
      </c>
      <c r="HY64" s="246"/>
      <c r="HZ64" s="246"/>
      <c r="IA64" s="246"/>
      <c r="IB64" s="246"/>
      <c r="IC64" s="246"/>
      <c r="ID64" s="246"/>
      <c r="IE64" s="246"/>
      <c r="IF64" s="243">
        <f t="shared" si="173"/>
        <v>0</v>
      </c>
      <c r="IG64" s="246"/>
      <c r="IH64" s="246"/>
      <c r="II64" s="246"/>
      <c r="IJ64" s="246"/>
      <c r="IK64" s="246"/>
      <c r="IL64" s="246"/>
      <c r="IM64" s="246"/>
      <c r="IN64" s="243">
        <f t="shared" si="174"/>
        <v>0</v>
      </c>
      <c r="IO64" s="246"/>
      <c r="IP64" s="246"/>
      <c r="IQ64" s="246"/>
      <c r="IR64" s="246"/>
      <c r="IS64" s="246"/>
      <c r="IT64" s="246"/>
      <c r="IU64" s="246"/>
      <c r="IV64" s="243">
        <f t="shared" si="175"/>
        <v>0</v>
      </c>
      <c r="IW64" s="246"/>
      <c r="IX64" s="246"/>
      <c r="IY64" s="246"/>
      <c r="IZ64" s="246"/>
      <c r="JA64" s="246"/>
      <c r="JB64" s="246">
        <v>3922</v>
      </c>
      <c r="JC64" s="246">
        <v>1880.5145699999998</v>
      </c>
      <c r="JD64" s="243">
        <f t="shared" si="176"/>
        <v>2256.6174839999994</v>
      </c>
      <c r="JE64" s="246">
        <v>2240</v>
      </c>
      <c r="JF64" s="246"/>
      <c r="JG64" s="246"/>
      <c r="JH64" s="246"/>
      <c r="JI64" s="246"/>
      <c r="JJ64" s="246"/>
      <c r="JK64" s="246"/>
      <c r="JL64" s="243">
        <f t="shared" si="177"/>
        <v>0</v>
      </c>
      <c r="JM64" s="246"/>
      <c r="JN64" s="246"/>
      <c r="JO64" s="246"/>
      <c r="JP64" s="246"/>
      <c r="JQ64" s="246"/>
      <c r="JR64" s="246"/>
      <c r="JS64" s="246"/>
      <c r="JT64" s="243">
        <f t="shared" si="178"/>
        <v>0</v>
      </c>
      <c r="JU64" s="246"/>
      <c r="JV64" s="246"/>
      <c r="JW64" s="246"/>
      <c r="JX64" s="246"/>
      <c r="JY64" s="246"/>
      <c r="JZ64" s="246"/>
      <c r="KA64" s="246"/>
      <c r="KB64" s="243">
        <f t="shared" si="179"/>
        <v>0</v>
      </c>
      <c r="KC64" s="246"/>
      <c r="KD64" s="246"/>
      <c r="KE64" s="246"/>
      <c r="KF64" s="246"/>
      <c r="KG64" s="246"/>
      <c r="KH64" s="246"/>
      <c r="KI64" s="246"/>
      <c r="KJ64" s="243">
        <f t="shared" si="180"/>
        <v>0</v>
      </c>
      <c r="KK64" s="246"/>
      <c r="KL64" s="246"/>
      <c r="KM64" s="246"/>
      <c r="KN64" s="246"/>
      <c r="KO64" s="246"/>
      <c r="KP64" s="246"/>
      <c r="KQ64" s="246"/>
      <c r="KR64" s="243">
        <f t="shared" si="181"/>
        <v>0</v>
      </c>
      <c r="KS64" s="246"/>
      <c r="KT64" s="246"/>
      <c r="KU64" s="246"/>
      <c r="KV64" s="246"/>
      <c r="KW64" s="246"/>
      <c r="KX64" s="246"/>
      <c r="KY64" s="246"/>
      <c r="KZ64" s="243">
        <f t="shared" si="182"/>
        <v>0</v>
      </c>
      <c r="LA64" s="246"/>
      <c r="LB64" s="246"/>
      <c r="LC64" s="246"/>
      <c r="LD64" s="246"/>
      <c r="LE64" s="246"/>
      <c r="LF64" s="246"/>
      <c r="LG64" s="246"/>
      <c r="LH64" s="243">
        <f t="shared" si="183"/>
        <v>0</v>
      </c>
      <c r="LI64" s="246"/>
      <c r="LJ64" s="246"/>
      <c r="LK64" s="246"/>
      <c r="LL64" s="246"/>
      <c r="LM64" s="246"/>
      <c r="LN64" s="246"/>
      <c r="LO64" s="246"/>
      <c r="LP64" s="243">
        <f t="shared" si="184"/>
        <v>0</v>
      </c>
      <c r="LQ64" s="246"/>
      <c r="LR64" s="246"/>
      <c r="LS64" s="246"/>
      <c r="LT64" s="244">
        <f t="shared" si="185"/>
        <v>0</v>
      </c>
      <c r="LU64" s="246">
        <v>0</v>
      </c>
      <c r="LV64" s="246"/>
      <c r="LW64" s="246"/>
      <c r="LX64" s="246"/>
      <c r="LY64" s="246"/>
      <c r="LZ64" s="246"/>
      <c r="MA64" s="246"/>
      <c r="MB64" s="243">
        <f t="shared" si="186"/>
        <v>0</v>
      </c>
      <c r="MC64" s="246"/>
      <c r="MD64" s="246"/>
      <c r="ME64" s="246"/>
      <c r="MF64" s="246"/>
      <c r="MG64" s="246"/>
      <c r="MH64" s="246"/>
      <c r="MI64" s="246"/>
      <c r="MJ64" s="243">
        <f t="shared" si="187"/>
        <v>0</v>
      </c>
      <c r="MK64" s="246"/>
      <c r="ML64" s="246"/>
      <c r="MM64" s="246"/>
      <c r="MN64" s="246"/>
      <c r="MO64" s="246"/>
      <c r="MP64" s="246"/>
      <c r="MQ64" s="246"/>
      <c r="MR64" s="243">
        <f t="shared" si="188"/>
        <v>0</v>
      </c>
      <c r="MS64" s="271"/>
      <c r="MT64" s="246"/>
      <c r="MU64" s="246"/>
      <c r="MV64" s="246"/>
      <c r="MW64" s="246"/>
      <c r="MX64" s="246"/>
      <c r="MY64" s="246"/>
      <c r="MZ64" s="243">
        <f t="shared" si="189"/>
        <v>0</v>
      </c>
      <c r="NA64" s="246"/>
      <c r="NB64" s="246"/>
      <c r="NC64" s="246"/>
      <c r="ND64" s="243">
        <f t="shared" si="190"/>
        <v>0</v>
      </c>
      <c r="NE64" s="246">
        <v>0</v>
      </c>
      <c r="NF64" s="246"/>
      <c r="NG64" s="246"/>
      <c r="NH64" s="246"/>
      <c r="NI64" s="246"/>
      <c r="NJ64" s="246"/>
      <c r="NK64" s="246"/>
      <c r="NL64" s="243">
        <f t="shared" si="191"/>
        <v>0</v>
      </c>
      <c r="NM64" s="246"/>
      <c r="NN64" s="246"/>
      <c r="NO64" s="246"/>
      <c r="NP64" s="246"/>
      <c r="NQ64" s="246"/>
      <c r="NR64" s="246"/>
      <c r="NS64" s="246"/>
      <c r="NT64" s="243">
        <f t="shared" si="192"/>
        <v>0</v>
      </c>
      <c r="NU64" s="246"/>
      <c r="NV64" s="246"/>
      <c r="NW64" s="246"/>
      <c r="NX64" s="246"/>
      <c r="NY64" s="246"/>
      <c r="NZ64" s="246"/>
      <c r="OA64" s="246"/>
      <c r="OB64" s="243">
        <f t="shared" si="193"/>
        <v>0</v>
      </c>
      <c r="OC64" s="246"/>
      <c r="OD64" s="246"/>
      <c r="OE64" s="246"/>
      <c r="OF64" s="246"/>
      <c r="OG64" s="246"/>
      <c r="OH64" s="246"/>
      <c r="OI64" s="246"/>
      <c r="OJ64" s="243">
        <f t="shared" si="194"/>
        <v>0</v>
      </c>
      <c r="OK64" s="246"/>
      <c r="OL64" s="246"/>
      <c r="OM64" s="246"/>
      <c r="ON64" s="246"/>
      <c r="OO64" s="246"/>
      <c r="OP64" s="246"/>
      <c r="OQ64" s="246"/>
      <c r="OR64" s="243">
        <f t="shared" si="195"/>
        <v>0</v>
      </c>
      <c r="OS64" s="246"/>
      <c r="OT64" s="246"/>
      <c r="OU64" s="246"/>
      <c r="OV64" s="246"/>
      <c r="OW64" s="246"/>
      <c r="OX64" s="246"/>
      <c r="OY64" s="246"/>
      <c r="OZ64" s="243">
        <f t="shared" si="196"/>
        <v>0</v>
      </c>
      <c r="PA64" s="247"/>
      <c r="PB64" s="246"/>
      <c r="PC64" s="246"/>
      <c r="PD64" s="243">
        <f t="shared" si="197"/>
        <v>0</v>
      </c>
      <c r="PE64" s="247"/>
      <c r="PF64" s="246"/>
      <c r="PG64" s="246"/>
      <c r="PH64" s="246"/>
      <c r="PI64" s="246"/>
      <c r="PJ64" s="246"/>
      <c r="PK64" s="246"/>
      <c r="PL64" s="243">
        <f t="shared" si="139"/>
        <v>0</v>
      </c>
      <c r="PM64" s="247"/>
      <c r="PN64" s="246"/>
      <c r="PO64" s="246"/>
      <c r="PP64" s="246"/>
      <c r="PQ64" s="246"/>
      <c r="PR64" s="246">
        <v>-3922</v>
      </c>
      <c r="PS64" s="246">
        <v>0</v>
      </c>
      <c r="PT64" s="243">
        <f t="shared" si="198"/>
        <v>0</v>
      </c>
      <c r="PU64" s="246"/>
      <c r="PV64" s="246"/>
      <c r="PW64" s="246"/>
      <c r="PX64" s="246"/>
      <c r="PY64" s="246"/>
      <c r="PZ64" s="246"/>
      <c r="QA64" s="246"/>
      <c r="QB64" s="243">
        <f t="shared" si="199"/>
        <v>0</v>
      </c>
      <c r="QC64" s="246"/>
      <c r="QD64" s="246"/>
      <c r="QE64" s="246"/>
      <c r="QF64" s="246"/>
      <c r="QG64" s="246"/>
      <c r="QH64" s="246"/>
      <c r="QI64" s="246"/>
      <c r="QJ64" s="243">
        <f t="shared" si="200"/>
        <v>0</v>
      </c>
      <c r="QK64" s="246">
        <v>0</v>
      </c>
      <c r="QL64" s="246"/>
      <c r="QM64" s="246"/>
      <c r="QN64" s="246"/>
      <c r="QO64" s="246"/>
      <c r="QP64" s="243">
        <f t="shared" si="201"/>
        <v>0</v>
      </c>
      <c r="QQ64" s="243">
        <f t="shared" si="140"/>
        <v>0</v>
      </c>
      <c r="QR64" s="246"/>
      <c r="QS64" s="246"/>
      <c r="QT64" s="246"/>
      <c r="QU64" s="246"/>
      <c r="QV64" s="243">
        <f t="shared" si="202"/>
        <v>0</v>
      </c>
      <c r="QW64" s="246"/>
      <c r="QX64" s="246"/>
      <c r="QY64" s="246"/>
      <c r="QZ64" s="246"/>
      <c r="RA64" s="246"/>
      <c r="RB64" s="246"/>
      <c r="RC64" s="246"/>
      <c r="RD64" s="243">
        <f t="shared" si="203"/>
        <v>0</v>
      </c>
      <c r="RE64" s="300"/>
      <c r="RF64" s="259">
        <f t="shared" si="101"/>
        <v>0</v>
      </c>
      <c r="RG64" s="259">
        <f t="shared" si="141"/>
        <v>1880.5145699999998</v>
      </c>
      <c r="RH64" s="259">
        <f t="shared" si="142"/>
        <v>2256.6174839999994</v>
      </c>
      <c r="RI64" s="256">
        <f t="shared" si="143"/>
        <v>2240</v>
      </c>
    </row>
    <row r="65" spans="1:477">
      <c r="A65" s="5" t="s">
        <v>101</v>
      </c>
      <c r="B65" s="263"/>
      <c r="C65" s="246"/>
      <c r="D65" s="246"/>
      <c r="E65" s="246"/>
      <c r="F65" s="246"/>
      <c r="G65" s="243"/>
      <c r="H65" s="243">
        <f t="shared" si="144"/>
        <v>0</v>
      </c>
      <c r="I65" s="246"/>
      <c r="J65" s="246"/>
      <c r="K65" s="246"/>
      <c r="L65" s="246"/>
      <c r="M65" s="246"/>
      <c r="N65" s="246"/>
      <c r="O65" s="246"/>
      <c r="P65" s="243">
        <f t="shared" si="145"/>
        <v>0</v>
      </c>
      <c r="Q65" s="246"/>
      <c r="R65" s="246"/>
      <c r="S65" s="246"/>
      <c r="T65" s="246"/>
      <c r="U65" s="246"/>
      <c r="V65" s="278">
        <v>1000</v>
      </c>
      <c r="W65" s="247">
        <v>734.10217000000011</v>
      </c>
      <c r="X65" s="243">
        <f t="shared" si="146"/>
        <v>880.92260400000021</v>
      </c>
      <c r="Y65" s="278">
        <f>V65</f>
        <v>1000</v>
      </c>
      <c r="Z65" s="246"/>
      <c r="AA65" s="246"/>
      <c r="AB65" s="246"/>
      <c r="AC65" s="246"/>
      <c r="AD65" s="246"/>
      <c r="AE65" s="246"/>
      <c r="AF65" s="243">
        <f t="shared" si="147"/>
        <v>0</v>
      </c>
      <c r="AG65" s="246"/>
      <c r="AH65" s="246"/>
      <c r="AI65" s="246"/>
      <c r="AJ65" s="246"/>
      <c r="AK65" s="246"/>
      <c r="AL65" s="246"/>
      <c r="AM65" s="246"/>
      <c r="AN65" s="243">
        <f t="shared" si="148"/>
        <v>0</v>
      </c>
      <c r="AO65" s="246"/>
      <c r="AP65" s="246"/>
      <c r="AQ65" s="246"/>
      <c r="AR65" s="246"/>
      <c r="AS65" s="246"/>
      <c r="AT65" s="246"/>
      <c r="AU65" s="246"/>
      <c r="AV65" s="243">
        <f t="shared" si="149"/>
        <v>0</v>
      </c>
      <c r="AW65" s="246"/>
      <c r="AX65" s="246"/>
      <c r="AY65" s="246"/>
      <c r="AZ65" s="246"/>
      <c r="BA65" s="246"/>
      <c r="BB65" s="246"/>
      <c r="BC65" s="246"/>
      <c r="BD65" s="243">
        <f t="shared" si="150"/>
        <v>0</v>
      </c>
      <c r="BE65" s="246"/>
      <c r="BF65" s="246"/>
      <c r="BG65" s="246"/>
      <c r="BH65" s="246"/>
      <c r="BI65" s="246"/>
      <c r="BJ65" s="246"/>
      <c r="BK65" s="246"/>
      <c r="BL65" s="243">
        <f t="shared" si="151"/>
        <v>0</v>
      </c>
      <c r="BM65" s="246"/>
      <c r="BN65" s="246"/>
      <c r="BO65" s="246"/>
      <c r="BP65" s="246"/>
      <c r="BQ65" s="246"/>
      <c r="BR65" s="246"/>
      <c r="BS65" s="246"/>
      <c r="BT65" s="243">
        <f t="shared" si="152"/>
        <v>0</v>
      </c>
      <c r="BU65" s="246"/>
      <c r="BV65" s="246"/>
      <c r="BW65" s="246"/>
      <c r="BX65" s="246"/>
      <c r="BY65" s="246"/>
      <c r="BZ65" s="246"/>
      <c r="CA65" s="246"/>
      <c r="CB65" s="243">
        <f t="shared" si="153"/>
        <v>0</v>
      </c>
      <c r="CC65" s="246"/>
      <c r="CD65" s="246"/>
      <c r="CE65" s="246"/>
      <c r="CF65" s="246"/>
      <c r="CG65" s="246"/>
      <c r="CH65" s="246"/>
      <c r="CI65" s="246"/>
      <c r="CJ65" s="243">
        <f t="shared" si="154"/>
        <v>0</v>
      </c>
      <c r="CK65" s="246"/>
      <c r="CL65" s="246"/>
      <c r="CM65" s="246"/>
      <c r="CN65" s="246"/>
      <c r="CO65" s="246"/>
      <c r="CP65" s="246"/>
      <c r="CQ65" s="246"/>
      <c r="CR65" s="243">
        <f t="shared" si="155"/>
        <v>0</v>
      </c>
      <c r="CS65" s="246"/>
      <c r="CT65" s="246"/>
      <c r="CU65" s="246"/>
      <c r="CV65" s="246"/>
      <c r="CW65" s="246"/>
      <c r="CX65" s="246"/>
      <c r="CY65" s="246"/>
      <c r="CZ65" s="243">
        <f t="shared" si="156"/>
        <v>0</v>
      </c>
      <c r="DA65" s="246"/>
      <c r="DB65" s="246"/>
      <c r="DC65" s="246"/>
      <c r="DD65" s="246"/>
      <c r="DE65" s="246"/>
      <c r="DF65" s="246"/>
      <c r="DG65" s="246"/>
      <c r="DH65" s="243">
        <f t="shared" si="157"/>
        <v>0</v>
      </c>
      <c r="DI65" s="246"/>
      <c r="DJ65" s="246"/>
      <c r="DK65" s="246"/>
      <c r="DL65" s="246"/>
      <c r="DM65" s="246"/>
      <c r="DN65" s="246"/>
      <c r="DO65" s="246"/>
      <c r="DP65" s="243">
        <f t="shared" si="158"/>
        <v>0</v>
      </c>
      <c r="DQ65" s="246"/>
      <c r="DR65" s="246"/>
      <c r="DS65" s="246"/>
      <c r="DT65" s="246"/>
      <c r="DU65" s="246"/>
      <c r="DV65" s="246"/>
      <c r="DW65" s="246"/>
      <c r="DX65" s="243">
        <f t="shared" si="159"/>
        <v>0</v>
      </c>
      <c r="DY65" s="246"/>
      <c r="DZ65" s="246"/>
      <c r="EA65" s="246"/>
      <c r="EB65" s="246"/>
      <c r="EC65" s="246"/>
      <c r="ED65" s="246"/>
      <c r="EE65" s="246"/>
      <c r="EF65" s="243">
        <f t="shared" si="160"/>
        <v>0</v>
      </c>
      <c r="EG65" s="246"/>
      <c r="EH65" s="246"/>
      <c r="EI65" s="246"/>
      <c r="EJ65" s="246"/>
      <c r="EK65" s="246"/>
      <c r="EL65" s="246"/>
      <c r="EM65" s="246"/>
      <c r="EN65" s="243">
        <f t="shared" si="161"/>
        <v>0</v>
      </c>
      <c r="EO65" s="246"/>
      <c r="EP65" s="246"/>
      <c r="EQ65" s="246"/>
      <c r="ER65" s="246"/>
      <c r="ES65" s="246"/>
      <c r="ET65" s="246"/>
      <c r="EU65" s="246"/>
      <c r="EV65" s="243">
        <f t="shared" si="162"/>
        <v>0</v>
      </c>
      <c r="EW65" s="246"/>
      <c r="EX65" s="246"/>
      <c r="EY65" s="246"/>
      <c r="EZ65" s="246"/>
      <c r="FA65" s="246"/>
      <c r="FB65" s="246"/>
      <c r="FC65" s="246"/>
      <c r="FD65" s="243">
        <f t="shared" si="163"/>
        <v>0</v>
      </c>
      <c r="FE65" s="246"/>
      <c r="FF65" s="246"/>
      <c r="FG65" s="246"/>
      <c r="FH65" s="246"/>
      <c r="FI65" s="246"/>
      <c r="FJ65" s="246"/>
      <c r="FK65" s="246"/>
      <c r="FL65" s="243">
        <f t="shared" si="164"/>
        <v>0</v>
      </c>
      <c r="FM65" s="246"/>
      <c r="FN65" s="246"/>
      <c r="FO65" s="246"/>
      <c r="FP65" s="246"/>
      <c r="FQ65" s="246"/>
      <c r="FR65" s="246"/>
      <c r="FS65" s="246"/>
      <c r="FT65" s="243">
        <f t="shared" si="165"/>
        <v>0</v>
      </c>
      <c r="FU65" s="246"/>
      <c r="FV65" s="246"/>
      <c r="FW65" s="246"/>
      <c r="FX65" s="246"/>
      <c r="FY65" s="246"/>
      <c r="FZ65" s="246"/>
      <c r="GA65" s="246"/>
      <c r="GB65" s="243">
        <f t="shared" si="166"/>
        <v>0</v>
      </c>
      <c r="GC65" s="246"/>
      <c r="GD65" s="246"/>
      <c r="GE65" s="246"/>
      <c r="GF65" s="246"/>
      <c r="GG65" s="246"/>
      <c r="GH65" s="246"/>
      <c r="GI65" s="246"/>
      <c r="GJ65" s="243">
        <f t="shared" si="167"/>
        <v>0</v>
      </c>
      <c r="GK65" s="246"/>
      <c r="GL65" s="246"/>
      <c r="GM65" s="246"/>
      <c r="GN65" s="246"/>
      <c r="GO65" s="246"/>
      <c r="GP65" s="246"/>
      <c r="GQ65" s="246"/>
      <c r="GR65" s="243">
        <f t="shared" si="168"/>
        <v>0</v>
      </c>
      <c r="GS65" s="246"/>
      <c r="GT65" s="246"/>
      <c r="GU65" s="246"/>
      <c r="GV65" s="246"/>
      <c r="GW65" s="246"/>
      <c r="GX65" s="246"/>
      <c r="GY65" s="246"/>
      <c r="GZ65" s="243">
        <f t="shared" si="169"/>
        <v>0</v>
      </c>
      <c r="HA65" s="246"/>
      <c r="HB65" s="246"/>
      <c r="HC65" s="246"/>
      <c r="HD65" s="246"/>
      <c r="HE65" s="246"/>
      <c r="HF65" s="246"/>
      <c r="HG65" s="246"/>
      <c r="HH65" s="243">
        <f t="shared" si="170"/>
        <v>0</v>
      </c>
      <c r="HI65" s="246"/>
      <c r="HJ65" s="246"/>
      <c r="HK65" s="246"/>
      <c r="HL65" s="246"/>
      <c r="HM65" s="246"/>
      <c r="HN65" s="246"/>
      <c r="HO65" s="246"/>
      <c r="HP65" s="243">
        <f t="shared" si="171"/>
        <v>0</v>
      </c>
      <c r="HQ65" s="246"/>
      <c r="HR65" s="246"/>
      <c r="HS65" s="246"/>
      <c r="HT65" s="246"/>
      <c r="HU65" s="246"/>
      <c r="HV65" s="246"/>
      <c r="HW65" s="246"/>
      <c r="HX65" s="243">
        <f t="shared" si="172"/>
        <v>0</v>
      </c>
      <c r="HY65" s="246"/>
      <c r="HZ65" s="246"/>
      <c r="IA65" s="246"/>
      <c r="IB65" s="246"/>
      <c r="IC65" s="246"/>
      <c r="ID65" s="246"/>
      <c r="IE65" s="246"/>
      <c r="IF65" s="243">
        <f t="shared" si="173"/>
        <v>0</v>
      </c>
      <c r="IG65" s="246"/>
      <c r="IH65" s="246"/>
      <c r="II65" s="246"/>
      <c r="IJ65" s="246"/>
      <c r="IK65" s="246"/>
      <c r="IL65" s="246"/>
      <c r="IM65" s="246"/>
      <c r="IN65" s="243">
        <f t="shared" si="174"/>
        <v>0</v>
      </c>
      <c r="IO65" s="246"/>
      <c r="IP65" s="246"/>
      <c r="IQ65" s="246"/>
      <c r="IR65" s="246"/>
      <c r="IS65" s="246"/>
      <c r="IT65" s="246"/>
      <c r="IU65" s="246"/>
      <c r="IV65" s="243">
        <f t="shared" si="175"/>
        <v>0</v>
      </c>
      <c r="IW65" s="246"/>
      <c r="IX65" s="246"/>
      <c r="IY65" s="246"/>
      <c r="IZ65" s="246"/>
      <c r="JA65" s="246"/>
      <c r="JB65" s="246"/>
      <c r="JC65" s="246"/>
      <c r="JD65" s="243">
        <f t="shared" si="176"/>
        <v>0</v>
      </c>
      <c r="JE65" s="246"/>
      <c r="JF65" s="246"/>
      <c r="JG65" s="246"/>
      <c r="JH65" s="246"/>
      <c r="JI65" s="246"/>
      <c r="JJ65" s="246"/>
      <c r="JK65" s="246"/>
      <c r="JL65" s="243">
        <f t="shared" si="177"/>
        <v>0</v>
      </c>
      <c r="JM65" s="246"/>
      <c r="JN65" s="246"/>
      <c r="JO65" s="246"/>
      <c r="JP65" s="246"/>
      <c r="JQ65" s="246"/>
      <c r="JR65" s="246"/>
      <c r="JS65" s="246"/>
      <c r="JT65" s="243">
        <f t="shared" si="178"/>
        <v>0</v>
      </c>
      <c r="JU65" s="246"/>
      <c r="JV65" s="246"/>
      <c r="JW65" s="246"/>
      <c r="JX65" s="246"/>
      <c r="JY65" s="246"/>
      <c r="JZ65" s="246"/>
      <c r="KA65" s="246"/>
      <c r="KB65" s="243">
        <f t="shared" si="179"/>
        <v>0</v>
      </c>
      <c r="KC65" s="246"/>
      <c r="KD65" s="246"/>
      <c r="KE65" s="246"/>
      <c r="KF65" s="246"/>
      <c r="KG65" s="246"/>
      <c r="KH65" s="246"/>
      <c r="KI65" s="246"/>
      <c r="KJ65" s="243">
        <f t="shared" si="180"/>
        <v>0</v>
      </c>
      <c r="KK65" s="246"/>
      <c r="KL65" s="246"/>
      <c r="KM65" s="246"/>
      <c r="KN65" s="246"/>
      <c r="KO65" s="246"/>
      <c r="KP65" s="246"/>
      <c r="KQ65" s="246"/>
      <c r="KR65" s="243">
        <f t="shared" si="181"/>
        <v>0</v>
      </c>
      <c r="KS65" s="246"/>
      <c r="KT65" s="246"/>
      <c r="KU65" s="246"/>
      <c r="KV65" s="246"/>
      <c r="KW65" s="246"/>
      <c r="KX65" s="246"/>
      <c r="KY65" s="246"/>
      <c r="KZ65" s="243">
        <f t="shared" si="182"/>
        <v>0</v>
      </c>
      <c r="LA65" s="246"/>
      <c r="LB65" s="246"/>
      <c r="LC65" s="246"/>
      <c r="LD65" s="246"/>
      <c r="LE65" s="246"/>
      <c r="LF65" s="246"/>
      <c r="LG65" s="246"/>
      <c r="LH65" s="243">
        <f t="shared" si="183"/>
        <v>0</v>
      </c>
      <c r="LI65" s="246"/>
      <c r="LJ65" s="246"/>
      <c r="LK65" s="246"/>
      <c r="LL65" s="246"/>
      <c r="LM65" s="246"/>
      <c r="LN65" s="246"/>
      <c r="LO65" s="246"/>
      <c r="LP65" s="243">
        <f t="shared" si="184"/>
        <v>0</v>
      </c>
      <c r="LQ65" s="246"/>
      <c r="LR65" s="246"/>
      <c r="LS65" s="246"/>
      <c r="LT65" s="244">
        <f t="shared" si="185"/>
        <v>0</v>
      </c>
      <c r="LU65" s="246">
        <v>0</v>
      </c>
      <c r="LV65" s="246"/>
      <c r="LW65" s="246"/>
      <c r="LX65" s="246"/>
      <c r="LY65" s="246"/>
      <c r="LZ65" s="246"/>
      <c r="MA65" s="246"/>
      <c r="MB65" s="243">
        <f t="shared" si="186"/>
        <v>0</v>
      </c>
      <c r="MC65" s="246"/>
      <c r="MD65" s="246"/>
      <c r="ME65" s="246"/>
      <c r="MF65" s="246"/>
      <c r="MG65" s="246"/>
      <c r="MH65" s="246"/>
      <c r="MI65" s="246"/>
      <c r="MJ65" s="243">
        <f t="shared" si="187"/>
        <v>0</v>
      </c>
      <c r="MK65" s="246"/>
      <c r="ML65" s="246"/>
      <c r="MM65" s="246"/>
      <c r="MN65" s="246"/>
      <c r="MO65" s="246"/>
      <c r="MP65" s="246"/>
      <c r="MQ65" s="246"/>
      <c r="MR65" s="243">
        <f t="shared" si="188"/>
        <v>0</v>
      </c>
      <c r="MS65" s="271"/>
      <c r="MT65" s="246"/>
      <c r="MU65" s="246"/>
      <c r="MV65" s="246"/>
      <c r="MW65" s="246"/>
      <c r="MX65" s="246"/>
      <c r="MY65" s="246"/>
      <c r="MZ65" s="243">
        <f t="shared" si="189"/>
        <v>0</v>
      </c>
      <c r="NA65" s="246"/>
      <c r="NB65" s="246"/>
      <c r="NC65" s="246"/>
      <c r="ND65" s="243">
        <f t="shared" si="190"/>
        <v>0</v>
      </c>
      <c r="NE65" s="246">
        <v>0</v>
      </c>
      <c r="NF65" s="246"/>
      <c r="NG65" s="246"/>
      <c r="NH65" s="246"/>
      <c r="NI65" s="246"/>
      <c r="NJ65" s="246"/>
      <c r="NK65" s="246"/>
      <c r="NL65" s="243">
        <f t="shared" si="191"/>
        <v>0</v>
      </c>
      <c r="NM65" s="246"/>
      <c r="NN65" s="246"/>
      <c r="NO65" s="246"/>
      <c r="NP65" s="246"/>
      <c r="NQ65" s="246"/>
      <c r="NR65" s="246"/>
      <c r="NS65" s="246"/>
      <c r="NT65" s="243">
        <f t="shared" si="192"/>
        <v>0</v>
      </c>
      <c r="NU65" s="246"/>
      <c r="NV65" s="246"/>
      <c r="NW65" s="246"/>
      <c r="NX65" s="246"/>
      <c r="NY65" s="246"/>
      <c r="NZ65" s="246"/>
      <c r="OA65" s="246"/>
      <c r="OB65" s="243">
        <f t="shared" si="193"/>
        <v>0</v>
      </c>
      <c r="OC65" s="246"/>
      <c r="OD65" s="246"/>
      <c r="OE65" s="246"/>
      <c r="OF65" s="246"/>
      <c r="OG65" s="246"/>
      <c r="OH65" s="246"/>
      <c r="OI65" s="246"/>
      <c r="OJ65" s="243">
        <f t="shared" si="194"/>
        <v>0</v>
      </c>
      <c r="OK65" s="246"/>
      <c r="OL65" s="246"/>
      <c r="OM65" s="246"/>
      <c r="ON65" s="246"/>
      <c r="OO65" s="246"/>
      <c r="OP65" s="246"/>
      <c r="OQ65" s="246"/>
      <c r="OR65" s="243">
        <f t="shared" si="195"/>
        <v>0</v>
      </c>
      <c r="OS65" s="246"/>
      <c r="OT65" s="246"/>
      <c r="OU65" s="246"/>
      <c r="OV65" s="246"/>
      <c r="OW65" s="246"/>
      <c r="OX65" s="246"/>
      <c r="OY65" s="246"/>
      <c r="OZ65" s="243">
        <f t="shared" si="196"/>
        <v>0</v>
      </c>
      <c r="PA65" s="247"/>
      <c r="PB65" s="246"/>
      <c r="PC65" s="246"/>
      <c r="PD65" s="243">
        <f t="shared" si="197"/>
        <v>0</v>
      </c>
      <c r="PE65" s="247"/>
      <c r="PF65" s="246"/>
      <c r="PG65" s="246"/>
      <c r="PH65" s="246"/>
      <c r="PI65" s="246"/>
      <c r="PJ65" s="246"/>
      <c r="PK65" s="246"/>
      <c r="PL65" s="243">
        <f t="shared" si="139"/>
        <v>0</v>
      </c>
      <c r="PM65" s="247"/>
      <c r="PN65" s="246"/>
      <c r="PO65" s="246"/>
      <c r="PP65" s="246"/>
      <c r="PQ65" s="246"/>
      <c r="PR65" s="246">
        <v>-1000</v>
      </c>
      <c r="PS65" s="246">
        <v>0</v>
      </c>
      <c r="PT65" s="243">
        <f t="shared" si="198"/>
        <v>0</v>
      </c>
      <c r="PU65" s="246"/>
      <c r="PV65" s="246"/>
      <c r="PW65" s="246"/>
      <c r="PX65" s="246"/>
      <c r="PY65" s="246"/>
      <c r="PZ65" s="246"/>
      <c r="QA65" s="246"/>
      <c r="QB65" s="243">
        <f t="shared" si="199"/>
        <v>0</v>
      </c>
      <c r="QC65" s="246"/>
      <c r="QD65" s="246"/>
      <c r="QE65" s="246"/>
      <c r="QF65" s="246"/>
      <c r="QG65" s="246"/>
      <c r="QH65" s="246"/>
      <c r="QI65" s="246"/>
      <c r="QJ65" s="243">
        <f t="shared" si="200"/>
        <v>0</v>
      </c>
      <c r="QK65" s="246">
        <v>0</v>
      </c>
      <c r="QL65" s="246"/>
      <c r="QM65" s="246"/>
      <c r="QN65" s="246"/>
      <c r="QO65" s="246"/>
      <c r="QP65" s="243">
        <f t="shared" si="201"/>
        <v>0</v>
      </c>
      <c r="QQ65" s="243">
        <f t="shared" si="140"/>
        <v>0</v>
      </c>
      <c r="QR65" s="246"/>
      <c r="QS65" s="246"/>
      <c r="QT65" s="246"/>
      <c r="QU65" s="246"/>
      <c r="QV65" s="243">
        <f t="shared" si="202"/>
        <v>0</v>
      </c>
      <c r="QW65" s="246"/>
      <c r="QX65" s="246"/>
      <c r="QY65" s="246"/>
      <c r="QZ65" s="246"/>
      <c r="RA65" s="246"/>
      <c r="RB65" s="246"/>
      <c r="RC65" s="246"/>
      <c r="RD65" s="243">
        <f t="shared" si="203"/>
        <v>0</v>
      </c>
      <c r="RE65" s="300"/>
      <c r="RF65" s="259">
        <f t="shared" si="101"/>
        <v>0</v>
      </c>
      <c r="RG65" s="259">
        <f t="shared" si="141"/>
        <v>734.10217000000011</v>
      </c>
      <c r="RH65" s="259">
        <f t="shared" si="142"/>
        <v>880.92260400000021</v>
      </c>
      <c r="RI65" s="256">
        <f t="shared" si="143"/>
        <v>1000</v>
      </c>
    </row>
    <row r="66" spans="1:477">
      <c r="A66" s="5" t="s">
        <v>132</v>
      </c>
      <c r="B66" s="263"/>
      <c r="C66" s="246"/>
      <c r="D66" s="246"/>
      <c r="E66" s="246"/>
      <c r="F66" s="246"/>
      <c r="G66" s="243"/>
      <c r="H66" s="243">
        <f t="shared" si="144"/>
        <v>0</v>
      </c>
      <c r="I66" s="246"/>
      <c r="J66" s="246"/>
      <c r="K66" s="246"/>
      <c r="L66" s="246"/>
      <c r="M66" s="246"/>
      <c r="N66" s="246"/>
      <c r="O66" s="246"/>
      <c r="P66" s="243">
        <f t="shared" si="145"/>
        <v>0</v>
      </c>
      <c r="Q66" s="246"/>
      <c r="R66" s="246"/>
      <c r="S66" s="246"/>
      <c r="T66" s="246"/>
      <c r="U66" s="246"/>
      <c r="V66" s="246"/>
      <c r="W66" s="247"/>
      <c r="X66" s="243">
        <f t="shared" si="146"/>
        <v>0</v>
      </c>
      <c r="Y66" s="246"/>
      <c r="Z66" s="246"/>
      <c r="AA66" s="246"/>
      <c r="AB66" s="246"/>
      <c r="AC66" s="246"/>
      <c r="AD66" s="246"/>
      <c r="AE66" s="246"/>
      <c r="AF66" s="243">
        <f t="shared" si="147"/>
        <v>0</v>
      </c>
      <c r="AG66" s="246"/>
      <c r="AH66" s="246"/>
      <c r="AI66" s="246"/>
      <c r="AJ66" s="246"/>
      <c r="AK66" s="246"/>
      <c r="AL66" s="246"/>
      <c r="AM66" s="246"/>
      <c r="AN66" s="243">
        <f t="shared" si="148"/>
        <v>0</v>
      </c>
      <c r="AO66" s="246"/>
      <c r="AP66" s="246"/>
      <c r="AQ66" s="246"/>
      <c r="AR66" s="246"/>
      <c r="AS66" s="246"/>
      <c r="AT66" s="246"/>
      <c r="AU66" s="246"/>
      <c r="AV66" s="243">
        <f t="shared" si="149"/>
        <v>0</v>
      </c>
      <c r="AW66" s="246"/>
      <c r="AX66" s="246"/>
      <c r="AY66" s="246"/>
      <c r="AZ66" s="246"/>
      <c r="BA66" s="246"/>
      <c r="BB66" s="246"/>
      <c r="BC66" s="246"/>
      <c r="BD66" s="243">
        <f t="shared" si="150"/>
        <v>0</v>
      </c>
      <c r="BE66" s="246"/>
      <c r="BF66" s="246"/>
      <c r="BG66" s="246"/>
      <c r="BH66" s="246"/>
      <c r="BI66" s="246"/>
      <c r="BJ66" s="246"/>
      <c r="BK66" s="246"/>
      <c r="BL66" s="243">
        <f t="shared" si="151"/>
        <v>0</v>
      </c>
      <c r="BM66" s="246"/>
      <c r="BN66" s="246"/>
      <c r="BO66" s="246"/>
      <c r="BP66" s="246"/>
      <c r="BQ66" s="246"/>
      <c r="BR66" s="246"/>
      <c r="BS66" s="246"/>
      <c r="BT66" s="243">
        <f t="shared" si="152"/>
        <v>0</v>
      </c>
      <c r="BU66" s="246"/>
      <c r="BV66" s="246"/>
      <c r="BW66" s="246"/>
      <c r="BX66" s="246"/>
      <c r="BY66" s="246"/>
      <c r="BZ66" s="246"/>
      <c r="CA66" s="246"/>
      <c r="CB66" s="243">
        <f t="shared" si="153"/>
        <v>0</v>
      </c>
      <c r="CC66" s="246"/>
      <c r="CD66" s="246"/>
      <c r="CE66" s="246"/>
      <c r="CF66" s="246"/>
      <c r="CG66" s="246"/>
      <c r="CH66" s="246"/>
      <c r="CI66" s="246"/>
      <c r="CJ66" s="243">
        <f t="shared" si="154"/>
        <v>0</v>
      </c>
      <c r="CK66" s="246"/>
      <c r="CL66" s="246"/>
      <c r="CM66" s="246"/>
      <c r="CN66" s="246"/>
      <c r="CO66" s="246"/>
      <c r="CP66" s="246"/>
      <c r="CQ66" s="246"/>
      <c r="CR66" s="243">
        <f t="shared" si="155"/>
        <v>0</v>
      </c>
      <c r="CS66" s="246"/>
      <c r="CT66" s="246"/>
      <c r="CU66" s="246"/>
      <c r="CV66" s="246"/>
      <c r="CW66" s="246"/>
      <c r="CX66" s="246"/>
      <c r="CY66" s="246"/>
      <c r="CZ66" s="243">
        <f t="shared" si="156"/>
        <v>0</v>
      </c>
      <c r="DA66" s="246"/>
      <c r="DB66" s="246"/>
      <c r="DC66" s="246"/>
      <c r="DD66" s="246"/>
      <c r="DE66" s="246"/>
      <c r="DF66" s="246"/>
      <c r="DG66" s="246"/>
      <c r="DH66" s="243">
        <f t="shared" si="157"/>
        <v>0</v>
      </c>
      <c r="DI66" s="246"/>
      <c r="DJ66" s="246"/>
      <c r="DK66" s="246"/>
      <c r="DL66" s="246"/>
      <c r="DM66" s="246"/>
      <c r="DN66" s="246"/>
      <c r="DO66" s="246"/>
      <c r="DP66" s="243">
        <f t="shared" si="158"/>
        <v>0</v>
      </c>
      <c r="DQ66" s="246"/>
      <c r="DR66" s="246"/>
      <c r="DS66" s="246"/>
      <c r="DT66" s="246"/>
      <c r="DU66" s="246"/>
      <c r="DV66" s="246"/>
      <c r="DW66" s="246"/>
      <c r="DX66" s="243">
        <f t="shared" si="159"/>
        <v>0</v>
      </c>
      <c r="DY66" s="246"/>
      <c r="DZ66" s="246"/>
      <c r="EA66" s="246"/>
      <c r="EB66" s="246"/>
      <c r="EC66" s="246"/>
      <c r="ED66" s="246"/>
      <c r="EE66" s="246"/>
      <c r="EF66" s="243">
        <f t="shared" si="160"/>
        <v>0</v>
      </c>
      <c r="EG66" s="246"/>
      <c r="EH66" s="246"/>
      <c r="EI66" s="246"/>
      <c r="EJ66" s="246"/>
      <c r="EK66" s="246"/>
      <c r="EL66" s="246"/>
      <c r="EM66" s="246"/>
      <c r="EN66" s="243">
        <f t="shared" si="161"/>
        <v>0</v>
      </c>
      <c r="EO66" s="246"/>
      <c r="EP66" s="246"/>
      <c r="EQ66" s="246"/>
      <c r="ER66" s="246"/>
      <c r="ES66" s="246"/>
      <c r="ET66" s="246"/>
      <c r="EU66" s="246"/>
      <c r="EV66" s="243">
        <f t="shared" si="162"/>
        <v>0</v>
      </c>
      <c r="EW66" s="246"/>
      <c r="EX66" s="246"/>
      <c r="EY66" s="246"/>
      <c r="EZ66" s="246"/>
      <c r="FA66" s="246"/>
      <c r="FB66" s="246">
        <v>20</v>
      </c>
      <c r="FC66" s="246">
        <v>14.574999999999999</v>
      </c>
      <c r="FD66" s="243">
        <f t="shared" si="163"/>
        <v>17.490000000000002</v>
      </c>
      <c r="FE66" s="246">
        <v>20</v>
      </c>
      <c r="FF66" s="246"/>
      <c r="FG66" s="246"/>
      <c r="FH66" s="246"/>
      <c r="FI66" s="246"/>
      <c r="FJ66" s="246"/>
      <c r="FK66" s="246"/>
      <c r="FL66" s="243">
        <f t="shared" si="164"/>
        <v>0</v>
      </c>
      <c r="FM66" s="246"/>
      <c r="FN66" s="246"/>
      <c r="FO66" s="246"/>
      <c r="FP66" s="246"/>
      <c r="FQ66" s="246"/>
      <c r="FR66" s="246"/>
      <c r="FS66" s="246"/>
      <c r="FT66" s="243">
        <f t="shared" si="165"/>
        <v>0</v>
      </c>
      <c r="FU66" s="246"/>
      <c r="FV66" s="246"/>
      <c r="FW66" s="246"/>
      <c r="FX66" s="246"/>
      <c r="FY66" s="246"/>
      <c r="FZ66" s="246"/>
      <c r="GA66" s="246"/>
      <c r="GB66" s="243">
        <f t="shared" si="166"/>
        <v>0</v>
      </c>
      <c r="GC66" s="246"/>
      <c r="GD66" s="246"/>
      <c r="GE66" s="246"/>
      <c r="GF66" s="246"/>
      <c r="GG66" s="246"/>
      <c r="GH66" s="246"/>
      <c r="GI66" s="246"/>
      <c r="GJ66" s="243">
        <f t="shared" si="167"/>
        <v>0</v>
      </c>
      <c r="GK66" s="246"/>
      <c r="GL66" s="246"/>
      <c r="GM66" s="246"/>
      <c r="GN66" s="246"/>
      <c r="GO66" s="246"/>
      <c r="GP66" s="246"/>
      <c r="GQ66" s="246"/>
      <c r="GR66" s="243">
        <f t="shared" si="168"/>
        <v>0</v>
      </c>
      <c r="GS66" s="246"/>
      <c r="GT66" s="246"/>
      <c r="GU66" s="246"/>
      <c r="GV66" s="246"/>
      <c r="GW66" s="246"/>
      <c r="GX66" s="246"/>
      <c r="GY66" s="246"/>
      <c r="GZ66" s="243">
        <f t="shared" si="169"/>
        <v>0</v>
      </c>
      <c r="HA66" s="246"/>
      <c r="HB66" s="246"/>
      <c r="HC66" s="246"/>
      <c r="HD66" s="246"/>
      <c r="HE66" s="246"/>
      <c r="HF66" s="246"/>
      <c r="HG66" s="246"/>
      <c r="HH66" s="243">
        <f t="shared" si="170"/>
        <v>0</v>
      </c>
      <c r="HI66" s="246"/>
      <c r="HJ66" s="246"/>
      <c r="HK66" s="246"/>
      <c r="HL66" s="246"/>
      <c r="HM66" s="246"/>
      <c r="HN66" s="246"/>
      <c r="HO66" s="246"/>
      <c r="HP66" s="243">
        <f t="shared" si="171"/>
        <v>0</v>
      </c>
      <c r="HQ66" s="246"/>
      <c r="HR66" s="246"/>
      <c r="HS66" s="246"/>
      <c r="HT66" s="246"/>
      <c r="HU66" s="246"/>
      <c r="HV66" s="246"/>
      <c r="HW66" s="246"/>
      <c r="HX66" s="243">
        <f t="shared" si="172"/>
        <v>0</v>
      </c>
      <c r="HY66" s="246"/>
      <c r="HZ66" s="246"/>
      <c r="IA66" s="246"/>
      <c r="IB66" s="246"/>
      <c r="IC66" s="246"/>
      <c r="ID66" s="246"/>
      <c r="IE66" s="246"/>
      <c r="IF66" s="243">
        <f t="shared" si="173"/>
        <v>0</v>
      </c>
      <c r="IG66" s="246"/>
      <c r="IH66" s="246"/>
      <c r="II66" s="246"/>
      <c r="IJ66" s="246"/>
      <c r="IK66" s="246"/>
      <c r="IL66" s="246"/>
      <c r="IM66" s="246"/>
      <c r="IN66" s="243">
        <f t="shared" si="174"/>
        <v>0</v>
      </c>
      <c r="IO66" s="246"/>
      <c r="IP66" s="246"/>
      <c r="IQ66" s="246"/>
      <c r="IR66" s="246"/>
      <c r="IS66" s="246"/>
      <c r="IT66" s="246"/>
      <c r="IU66" s="246"/>
      <c r="IV66" s="243">
        <f t="shared" si="175"/>
        <v>0</v>
      </c>
      <c r="IW66" s="246"/>
      <c r="IX66" s="246"/>
      <c r="IY66" s="246"/>
      <c r="IZ66" s="246"/>
      <c r="JA66" s="246"/>
      <c r="JB66" s="246"/>
      <c r="JC66" s="246"/>
      <c r="JD66" s="243">
        <f t="shared" si="176"/>
        <v>0</v>
      </c>
      <c r="JE66" s="246"/>
      <c r="JF66" s="246"/>
      <c r="JG66" s="246"/>
      <c r="JH66" s="246"/>
      <c r="JI66" s="246"/>
      <c r="JJ66" s="246"/>
      <c r="JK66" s="246"/>
      <c r="JL66" s="243">
        <f t="shared" si="177"/>
        <v>0</v>
      </c>
      <c r="JM66" s="246"/>
      <c r="JN66" s="246"/>
      <c r="JO66" s="246"/>
      <c r="JP66" s="246"/>
      <c r="JQ66" s="246"/>
      <c r="JR66" s="246"/>
      <c r="JS66" s="246"/>
      <c r="JT66" s="243">
        <f t="shared" si="178"/>
        <v>0</v>
      </c>
      <c r="JU66" s="246"/>
      <c r="JV66" s="246"/>
      <c r="JW66" s="246"/>
      <c r="JX66" s="246"/>
      <c r="JY66" s="246"/>
      <c r="JZ66" s="246"/>
      <c r="KA66" s="246"/>
      <c r="KB66" s="243">
        <f t="shared" si="179"/>
        <v>0</v>
      </c>
      <c r="KC66" s="246"/>
      <c r="KD66" s="246"/>
      <c r="KE66" s="246"/>
      <c r="KF66" s="246"/>
      <c r="KG66" s="246"/>
      <c r="KH66" s="246"/>
      <c r="KI66" s="246"/>
      <c r="KJ66" s="243">
        <f t="shared" si="180"/>
        <v>0</v>
      </c>
      <c r="KK66" s="246"/>
      <c r="KL66" s="246"/>
      <c r="KM66" s="246"/>
      <c r="KN66" s="246"/>
      <c r="KO66" s="246"/>
      <c r="KP66" s="246"/>
      <c r="KQ66" s="246"/>
      <c r="KR66" s="243">
        <f t="shared" si="181"/>
        <v>0</v>
      </c>
      <c r="KS66" s="246"/>
      <c r="KT66" s="246"/>
      <c r="KU66" s="246"/>
      <c r="KV66" s="246"/>
      <c r="KW66" s="246"/>
      <c r="KX66" s="246"/>
      <c r="KY66" s="246"/>
      <c r="KZ66" s="243">
        <f t="shared" si="182"/>
        <v>0</v>
      </c>
      <c r="LA66" s="246"/>
      <c r="LB66" s="246"/>
      <c r="LC66" s="246"/>
      <c r="LD66" s="246"/>
      <c r="LE66" s="246"/>
      <c r="LF66" s="246"/>
      <c r="LG66" s="246"/>
      <c r="LH66" s="243">
        <f t="shared" si="183"/>
        <v>0</v>
      </c>
      <c r="LI66" s="246"/>
      <c r="LJ66" s="246"/>
      <c r="LK66" s="246"/>
      <c r="LL66" s="246"/>
      <c r="LM66" s="246"/>
      <c r="LN66" s="246"/>
      <c r="LO66" s="246"/>
      <c r="LP66" s="243">
        <f t="shared" si="184"/>
        <v>0</v>
      </c>
      <c r="LQ66" s="246"/>
      <c r="LR66" s="246"/>
      <c r="LS66" s="246"/>
      <c r="LT66" s="244">
        <f t="shared" si="185"/>
        <v>0</v>
      </c>
      <c r="LU66" s="246">
        <v>0</v>
      </c>
      <c r="LV66" s="246"/>
      <c r="LW66" s="246"/>
      <c r="LX66" s="246"/>
      <c r="LY66" s="246"/>
      <c r="LZ66" s="246"/>
      <c r="MA66" s="246"/>
      <c r="MB66" s="243">
        <f t="shared" si="186"/>
        <v>0</v>
      </c>
      <c r="MC66" s="246"/>
      <c r="MD66" s="246"/>
      <c r="ME66" s="246"/>
      <c r="MF66" s="246"/>
      <c r="MG66" s="246"/>
      <c r="MH66" s="246"/>
      <c r="MI66" s="246"/>
      <c r="MJ66" s="243">
        <f t="shared" si="187"/>
        <v>0</v>
      </c>
      <c r="MK66" s="246"/>
      <c r="ML66" s="246"/>
      <c r="MM66" s="246"/>
      <c r="MN66" s="246"/>
      <c r="MO66" s="246"/>
      <c r="MP66" s="246"/>
      <c r="MQ66" s="246"/>
      <c r="MR66" s="243">
        <f t="shared" si="188"/>
        <v>0</v>
      </c>
      <c r="MS66" s="271"/>
      <c r="MT66" s="246"/>
      <c r="MU66" s="246"/>
      <c r="MV66" s="246"/>
      <c r="MW66" s="246"/>
      <c r="MX66" s="246"/>
      <c r="MY66" s="246"/>
      <c r="MZ66" s="243">
        <f t="shared" si="189"/>
        <v>0</v>
      </c>
      <c r="NA66" s="246"/>
      <c r="NB66" s="246"/>
      <c r="NC66" s="246"/>
      <c r="ND66" s="243">
        <f t="shared" si="190"/>
        <v>0</v>
      </c>
      <c r="NE66" s="246">
        <v>0</v>
      </c>
      <c r="NF66" s="246"/>
      <c r="NG66" s="246"/>
      <c r="NH66" s="246"/>
      <c r="NI66" s="246"/>
      <c r="NJ66" s="246"/>
      <c r="NK66" s="246"/>
      <c r="NL66" s="243">
        <f t="shared" si="191"/>
        <v>0</v>
      </c>
      <c r="NM66" s="246"/>
      <c r="NN66" s="246"/>
      <c r="NO66" s="246"/>
      <c r="NP66" s="246"/>
      <c r="NQ66" s="246"/>
      <c r="NR66" s="246"/>
      <c r="NS66" s="246"/>
      <c r="NT66" s="243">
        <f t="shared" si="192"/>
        <v>0</v>
      </c>
      <c r="NU66" s="246"/>
      <c r="NV66" s="246"/>
      <c r="NW66" s="246"/>
      <c r="NX66" s="246"/>
      <c r="NY66" s="246"/>
      <c r="NZ66" s="246"/>
      <c r="OA66" s="246"/>
      <c r="OB66" s="243">
        <f t="shared" si="193"/>
        <v>0</v>
      </c>
      <c r="OC66" s="246"/>
      <c r="OD66" s="246"/>
      <c r="OE66" s="246"/>
      <c r="OF66" s="246"/>
      <c r="OG66" s="246"/>
      <c r="OH66" s="246"/>
      <c r="OI66" s="246"/>
      <c r="OJ66" s="243">
        <f t="shared" si="194"/>
        <v>0</v>
      </c>
      <c r="OK66" s="246"/>
      <c r="OL66" s="246"/>
      <c r="OM66" s="246"/>
      <c r="ON66" s="246"/>
      <c r="OO66" s="246"/>
      <c r="OP66" s="246"/>
      <c r="OQ66" s="246"/>
      <c r="OR66" s="243">
        <f t="shared" si="195"/>
        <v>0</v>
      </c>
      <c r="OS66" s="246"/>
      <c r="OT66" s="246"/>
      <c r="OU66" s="246"/>
      <c r="OV66" s="246"/>
      <c r="OW66" s="246"/>
      <c r="OX66" s="246"/>
      <c r="OY66" s="246"/>
      <c r="OZ66" s="243">
        <f t="shared" si="196"/>
        <v>0</v>
      </c>
      <c r="PA66" s="247"/>
      <c r="PB66" s="246"/>
      <c r="PC66" s="246"/>
      <c r="PD66" s="243">
        <f t="shared" si="197"/>
        <v>0</v>
      </c>
      <c r="PE66" s="247"/>
      <c r="PF66" s="246"/>
      <c r="PG66" s="246"/>
      <c r="PH66" s="246"/>
      <c r="PI66" s="246"/>
      <c r="PJ66" s="246"/>
      <c r="PK66" s="246"/>
      <c r="PL66" s="243">
        <f t="shared" si="139"/>
        <v>0</v>
      </c>
      <c r="PM66" s="247"/>
      <c r="PN66" s="246"/>
      <c r="PO66" s="246"/>
      <c r="PP66" s="246"/>
      <c r="PQ66" s="246"/>
      <c r="PR66" s="246">
        <v>-20</v>
      </c>
      <c r="PS66" s="246">
        <v>0</v>
      </c>
      <c r="PT66" s="243">
        <f t="shared" si="198"/>
        <v>0</v>
      </c>
      <c r="PU66" s="246"/>
      <c r="PV66" s="246"/>
      <c r="PW66" s="246"/>
      <c r="PX66" s="246"/>
      <c r="PY66" s="246"/>
      <c r="PZ66" s="246"/>
      <c r="QA66" s="246"/>
      <c r="QB66" s="243">
        <f t="shared" si="199"/>
        <v>0</v>
      </c>
      <c r="QC66" s="246"/>
      <c r="QD66" s="246"/>
      <c r="QE66" s="246"/>
      <c r="QF66" s="246"/>
      <c r="QG66" s="246"/>
      <c r="QH66" s="246"/>
      <c r="QI66" s="246"/>
      <c r="QJ66" s="243">
        <f t="shared" si="200"/>
        <v>0</v>
      </c>
      <c r="QK66" s="246">
        <v>0</v>
      </c>
      <c r="QL66" s="246"/>
      <c r="QM66" s="246"/>
      <c r="QN66" s="246"/>
      <c r="QO66" s="246"/>
      <c r="QP66" s="243">
        <f t="shared" si="201"/>
        <v>0</v>
      </c>
      <c r="QQ66" s="243">
        <f t="shared" si="140"/>
        <v>0</v>
      </c>
      <c r="QR66" s="246"/>
      <c r="QS66" s="246"/>
      <c r="QT66" s="246"/>
      <c r="QU66" s="246"/>
      <c r="QV66" s="243">
        <f t="shared" si="202"/>
        <v>0</v>
      </c>
      <c r="QW66" s="246"/>
      <c r="QX66" s="246"/>
      <c r="QY66" s="246"/>
      <c r="QZ66" s="246"/>
      <c r="RA66" s="246"/>
      <c r="RB66" s="246"/>
      <c r="RC66" s="246"/>
      <c r="RD66" s="243">
        <f t="shared" si="203"/>
        <v>0</v>
      </c>
      <c r="RE66" s="300"/>
      <c r="RF66" s="259">
        <f t="shared" si="101"/>
        <v>0</v>
      </c>
      <c r="RG66" s="259">
        <f t="shared" si="141"/>
        <v>14.574999999999999</v>
      </c>
      <c r="RH66" s="259">
        <f t="shared" si="142"/>
        <v>17.490000000000002</v>
      </c>
      <c r="RI66" s="256">
        <f t="shared" si="143"/>
        <v>20</v>
      </c>
    </row>
    <row r="67" spans="1:477">
      <c r="A67" s="8" t="s">
        <v>108</v>
      </c>
      <c r="B67" s="264"/>
      <c r="C67" s="249"/>
      <c r="D67" s="249"/>
      <c r="E67" s="249"/>
      <c r="F67" s="249"/>
      <c r="G67" s="243"/>
      <c r="H67" s="243">
        <f t="shared" si="144"/>
        <v>0</v>
      </c>
      <c r="I67" s="249"/>
      <c r="J67" s="249"/>
      <c r="K67" s="249"/>
      <c r="L67" s="249"/>
      <c r="M67" s="249"/>
      <c r="N67" s="249"/>
      <c r="O67" s="249"/>
      <c r="P67" s="243">
        <f t="shared" si="145"/>
        <v>0</v>
      </c>
      <c r="Q67" s="249"/>
      <c r="R67" s="249"/>
      <c r="S67" s="249"/>
      <c r="T67" s="249"/>
      <c r="U67" s="249"/>
      <c r="V67" s="249"/>
      <c r="W67" s="250"/>
      <c r="X67" s="243">
        <f t="shared" si="146"/>
        <v>0</v>
      </c>
      <c r="Y67" s="249"/>
      <c r="Z67" s="249"/>
      <c r="AA67" s="249"/>
      <c r="AB67" s="249"/>
      <c r="AC67" s="249"/>
      <c r="AD67" s="249"/>
      <c r="AE67" s="249"/>
      <c r="AF67" s="243">
        <f t="shared" si="147"/>
        <v>0</v>
      </c>
      <c r="AG67" s="249"/>
      <c r="AH67" s="249"/>
      <c r="AI67" s="249"/>
      <c r="AJ67" s="249"/>
      <c r="AK67" s="249"/>
      <c r="AL67" s="249"/>
      <c r="AM67" s="249"/>
      <c r="AN67" s="243">
        <f t="shared" si="148"/>
        <v>0</v>
      </c>
      <c r="AO67" s="249"/>
      <c r="AP67" s="249"/>
      <c r="AQ67" s="249"/>
      <c r="AR67" s="249"/>
      <c r="AS67" s="249"/>
      <c r="AT67" s="249"/>
      <c r="AU67" s="249"/>
      <c r="AV67" s="243">
        <f t="shared" si="149"/>
        <v>0</v>
      </c>
      <c r="AW67" s="249"/>
      <c r="AX67" s="249"/>
      <c r="AY67" s="249"/>
      <c r="AZ67" s="249"/>
      <c r="BA67" s="249"/>
      <c r="BB67" s="249"/>
      <c r="BC67" s="249"/>
      <c r="BD67" s="243">
        <f t="shared" si="150"/>
        <v>0</v>
      </c>
      <c r="BE67" s="249"/>
      <c r="BF67" s="249"/>
      <c r="BG67" s="249"/>
      <c r="BH67" s="249"/>
      <c r="BI67" s="249"/>
      <c r="BJ67" s="249"/>
      <c r="BK67" s="249"/>
      <c r="BL67" s="243">
        <f t="shared" si="151"/>
        <v>0</v>
      </c>
      <c r="BM67" s="249"/>
      <c r="BN67" s="249">
        <v>0</v>
      </c>
      <c r="BO67" s="249">
        <v>0.21611</v>
      </c>
      <c r="BP67" s="249">
        <v>0.22067453692399999</v>
      </c>
      <c r="BQ67" s="249">
        <v>0</v>
      </c>
      <c r="BR67" s="249"/>
      <c r="BS67" s="249"/>
      <c r="BT67" s="243">
        <f t="shared" si="152"/>
        <v>0</v>
      </c>
      <c r="BU67" s="249">
        <v>0</v>
      </c>
      <c r="BV67" s="249"/>
      <c r="BW67" s="249"/>
      <c r="BX67" s="249"/>
      <c r="BY67" s="249"/>
      <c r="BZ67" s="249"/>
      <c r="CA67" s="249"/>
      <c r="CB67" s="243">
        <f t="shared" si="153"/>
        <v>0</v>
      </c>
      <c r="CC67" s="249"/>
      <c r="CD67" s="249"/>
      <c r="CE67" s="249"/>
      <c r="CF67" s="249"/>
      <c r="CG67" s="249"/>
      <c r="CH67" s="249"/>
      <c r="CI67" s="249"/>
      <c r="CJ67" s="243">
        <f t="shared" si="154"/>
        <v>0</v>
      </c>
      <c r="CK67" s="249"/>
      <c r="CL67" s="249">
        <v>0</v>
      </c>
      <c r="CM67" s="249">
        <v>0.16250000000000001</v>
      </c>
      <c r="CN67" s="249">
        <v>0.16593222086000001</v>
      </c>
      <c r="CO67" s="249">
        <v>0</v>
      </c>
      <c r="CP67" s="249"/>
      <c r="CQ67" s="249"/>
      <c r="CR67" s="243">
        <f t="shared" si="155"/>
        <v>0</v>
      </c>
      <c r="CS67" s="249">
        <v>0</v>
      </c>
      <c r="CT67" s="249">
        <v>3</v>
      </c>
      <c r="CU67" s="249">
        <v>8.5059700000000014</v>
      </c>
      <c r="CV67" s="249">
        <v>8.6856276472319998</v>
      </c>
      <c r="CW67" s="249">
        <v>3.456</v>
      </c>
      <c r="CX67" s="249">
        <v>8.9999997165209997</v>
      </c>
      <c r="CY67" s="249">
        <v>0</v>
      </c>
      <c r="CZ67" s="243">
        <f t="shared" si="156"/>
        <v>0</v>
      </c>
      <c r="DA67" s="249">
        <v>3</v>
      </c>
      <c r="DB67" s="249">
        <v>0</v>
      </c>
      <c r="DC67" s="249">
        <v>1.18483</v>
      </c>
      <c r="DD67" s="249">
        <v>1.2098552199529999</v>
      </c>
      <c r="DE67" s="249">
        <v>0</v>
      </c>
      <c r="DF67" s="249"/>
      <c r="DG67" s="249"/>
      <c r="DH67" s="243">
        <f t="shared" si="157"/>
        <v>0</v>
      </c>
      <c r="DI67" s="249">
        <v>0</v>
      </c>
      <c r="DJ67" s="249"/>
      <c r="DK67" s="249"/>
      <c r="DL67" s="249"/>
      <c r="DM67" s="249"/>
      <c r="DN67" s="249"/>
      <c r="DO67" s="249"/>
      <c r="DP67" s="243">
        <f t="shared" si="158"/>
        <v>0</v>
      </c>
      <c r="DQ67" s="249"/>
      <c r="DR67" s="249"/>
      <c r="DS67" s="249"/>
      <c r="DT67" s="249"/>
      <c r="DU67" s="249"/>
      <c r="DV67" s="249"/>
      <c r="DW67" s="249"/>
      <c r="DX67" s="243">
        <f t="shared" si="159"/>
        <v>0</v>
      </c>
      <c r="DY67" s="249"/>
      <c r="DZ67" s="249"/>
      <c r="EA67" s="249"/>
      <c r="EB67" s="249"/>
      <c r="EC67" s="249"/>
      <c r="ED67" s="249"/>
      <c r="EE67" s="249"/>
      <c r="EF67" s="243">
        <f t="shared" si="160"/>
        <v>0</v>
      </c>
      <c r="EG67" s="249"/>
      <c r="EH67" s="249"/>
      <c r="EI67" s="249"/>
      <c r="EJ67" s="249"/>
      <c r="EK67" s="249"/>
      <c r="EL67" s="249"/>
      <c r="EM67" s="249"/>
      <c r="EN67" s="243">
        <f t="shared" si="161"/>
        <v>0</v>
      </c>
      <c r="EO67" s="249"/>
      <c r="EP67" s="249"/>
      <c r="EQ67" s="249"/>
      <c r="ER67" s="249"/>
      <c r="ES67" s="249"/>
      <c r="ET67" s="249"/>
      <c r="EU67" s="249"/>
      <c r="EV67" s="243">
        <f t="shared" si="162"/>
        <v>0</v>
      </c>
      <c r="EW67" s="249"/>
      <c r="EX67" s="249"/>
      <c r="EY67" s="249"/>
      <c r="EZ67" s="249"/>
      <c r="FA67" s="249"/>
      <c r="FB67" s="249"/>
      <c r="FC67" s="249"/>
      <c r="FD67" s="243">
        <f t="shared" si="163"/>
        <v>0</v>
      </c>
      <c r="FE67" s="249"/>
      <c r="FF67" s="249"/>
      <c r="FG67" s="249"/>
      <c r="FH67" s="249"/>
      <c r="FI67" s="249"/>
      <c r="FJ67" s="249"/>
      <c r="FK67" s="249"/>
      <c r="FL67" s="243">
        <f t="shared" si="164"/>
        <v>0</v>
      </c>
      <c r="FM67" s="249"/>
      <c r="FN67" s="249"/>
      <c r="FO67" s="249"/>
      <c r="FP67" s="249"/>
      <c r="FQ67" s="249"/>
      <c r="FR67" s="249"/>
      <c r="FS67" s="249"/>
      <c r="FT67" s="243">
        <f t="shared" si="165"/>
        <v>0</v>
      </c>
      <c r="FU67" s="249"/>
      <c r="FV67" s="249">
        <v>3633.1961207530098</v>
      </c>
      <c r="FW67" s="249">
        <v>3465.7323100000012</v>
      </c>
      <c r="FX67" s="249">
        <v>3531.9338074854199</v>
      </c>
      <c r="FY67" s="249">
        <v>3455.6821700000005</v>
      </c>
      <c r="FZ67" s="282">
        <v>3477.99989045143</v>
      </c>
      <c r="GA67" s="249">
        <v>2713.9500900000003</v>
      </c>
      <c r="GB67" s="243">
        <f t="shared" si="166"/>
        <v>3256.740108</v>
      </c>
      <c r="GC67" s="282">
        <v>3455.6821700000005</v>
      </c>
      <c r="GD67" s="249">
        <v>1311.3378309501709</v>
      </c>
      <c r="GE67" s="249">
        <v>927.22190999999793</v>
      </c>
      <c r="GF67" s="249">
        <v>1029.806114196766</v>
      </c>
      <c r="GG67" s="249">
        <v>842.44778999999892</v>
      </c>
      <c r="GH67" s="249">
        <v>914.37142469865205</v>
      </c>
      <c r="GI67" s="249">
        <v>502.5222</v>
      </c>
      <c r="GJ67" s="243">
        <f t="shared" si="167"/>
        <v>603.02664000000004</v>
      </c>
      <c r="GK67" s="249">
        <v>900</v>
      </c>
      <c r="GL67" s="249"/>
      <c r="GM67" s="249"/>
      <c r="GN67" s="249"/>
      <c r="GO67" s="249"/>
      <c r="GP67" s="249"/>
      <c r="GQ67" s="249"/>
      <c r="GR67" s="243">
        <f t="shared" si="168"/>
        <v>0</v>
      </c>
      <c r="GS67" s="249"/>
      <c r="GT67" s="249"/>
      <c r="GU67" s="249"/>
      <c r="GV67" s="249"/>
      <c r="GW67" s="249"/>
      <c r="GX67" s="250">
        <v>0</v>
      </c>
      <c r="GY67" s="250">
        <v>0</v>
      </c>
      <c r="GZ67" s="244">
        <f t="shared" si="169"/>
        <v>0</v>
      </c>
      <c r="HA67" s="250">
        <v>0</v>
      </c>
      <c r="HB67" s="249"/>
      <c r="HC67" s="249"/>
      <c r="HD67" s="249"/>
      <c r="HE67" s="249"/>
      <c r="HF67" s="249"/>
      <c r="HG67" s="249"/>
      <c r="HH67" s="243">
        <f t="shared" si="170"/>
        <v>0</v>
      </c>
      <c r="HI67" s="249"/>
      <c r="HJ67" s="249"/>
      <c r="HK67" s="249"/>
      <c r="HL67" s="249"/>
      <c r="HM67" s="249"/>
      <c r="HN67" s="249"/>
      <c r="HO67" s="249"/>
      <c r="HP67" s="243">
        <f t="shared" si="171"/>
        <v>0</v>
      </c>
      <c r="HQ67" s="249"/>
      <c r="HR67" s="249"/>
      <c r="HS67" s="249"/>
      <c r="HT67" s="249"/>
      <c r="HU67" s="249"/>
      <c r="HV67" s="249"/>
      <c r="HW67" s="249"/>
      <c r="HX67" s="243">
        <f t="shared" si="172"/>
        <v>0</v>
      </c>
      <c r="HY67" s="249"/>
      <c r="HZ67" s="249"/>
      <c r="IA67" s="249"/>
      <c r="IB67" s="249"/>
      <c r="IC67" s="249"/>
      <c r="ID67" s="249"/>
      <c r="IE67" s="249"/>
      <c r="IF67" s="243">
        <f t="shared" si="173"/>
        <v>0</v>
      </c>
      <c r="IG67" s="249"/>
      <c r="IH67" s="249"/>
      <c r="II67" s="249"/>
      <c r="IJ67" s="249"/>
      <c r="IK67" s="249"/>
      <c r="IL67" s="249"/>
      <c r="IM67" s="249"/>
      <c r="IN67" s="243">
        <f t="shared" si="174"/>
        <v>0</v>
      </c>
      <c r="IO67" s="249"/>
      <c r="IP67" s="249"/>
      <c r="IQ67" s="249"/>
      <c r="IR67" s="249"/>
      <c r="IS67" s="249"/>
      <c r="IT67" s="249"/>
      <c r="IU67" s="249"/>
      <c r="IV67" s="243">
        <f t="shared" si="175"/>
        <v>0</v>
      </c>
      <c r="IW67" s="249"/>
      <c r="IX67" s="249"/>
      <c r="IY67" s="249"/>
      <c r="IZ67" s="249"/>
      <c r="JA67" s="249"/>
      <c r="JB67" s="249"/>
      <c r="JC67" s="249"/>
      <c r="JD67" s="243">
        <f t="shared" si="176"/>
        <v>0</v>
      </c>
      <c r="JE67" s="249"/>
      <c r="JF67" s="249"/>
      <c r="JG67" s="249"/>
      <c r="JH67" s="249"/>
      <c r="JI67" s="249"/>
      <c r="JJ67" s="249"/>
      <c r="JK67" s="249"/>
      <c r="JL67" s="243">
        <f t="shared" si="177"/>
        <v>0</v>
      </c>
      <c r="JM67" s="249"/>
      <c r="JN67" s="249"/>
      <c r="JO67" s="249"/>
      <c r="JP67" s="249"/>
      <c r="JQ67" s="249"/>
      <c r="JR67" s="249"/>
      <c r="JS67" s="249"/>
      <c r="JT67" s="243">
        <f t="shared" si="178"/>
        <v>0</v>
      </c>
      <c r="JU67" s="249"/>
      <c r="JV67" s="249">
        <v>0</v>
      </c>
      <c r="JW67" s="249">
        <v>0.83535999999999999</v>
      </c>
      <c r="JX67" s="249">
        <v>0.85300393857300005</v>
      </c>
      <c r="JY67" s="249">
        <v>0.29289999999999999</v>
      </c>
      <c r="JZ67" s="249"/>
      <c r="KA67" s="249"/>
      <c r="KB67" s="243">
        <f t="shared" si="179"/>
        <v>0</v>
      </c>
      <c r="KC67" s="249">
        <v>0.29289999999999999</v>
      </c>
      <c r="KD67" s="249"/>
      <c r="KE67" s="249"/>
      <c r="KF67" s="249"/>
      <c r="KG67" s="249"/>
      <c r="KH67" s="249"/>
      <c r="KI67" s="249"/>
      <c r="KJ67" s="243">
        <f t="shared" si="180"/>
        <v>0</v>
      </c>
      <c r="KK67" s="249"/>
      <c r="KL67" s="249"/>
      <c r="KM67" s="249"/>
      <c r="KN67" s="249"/>
      <c r="KO67" s="249"/>
      <c r="KP67" s="249"/>
      <c r="KQ67" s="249"/>
      <c r="KR67" s="243">
        <f t="shared" si="181"/>
        <v>0</v>
      </c>
      <c r="KS67" s="249"/>
      <c r="KT67" s="249"/>
      <c r="KU67" s="249"/>
      <c r="KV67" s="249"/>
      <c r="KW67" s="249"/>
      <c r="KX67" s="249"/>
      <c r="KY67" s="249"/>
      <c r="KZ67" s="243">
        <f t="shared" si="182"/>
        <v>0</v>
      </c>
      <c r="LA67" s="249"/>
      <c r="LB67" s="249"/>
      <c r="LC67" s="249"/>
      <c r="LD67" s="249"/>
      <c r="LE67" s="249"/>
      <c r="LF67" s="249"/>
      <c r="LG67" s="249"/>
      <c r="LH67" s="243">
        <f t="shared" si="183"/>
        <v>0</v>
      </c>
      <c r="LI67" s="249"/>
      <c r="LJ67" s="249"/>
      <c r="LK67" s="249"/>
      <c r="LL67" s="249"/>
      <c r="LM67" s="249"/>
      <c r="LN67" s="249"/>
      <c r="LO67" s="249"/>
      <c r="LP67" s="243">
        <f t="shared" si="184"/>
        <v>0</v>
      </c>
      <c r="LQ67" s="249"/>
      <c r="LR67" s="249"/>
      <c r="LS67" s="249"/>
      <c r="LT67" s="244">
        <f t="shared" si="185"/>
        <v>0</v>
      </c>
      <c r="LU67" s="249">
        <v>0</v>
      </c>
      <c r="LV67" s="249"/>
      <c r="LW67" s="249"/>
      <c r="LX67" s="249"/>
      <c r="LY67" s="249"/>
      <c r="LZ67" s="249"/>
      <c r="MA67" s="249"/>
      <c r="MB67" s="243">
        <f t="shared" si="186"/>
        <v>0</v>
      </c>
      <c r="MC67" s="249"/>
      <c r="MD67" s="249"/>
      <c r="ME67" s="249"/>
      <c r="MF67" s="249"/>
      <c r="MG67" s="249"/>
      <c r="MH67" s="249"/>
      <c r="MI67" s="249"/>
      <c r="MJ67" s="243">
        <f t="shared" si="187"/>
        <v>0</v>
      </c>
      <c r="MK67" s="249"/>
      <c r="ML67" s="249"/>
      <c r="MM67" s="249"/>
      <c r="MN67" s="249"/>
      <c r="MO67" s="249"/>
      <c r="MP67" s="249"/>
      <c r="MQ67" s="249"/>
      <c r="MR67" s="243">
        <f t="shared" si="188"/>
        <v>0</v>
      </c>
      <c r="MS67" s="274"/>
      <c r="MT67" s="249"/>
      <c r="MU67" s="249"/>
      <c r="MV67" s="249"/>
      <c r="MW67" s="249"/>
      <c r="MX67" s="249"/>
      <c r="MY67" s="249"/>
      <c r="MZ67" s="243">
        <f t="shared" si="189"/>
        <v>0</v>
      </c>
      <c r="NA67" s="249"/>
      <c r="NB67" s="249"/>
      <c r="NC67" s="249"/>
      <c r="ND67" s="243">
        <f t="shared" si="190"/>
        <v>0</v>
      </c>
      <c r="NE67" s="249">
        <v>0</v>
      </c>
      <c r="NF67" s="249"/>
      <c r="NG67" s="249"/>
      <c r="NH67" s="249"/>
      <c r="NI67" s="249"/>
      <c r="NJ67" s="249"/>
      <c r="NK67" s="249"/>
      <c r="NL67" s="243">
        <f t="shared" si="191"/>
        <v>0</v>
      </c>
      <c r="NM67" s="249"/>
      <c r="NN67" s="249"/>
      <c r="NO67" s="249"/>
      <c r="NP67" s="249"/>
      <c r="NQ67" s="249"/>
      <c r="NR67" s="249"/>
      <c r="NS67" s="249"/>
      <c r="NT67" s="243">
        <f t="shared" si="192"/>
        <v>0</v>
      </c>
      <c r="NU67" s="249"/>
      <c r="NV67" s="249"/>
      <c r="NW67" s="249"/>
      <c r="NX67" s="249"/>
      <c r="NY67" s="249"/>
      <c r="NZ67" s="249"/>
      <c r="OA67" s="249"/>
      <c r="OB67" s="243">
        <f t="shared" si="193"/>
        <v>0</v>
      </c>
      <c r="OC67" s="249"/>
      <c r="OD67" s="249">
        <v>1</v>
      </c>
      <c r="OE67" s="249">
        <v>3.0585</v>
      </c>
      <c r="OF67" s="249">
        <v>3.1230996769389998</v>
      </c>
      <c r="OG67" s="249">
        <v>3.5675900000000009</v>
      </c>
      <c r="OH67" s="249">
        <v>2.9999999055069999</v>
      </c>
      <c r="OI67" s="249">
        <v>2.2748600000000003</v>
      </c>
      <c r="OJ67" s="243">
        <f t="shared" si="194"/>
        <v>2.729832</v>
      </c>
      <c r="OK67" s="249">
        <v>3.5675900000000009</v>
      </c>
      <c r="OL67" s="249"/>
      <c r="OM67" s="249"/>
      <c r="ON67" s="249"/>
      <c r="OO67" s="249"/>
      <c r="OP67" s="249"/>
      <c r="OQ67" s="249"/>
      <c r="OR67" s="243">
        <f t="shared" si="195"/>
        <v>0</v>
      </c>
      <c r="OS67" s="249"/>
      <c r="OT67" s="249"/>
      <c r="OU67" s="249"/>
      <c r="OV67" s="249">
        <v>0</v>
      </c>
      <c r="OW67" s="249">
        <v>0.74818000000000007</v>
      </c>
      <c r="OX67" s="249"/>
      <c r="OY67" s="249"/>
      <c r="OZ67" s="243">
        <f t="shared" si="196"/>
        <v>0</v>
      </c>
      <c r="PA67" s="250"/>
      <c r="PB67" s="249"/>
      <c r="PC67" s="249"/>
      <c r="PD67" s="243">
        <f t="shared" si="197"/>
        <v>0</v>
      </c>
      <c r="PE67" s="250"/>
      <c r="PF67" s="249"/>
      <c r="PG67" s="249"/>
      <c r="PH67" s="249"/>
      <c r="PI67" s="249"/>
      <c r="PJ67" s="249"/>
      <c r="PK67" s="249"/>
      <c r="PL67" s="243">
        <f t="shared" si="139"/>
        <v>0</v>
      </c>
      <c r="PM67" s="250"/>
      <c r="PN67" s="249">
        <v>-419.50020162602698</v>
      </c>
      <c r="PO67" s="249">
        <v>0</v>
      </c>
      <c r="PP67" s="249">
        <v>-76.3</v>
      </c>
      <c r="PQ67" s="249">
        <v>0</v>
      </c>
      <c r="PR67" s="249">
        <v>119.999996220291</v>
      </c>
      <c r="PS67" s="249">
        <v>0</v>
      </c>
      <c r="PT67" s="243">
        <f t="shared" si="198"/>
        <v>0</v>
      </c>
      <c r="PU67" s="249"/>
      <c r="PV67" s="249"/>
      <c r="PW67" s="249"/>
      <c r="PX67" s="249"/>
      <c r="PY67" s="249"/>
      <c r="PZ67" s="249"/>
      <c r="QA67" s="249"/>
      <c r="QB67" s="243">
        <f t="shared" si="199"/>
        <v>0</v>
      </c>
      <c r="QC67" s="249"/>
      <c r="QD67" s="249"/>
      <c r="QE67" s="249"/>
      <c r="QF67" s="249"/>
      <c r="QG67" s="249"/>
      <c r="QH67" s="249"/>
      <c r="QI67" s="249"/>
      <c r="QJ67" s="243">
        <f t="shared" si="200"/>
        <v>0</v>
      </c>
      <c r="QK67" s="249">
        <v>0</v>
      </c>
      <c r="QL67" s="249"/>
      <c r="QM67" s="249"/>
      <c r="QN67" s="249"/>
      <c r="QO67" s="249"/>
      <c r="QP67" s="243">
        <f t="shared" si="201"/>
        <v>0</v>
      </c>
      <c r="QQ67" s="243">
        <f t="shared" si="140"/>
        <v>0</v>
      </c>
      <c r="QR67" s="249"/>
      <c r="QS67" s="249"/>
      <c r="QT67" s="249"/>
      <c r="QU67" s="249"/>
      <c r="QV67" s="243">
        <f t="shared" si="202"/>
        <v>0</v>
      </c>
      <c r="QW67" s="249"/>
      <c r="QX67" s="249"/>
      <c r="QY67" s="249"/>
      <c r="QZ67" s="249"/>
      <c r="RA67" s="249"/>
      <c r="RB67" s="249"/>
      <c r="RC67" s="249"/>
      <c r="RD67" s="243">
        <f t="shared" si="203"/>
        <v>0</v>
      </c>
      <c r="RE67" s="301"/>
      <c r="RF67" s="259">
        <f t="shared" si="101"/>
        <v>4524.371310992401</v>
      </c>
      <c r="RG67" s="259">
        <f t="shared" si="141"/>
        <v>3218.7471500000001</v>
      </c>
      <c r="RH67" s="259">
        <f t="shared" si="142"/>
        <v>3862.49658</v>
      </c>
      <c r="RI67" s="256">
        <f t="shared" si="143"/>
        <v>4362.542660000001</v>
      </c>
    </row>
    <row r="68" spans="1:477">
      <c r="A68" s="8" t="s">
        <v>140</v>
      </c>
      <c r="B68" s="264"/>
      <c r="C68" s="249"/>
      <c r="D68" s="249"/>
      <c r="E68" s="249"/>
      <c r="F68" s="249"/>
      <c r="G68" s="243"/>
      <c r="H68" s="243">
        <f t="shared" si="144"/>
        <v>0</v>
      </c>
      <c r="I68" s="282">
        <v>4200</v>
      </c>
      <c r="J68" s="249"/>
      <c r="K68" s="249"/>
      <c r="L68" s="249"/>
      <c r="M68" s="249"/>
      <c r="N68" s="249"/>
      <c r="O68" s="249"/>
      <c r="P68" s="243">
        <f t="shared" si="145"/>
        <v>0</v>
      </c>
      <c r="Q68" s="249"/>
      <c r="R68" s="249"/>
      <c r="S68" s="249"/>
      <c r="T68" s="249"/>
      <c r="U68" s="249"/>
      <c r="V68" s="249"/>
      <c r="W68" s="250"/>
      <c r="X68" s="243">
        <f t="shared" si="146"/>
        <v>0</v>
      </c>
      <c r="Y68" s="249"/>
      <c r="Z68" s="249"/>
      <c r="AA68" s="249"/>
      <c r="AB68" s="249"/>
      <c r="AC68" s="249"/>
      <c r="AD68" s="249"/>
      <c r="AE68" s="249"/>
      <c r="AF68" s="243">
        <f t="shared" si="147"/>
        <v>0</v>
      </c>
      <c r="AG68" s="249"/>
      <c r="AH68" s="249"/>
      <c r="AI68" s="249"/>
      <c r="AJ68" s="249"/>
      <c r="AK68" s="249"/>
      <c r="AL68" s="249"/>
      <c r="AM68" s="249"/>
      <c r="AN68" s="243">
        <f t="shared" si="148"/>
        <v>0</v>
      </c>
      <c r="AO68" s="249"/>
      <c r="AP68" s="249"/>
      <c r="AQ68" s="249"/>
      <c r="AR68" s="249"/>
      <c r="AS68" s="249"/>
      <c r="AT68" s="249"/>
      <c r="AU68" s="249"/>
      <c r="AV68" s="243">
        <f t="shared" si="149"/>
        <v>0</v>
      </c>
      <c r="AW68" s="249"/>
      <c r="AX68" s="249"/>
      <c r="AY68" s="249"/>
      <c r="AZ68" s="249"/>
      <c r="BA68" s="249"/>
      <c r="BB68" s="249"/>
      <c r="BC68" s="249"/>
      <c r="BD68" s="243">
        <f t="shared" si="150"/>
        <v>0</v>
      </c>
      <c r="BE68" s="249"/>
      <c r="BF68" s="249"/>
      <c r="BG68" s="249"/>
      <c r="BH68" s="249"/>
      <c r="BI68" s="249"/>
      <c r="BJ68" s="249"/>
      <c r="BK68" s="249"/>
      <c r="BL68" s="243">
        <f t="shared" si="151"/>
        <v>0</v>
      </c>
      <c r="BM68" s="249"/>
      <c r="BN68" s="249"/>
      <c r="BO68" s="249"/>
      <c r="BP68" s="249"/>
      <c r="BQ68" s="249"/>
      <c r="BR68" s="249"/>
      <c r="BS68" s="249"/>
      <c r="BT68" s="243">
        <f t="shared" si="152"/>
        <v>0</v>
      </c>
      <c r="BU68" s="249"/>
      <c r="BV68" s="249"/>
      <c r="BW68" s="249"/>
      <c r="BX68" s="249"/>
      <c r="BY68" s="249"/>
      <c r="BZ68" s="249"/>
      <c r="CA68" s="249"/>
      <c r="CB68" s="243">
        <f t="shared" si="153"/>
        <v>0</v>
      </c>
      <c r="CC68" s="249"/>
      <c r="CD68" s="249"/>
      <c r="CE68" s="249"/>
      <c r="CF68" s="249"/>
      <c r="CG68" s="249"/>
      <c r="CH68" s="249"/>
      <c r="CI68" s="249"/>
      <c r="CJ68" s="243">
        <f t="shared" si="154"/>
        <v>0</v>
      </c>
      <c r="CK68" s="249"/>
      <c r="CL68" s="249"/>
      <c r="CM68" s="249"/>
      <c r="CN68" s="249"/>
      <c r="CO68" s="249"/>
      <c r="CP68" s="249"/>
      <c r="CQ68" s="249"/>
      <c r="CR68" s="243">
        <f t="shared" si="155"/>
        <v>0</v>
      </c>
      <c r="CS68" s="249"/>
      <c r="CT68" s="249"/>
      <c r="CU68" s="249"/>
      <c r="CV68" s="249"/>
      <c r="CW68" s="249"/>
      <c r="CX68" s="249"/>
      <c r="CY68" s="249"/>
      <c r="CZ68" s="243">
        <f t="shared" si="156"/>
        <v>0</v>
      </c>
      <c r="DA68" s="249"/>
      <c r="DB68" s="249"/>
      <c r="DC68" s="249"/>
      <c r="DD68" s="249"/>
      <c r="DE68" s="249"/>
      <c r="DF68" s="249"/>
      <c r="DG68" s="249"/>
      <c r="DH68" s="243">
        <f t="shared" si="157"/>
        <v>0</v>
      </c>
      <c r="DI68" s="249"/>
      <c r="DJ68" s="249"/>
      <c r="DK68" s="249"/>
      <c r="DL68" s="249"/>
      <c r="DM68" s="249"/>
      <c r="DN68" s="249"/>
      <c r="DO68" s="249"/>
      <c r="DP68" s="243">
        <f t="shared" si="158"/>
        <v>0</v>
      </c>
      <c r="DQ68" s="249"/>
      <c r="DR68" s="249"/>
      <c r="DS68" s="249"/>
      <c r="DT68" s="249"/>
      <c r="DU68" s="249"/>
      <c r="DV68" s="249"/>
      <c r="DW68" s="249"/>
      <c r="DX68" s="243">
        <f t="shared" si="159"/>
        <v>0</v>
      </c>
      <c r="DY68" s="249"/>
      <c r="DZ68" s="249"/>
      <c r="EA68" s="249"/>
      <c r="EB68" s="249"/>
      <c r="EC68" s="249"/>
      <c r="ED68" s="249"/>
      <c r="EE68" s="249"/>
      <c r="EF68" s="243">
        <f t="shared" si="160"/>
        <v>0</v>
      </c>
      <c r="EG68" s="249"/>
      <c r="EH68" s="249"/>
      <c r="EI68" s="249"/>
      <c r="EJ68" s="249"/>
      <c r="EK68" s="249"/>
      <c r="EL68" s="249"/>
      <c r="EM68" s="249"/>
      <c r="EN68" s="243">
        <f t="shared" si="161"/>
        <v>0</v>
      </c>
      <c r="EO68" s="249"/>
      <c r="EP68" s="249"/>
      <c r="EQ68" s="249"/>
      <c r="ER68" s="249"/>
      <c r="ES68" s="249"/>
      <c r="ET68" s="249"/>
      <c r="EU68" s="249"/>
      <c r="EV68" s="243">
        <f t="shared" si="162"/>
        <v>0</v>
      </c>
      <c r="EW68" s="249"/>
      <c r="EX68" s="249"/>
      <c r="EY68" s="249"/>
      <c r="EZ68" s="249"/>
      <c r="FA68" s="249"/>
      <c r="FB68" s="249"/>
      <c r="FC68" s="249"/>
      <c r="FD68" s="243">
        <f t="shared" si="163"/>
        <v>0</v>
      </c>
      <c r="FE68" s="249"/>
      <c r="FF68" s="249"/>
      <c r="FG68" s="249"/>
      <c r="FH68" s="249"/>
      <c r="FI68" s="249"/>
      <c r="FJ68" s="249"/>
      <c r="FK68" s="249"/>
      <c r="FL68" s="243">
        <f t="shared" si="164"/>
        <v>0</v>
      </c>
      <c r="FM68" s="249"/>
      <c r="FN68" s="249"/>
      <c r="FO68" s="249"/>
      <c r="FP68" s="249"/>
      <c r="FQ68" s="249"/>
      <c r="FR68" s="249"/>
      <c r="FS68" s="249"/>
      <c r="FT68" s="243">
        <f t="shared" si="165"/>
        <v>0</v>
      </c>
      <c r="FU68" s="249"/>
      <c r="FV68" s="249"/>
      <c r="FW68" s="249"/>
      <c r="FX68" s="249"/>
      <c r="FY68" s="249"/>
      <c r="FZ68" s="249"/>
      <c r="GA68" s="249"/>
      <c r="GB68" s="243">
        <f t="shared" si="166"/>
        <v>0</v>
      </c>
      <c r="GC68" s="249"/>
      <c r="GD68" s="249"/>
      <c r="GE68" s="249"/>
      <c r="GF68" s="249"/>
      <c r="GG68" s="249"/>
      <c r="GH68" s="249"/>
      <c r="GI68" s="249"/>
      <c r="GJ68" s="243">
        <f t="shared" si="167"/>
        <v>0</v>
      </c>
      <c r="GK68" s="249"/>
      <c r="GL68" s="249"/>
      <c r="GM68" s="249"/>
      <c r="GN68" s="249"/>
      <c r="GO68" s="249"/>
      <c r="GP68" s="249"/>
      <c r="GQ68" s="249"/>
      <c r="GR68" s="243">
        <f t="shared" si="168"/>
        <v>0</v>
      </c>
      <c r="GS68" s="249"/>
      <c r="GT68" s="249"/>
      <c r="GU68" s="249"/>
      <c r="GV68" s="249"/>
      <c r="GW68" s="249"/>
      <c r="GX68" s="249"/>
      <c r="GY68" s="249"/>
      <c r="GZ68" s="243">
        <f t="shared" si="169"/>
        <v>0</v>
      </c>
      <c r="HA68" s="249"/>
      <c r="HB68" s="249"/>
      <c r="HC68" s="249"/>
      <c r="HD68" s="249"/>
      <c r="HE68" s="249"/>
      <c r="HF68" s="249"/>
      <c r="HG68" s="249"/>
      <c r="HH68" s="243">
        <f t="shared" si="170"/>
        <v>0</v>
      </c>
      <c r="HI68" s="249"/>
      <c r="HJ68" s="249"/>
      <c r="HK68" s="249"/>
      <c r="HL68" s="249"/>
      <c r="HM68" s="249"/>
      <c r="HN68" s="249"/>
      <c r="HO68" s="249"/>
      <c r="HP68" s="243">
        <f t="shared" si="171"/>
        <v>0</v>
      </c>
      <c r="HQ68" s="249"/>
      <c r="HR68" s="249"/>
      <c r="HS68" s="249"/>
      <c r="HT68" s="249"/>
      <c r="HU68" s="249"/>
      <c r="HV68" s="249"/>
      <c r="HW68" s="249"/>
      <c r="HX68" s="243">
        <f t="shared" si="172"/>
        <v>0</v>
      </c>
      <c r="HY68" s="249"/>
      <c r="HZ68" s="249"/>
      <c r="IA68" s="249"/>
      <c r="IB68" s="249"/>
      <c r="IC68" s="249"/>
      <c r="ID68" s="249"/>
      <c r="IE68" s="249"/>
      <c r="IF68" s="243">
        <f t="shared" si="173"/>
        <v>0</v>
      </c>
      <c r="IG68" s="249"/>
      <c r="IH68" s="249"/>
      <c r="II68" s="249"/>
      <c r="IJ68" s="249"/>
      <c r="IK68" s="249"/>
      <c r="IL68" s="249"/>
      <c r="IM68" s="249"/>
      <c r="IN68" s="243">
        <f t="shared" si="174"/>
        <v>0</v>
      </c>
      <c r="IO68" s="249"/>
      <c r="IP68" s="249"/>
      <c r="IQ68" s="249"/>
      <c r="IR68" s="249"/>
      <c r="IS68" s="249"/>
      <c r="IT68" s="249"/>
      <c r="IU68" s="249"/>
      <c r="IV68" s="243">
        <f t="shared" si="175"/>
        <v>0</v>
      </c>
      <c r="IW68" s="249"/>
      <c r="IX68" s="249"/>
      <c r="IY68" s="249"/>
      <c r="IZ68" s="249"/>
      <c r="JA68" s="249"/>
      <c r="JB68" s="249"/>
      <c r="JC68" s="249"/>
      <c r="JD68" s="243">
        <f t="shared" si="176"/>
        <v>0</v>
      </c>
      <c r="JE68" s="249"/>
      <c r="JF68" s="249"/>
      <c r="JG68" s="249"/>
      <c r="JH68" s="249"/>
      <c r="JI68" s="249"/>
      <c r="JJ68" s="249"/>
      <c r="JK68" s="249"/>
      <c r="JL68" s="243">
        <f t="shared" si="177"/>
        <v>0</v>
      </c>
      <c r="JM68" s="249"/>
      <c r="JN68" s="249"/>
      <c r="JO68" s="249"/>
      <c r="JP68" s="249"/>
      <c r="JQ68" s="249"/>
      <c r="JR68" s="249"/>
      <c r="JS68" s="249"/>
      <c r="JT68" s="243">
        <f t="shared" si="178"/>
        <v>0</v>
      </c>
      <c r="JU68" s="249"/>
      <c r="JV68" s="249"/>
      <c r="JW68" s="249"/>
      <c r="JX68" s="249"/>
      <c r="JY68" s="249"/>
      <c r="JZ68" s="249"/>
      <c r="KA68" s="249"/>
      <c r="KB68" s="243">
        <f t="shared" si="179"/>
        <v>0</v>
      </c>
      <c r="KC68" s="249"/>
      <c r="KD68" s="249"/>
      <c r="KE68" s="249"/>
      <c r="KF68" s="249"/>
      <c r="KG68" s="249"/>
      <c r="KH68" s="249"/>
      <c r="KI68" s="249"/>
      <c r="KJ68" s="243">
        <f t="shared" si="180"/>
        <v>0</v>
      </c>
      <c r="KK68" s="249"/>
      <c r="KL68" s="249"/>
      <c r="KM68" s="249"/>
      <c r="KN68" s="249"/>
      <c r="KO68" s="249"/>
      <c r="KP68" s="249"/>
      <c r="KQ68" s="249"/>
      <c r="KR68" s="243">
        <f t="shared" si="181"/>
        <v>0</v>
      </c>
      <c r="KS68" s="249"/>
      <c r="KT68" s="249"/>
      <c r="KU68" s="249"/>
      <c r="KV68" s="249"/>
      <c r="KW68" s="249"/>
      <c r="KX68" s="249"/>
      <c r="KY68" s="249"/>
      <c r="KZ68" s="243">
        <f t="shared" si="182"/>
        <v>0</v>
      </c>
      <c r="LA68" s="249"/>
      <c r="LB68" s="249"/>
      <c r="LC68" s="249"/>
      <c r="LD68" s="249"/>
      <c r="LE68" s="249"/>
      <c r="LF68" s="249"/>
      <c r="LG68" s="249"/>
      <c r="LH68" s="243">
        <f t="shared" si="183"/>
        <v>0</v>
      </c>
      <c r="LI68" s="249"/>
      <c r="LJ68" s="249"/>
      <c r="LK68" s="249"/>
      <c r="LL68" s="249"/>
      <c r="LM68" s="249"/>
      <c r="LN68" s="249"/>
      <c r="LO68" s="249"/>
      <c r="LP68" s="243">
        <f t="shared" si="184"/>
        <v>0</v>
      </c>
      <c r="LQ68" s="249"/>
      <c r="LR68" s="249"/>
      <c r="LS68" s="249"/>
      <c r="LT68" s="244">
        <f t="shared" si="185"/>
        <v>0</v>
      </c>
      <c r="LU68" s="249"/>
      <c r="LV68" s="249"/>
      <c r="LW68" s="249"/>
      <c r="LX68" s="249"/>
      <c r="LY68" s="249"/>
      <c r="LZ68" s="249"/>
      <c r="MA68" s="249"/>
      <c r="MB68" s="243">
        <f t="shared" si="186"/>
        <v>0</v>
      </c>
      <c r="MC68" s="249"/>
      <c r="MD68" s="249"/>
      <c r="ME68" s="249"/>
      <c r="MF68" s="249"/>
      <c r="MG68" s="249"/>
      <c r="MH68" s="249"/>
      <c r="MI68" s="249"/>
      <c r="MJ68" s="243">
        <f t="shared" si="187"/>
        <v>0</v>
      </c>
      <c r="MK68" s="249"/>
      <c r="ML68" s="249"/>
      <c r="MM68" s="249"/>
      <c r="MN68" s="249"/>
      <c r="MO68" s="249"/>
      <c r="MP68" s="249"/>
      <c r="MQ68" s="249"/>
      <c r="MR68" s="243">
        <f t="shared" si="188"/>
        <v>0</v>
      </c>
      <c r="MS68" s="274"/>
      <c r="MT68" s="249"/>
      <c r="MU68" s="249"/>
      <c r="MV68" s="249"/>
      <c r="MW68" s="249"/>
      <c r="MX68" s="249"/>
      <c r="MY68" s="249"/>
      <c r="MZ68" s="243">
        <f t="shared" si="189"/>
        <v>0</v>
      </c>
      <c r="NA68" s="249"/>
      <c r="NB68" s="249"/>
      <c r="NC68" s="249"/>
      <c r="ND68" s="243">
        <f t="shared" si="190"/>
        <v>0</v>
      </c>
      <c r="NE68" s="249"/>
      <c r="NF68" s="249"/>
      <c r="NG68" s="249"/>
      <c r="NH68" s="249"/>
      <c r="NI68" s="249"/>
      <c r="NJ68" s="249"/>
      <c r="NK68" s="249"/>
      <c r="NL68" s="243">
        <f t="shared" si="191"/>
        <v>0</v>
      </c>
      <c r="NM68" s="249"/>
      <c r="NN68" s="249"/>
      <c r="NO68" s="249"/>
      <c r="NP68" s="249"/>
      <c r="NQ68" s="249"/>
      <c r="NR68" s="249"/>
      <c r="NS68" s="249"/>
      <c r="NT68" s="243">
        <f t="shared" si="192"/>
        <v>0</v>
      </c>
      <c r="NU68" s="249"/>
      <c r="NV68" s="249"/>
      <c r="NW68" s="249"/>
      <c r="NX68" s="249"/>
      <c r="NY68" s="249"/>
      <c r="NZ68" s="249"/>
      <c r="OA68" s="249"/>
      <c r="OB68" s="243">
        <f t="shared" si="193"/>
        <v>0</v>
      </c>
      <c r="OC68" s="249"/>
      <c r="OD68" s="249"/>
      <c r="OE68" s="249"/>
      <c r="OF68" s="249"/>
      <c r="OG68" s="249"/>
      <c r="OH68" s="249"/>
      <c r="OI68" s="249"/>
      <c r="OJ68" s="243">
        <f t="shared" si="194"/>
        <v>0</v>
      </c>
      <c r="OK68" s="249"/>
      <c r="OL68" s="249"/>
      <c r="OM68" s="249"/>
      <c r="ON68" s="249"/>
      <c r="OO68" s="249"/>
      <c r="OP68" s="249"/>
      <c r="OQ68" s="249"/>
      <c r="OR68" s="243">
        <f t="shared" si="195"/>
        <v>0</v>
      </c>
      <c r="OS68" s="249"/>
      <c r="OT68" s="249"/>
      <c r="OU68" s="249"/>
      <c r="OV68" s="249"/>
      <c r="OW68" s="249"/>
      <c r="OX68" s="249"/>
      <c r="OY68" s="249"/>
      <c r="OZ68" s="243">
        <f t="shared" si="196"/>
        <v>0</v>
      </c>
      <c r="PA68" s="250"/>
      <c r="PB68" s="249"/>
      <c r="PC68" s="249"/>
      <c r="PD68" s="243">
        <f t="shared" si="197"/>
        <v>0</v>
      </c>
      <c r="PE68" s="250"/>
      <c r="PF68" s="249"/>
      <c r="PG68" s="249"/>
      <c r="PH68" s="249"/>
      <c r="PI68" s="249"/>
      <c r="PJ68" s="249"/>
      <c r="PK68" s="249"/>
      <c r="PL68" s="243">
        <f t="shared" si="139"/>
        <v>0</v>
      </c>
      <c r="PM68" s="250"/>
      <c r="PN68" s="249"/>
      <c r="PO68" s="249"/>
      <c r="PP68" s="249"/>
      <c r="PQ68" s="249"/>
      <c r="PR68" s="249"/>
      <c r="PS68" s="249">
        <v>0</v>
      </c>
      <c r="PT68" s="243">
        <f>PS68/10*12</f>
        <v>0</v>
      </c>
      <c r="PU68" s="249"/>
      <c r="PV68" s="249"/>
      <c r="PW68" s="249"/>
      <c r="PX68" s="249"/>
      <c r="PY68" s="249"/>
      <c r="PZ68" s="249"/>
      <c r="QA68" s="249"/>
      <c r="QB68" s="243">
        <f t="shared" si="199"/>
        <v>0</v>
      </c>
      <c r="QC68" s="249"/>
      <c r="QD68" s="249"/>
      <c r="QE68" s="249"/>
      <c r="QF68" s="249"/>
      <c r="QG68" s="249"/>
      <c r="QH68" s="249"/>
      <c r="QI68" s="249"/>
      <c r="QJ68" s="243">
        <f t="shared" si="200"/>
        <v>0</v>
      </c>
      <c r="QK68" s="249"/>
      <c r="QL68" s="249"/>
      <c r="QM68" s="249"/>
      <c r="QN68" s="249"/>
      <c r="QO68" s="249"/>
      <c r="QP68" s="243">
        <f t="shared" si="201"/>
        <v>0</v>
      </c>
      <c r="QQ68" s="243"/>
      <c r="QR68" s="249"/>
      <c r="QS68" s="249"/>
      <c r="QT68" s="249"/>
      <c r="QU68" s="249"/>
      <c r="QV68" s="243">
        <f t="shared" si="202"/>
        <v>0</v>
      </c>
      <c r="QW68" s="249"/>
      <c r="QX68" s="249"/>
      <c r="QY68" s="249"/>
      <c r="QZ68" s="249"/>
      <c r="RA68" s="249"/>
      <c r="RB68" s="249"/>
      <c r="RC68" s="249"/>
      <c r="RD68" s="243">
        <f t="shared" si="203"/>
        <v>0</v>
      </c>
      <c r="RE68" s="301"/>
      <c r="RF68" s="259">
        <f t="shared" si="101"/>
        <v>0</v>
      </c>
      <c r="RG68" s="259">
        <f>RC68+QU68+QO68+QI68+QA68+PS68+PK68+PC68+OY68+OQ68+OI68+OA68+NS68+NK68+NC68+MY68+MQ68+MI68+MA68+LS68+LO68+LG68+KY68+KQ68+KI68+KA68+JS68+JK68+JC68+IU68+IM68+IE68+HW68+HO68+HG68+GY68+GQ68+GI68+GA68+FS68+FK68+FC68+EU68+EM68+EE68+DW68+DO68+DG68+CY68+CQ68+CI68+CA68+BS68+BK68+BC68+AU68+AM68+AE68+W68+O68+G68</f>
        <v>0</v>
      </c>
      <c r="RH68" s="259">
        <f t="shared" si="142"/>
        <v>0</v>
      </c>
      <c r="RI68" s="256">
        <f t="shared" si="143"/>
        <v>4200</v>
      </c>
    </row>
    <row r="69" spans="1:477">
      <c r="A69" s="8" t="s">
        <v>141</v>
      </c>
      <c r="B69" s="264"/>
      <c r="C69" s="249"/>
      <c r="D69" s="249"/>
      <c r="E69" s="249"/>
      <c r="F69" s="249"/>
      <c r="G69" s="243"/>
      <c r="H69" s="243">
        <f t="shared" si="144"/>
        <v>0</v>
      </c>
      <c r="I69" s="282">
        <v>1200</v>
      </c>
      <c r="J69" s="249"/>
      <c r="K69" s="249"/>
      <c r="L69" s="249"/>
      <c r="M69" s="249"/>
      <c r="N69" s="249"/>
      <c r="O69" s="249"/>
      <c r="P69" s="243">
        <f t="shared" si="145"/>
        <v>0</v>
      </c>
      <c r="Q69" s="249"/>
      <c r="R69" s="249"/>
      <c r="S69" s="249"/>
      <c r="T69" s="249"/>
      <c r="U69" s="249"/>
      <c r="V69" s="249"/>
      <c r="W69" s="250"/>
      <c r="X69" s="243">
        <f t="shared" si="146"/>
        <v>0</v>
      </c>
      <c r="Y69" s="249"/>
      <c r="Z69" s="249"/>
      <c r="AA69" s="249"/>
      <c r="AB69" s="249"/>
      <c r="AC69" s="249"/>
      <c r="AD69" s="249"/>
      <c r="AE69" s="249"/>
      <c r="AF69" s="243">
        <f t="shared" si="147"/>
        <v>0</v>
      </c>
      <c r="AG69" s="249"/>
      <c r="AH69" s="249"/>
      <c r="AI69" s="249"/>
      <c r="AJ69" s="249"/>
      <c r="AK69" s="249"/>
      <c r="AL69" s="249"/>
      <c r="AM69" s="249"/>
      <c r="AN69" s="243">
        <f t="shared" si="148"/>
        <v>0</v>
      </c>
      <c r="AO69" s="249"/>
      <c r="AP69" s="249"/>
      <c r="AQ69" s="249"/>
      <c r="AR69" s="249"/>
      <c r="AS69" s="249"/>
      <c r="AT69" s="249"/>
      <c r="AU69" s="249"/>
      <c r="AV69" s="243">
        <f t="shared" si="149"/>
        <v>0</v>
      </c>
      <c r="AW69" s="249"/>
      <c r="AX69" s="249"/>
      <c r="AY69" s="249"/>
      <c r="AZ69" s="249"/>
      <c r="BA69" s="249"/>
      <c r="BB69" s="249"/>
      <c r="BC69" s="249"/>
      <c r="BD69" s="243">
        <f t="shared" si="150"/>
        <v>0</v>
      </c>
      <c r="BE69" s="249"/>
      <c r="BF69" s="249"/>
      <c r="BG69" s="249"/>
      <c r="BH69" s="249"/>
      <c r="BI69" s="249"/>
      <c r="BJ69" s="249"/>
      <c r="BK69" s="249"/>
      <c r="BL69" s="243">
        <f t="shared" si="151"/>
        <v>0</v>
      </c>
      <c r="BM69" s="249"/>
      <c r="BN69" s="249"/>
      <c r="BO69" s="249"/>
      <c r="BP69" s="249"/>
      <c r="BQ69" s="249"/>
      <c r="BR69" s="249"/>
      <c r="BS69" s="249"/>
      <c r="BT69" s="243">
        <f t="shared" si="152"/>
        <v>0</v>
      </c>
      <c r="BU69" s="249"/>
      <c r="BV69" s="249"/>
      <c r="BW69" s="249"/>
      <c r="BX69" s="249"/>
      <c r="BY69" s="249"/>
      <c r="BZ69" s="249"/>
      <c r="CA69" s="249"/>
      <c r="CB69" s="243">
        <f t="shared" si="153"/>
        <v>0</v>
      </c>
      <c r="CC69" s="249"/>
      <c r="CD69" s="249"/>
      <c r="CE69" s="249"/>
      <c r="CF69" s="249"/>
      <c r="CG69" s="249"/>
      <c r="CH69" s="249"/>
      <c r="CI69" s="249"/>
      <c r="CJ69" s="243">
        <f t="shared" si="154"/>
        <v>0</v>
      </c>
      <c r="CK69" s="249"/>
      <c r="CL69" s="249"/>
      <c r="CM69" s="249"/>
      <c r="CN69" s="249"/>
      <c r="CO69" s="249"/>
      <c r="CP69" s="249"/>
      <c r="CQ69" s="249"/>
      <c r="CR69" s="243">
        <f t="shared" si="155"/>
        <v>0</v>
      </c>
      <c r="CS69" s="249"/>
      <c r="CT69" s="249"/>
      <c r="CU69" s="249"/>
      <c r="CV69" s="249"/>
      <c r="CW69" s="249"/>
      <c r="CX69" s="249"/>
      <c r="CY69" s="249"/>
      <c r="CZ69" s="243">
        <f t="shared" si="156"/>
        <v>0</v>
      </c>
      <c r="DA69" s="249"/>
      <c r="DB69" s="249"/>
      <c r="DC69" s="249"/>
      <c r="DD69" s="249"/>
      <c r="DE69" s="249"/>
      <c r="DF69" s="249"/>
      <c r="DG69" s="249"/>
      <c r="DH69" s="243">
        <f t="shared" si="157"/>
        <v>0</v>
      </c>
      <c r="DI69" s="249"/>
      <c r="DJ69" s="249"/>
      <c r="DK69" s="249"/>
      <c r="DL69" s="249"/>
      <c r="DM69" s="249"/>
      <c r="DN69" s="249"/>
      <c r="DO69" s="249"/>
      <c r="DP69" s="243">
        <f t="shared" si="158"/>
        <v>0</v>
      </c>
      <c r="DQ69" s="249"/>
      <c r="DR69" s="249"/>
      <c r="DS69" s="249"/>
      <c r="DT69" s="249"/>
      <c r="DU69" s="249"/>
      <c r="DV69" s="249"/>
      <c r="DW69" s="249"/>
      <c r="DX69" s="243">
        <f t="shared" si="159"/>
        <v>0</v>
      </c>
      <c r="DY69" s="249"/>
      <c r="DZ69" s="249"/>
      <c r="EA69" s="249"/>
      <c r="EB69" s="249"/>
      <c r="EC69" s="249"/>
      <c r="ED69" s="249"/>
      <c r="EE69" s="249"/>
      <c r="EF69" s="243">
        <f t="shared" si="160"/>
        <v>0</v>
      </c>
      <c r="EG69" s="249"/>
      <c r="EH69" s="249"/>
      <c r="EI69" s="249"/>
      <c r="EJ69" s="249"/>
      <c r="EK69" s="249"/>
      <c r="EL69" s="249"/>
      <c r="EM69" s="249"/>
      <c r="EN69" s="243">
        <f t="shared" si="161"/>
        <v>0</v>
      </c>
      <c r="EO69" s="249"/>
      <c r="EP69" s="249"/>
      <c r="EQ69" s="249"/>
      <c r="ER69" s="249"/>
      <c r="ES69" s="249"/>
      <c r="ET69" s="249"/>
      <c r="EU69" s="249"/>
      <c r="EV69" s="243">
        <f t="shared" si="162"/>
        <v>0</v>
      </c>
      <c r="EW69" s="249"/>
      <c r="EX69" s="249"/>
      <c r="EY69" s="249"/>
      <c r="EZ69" s="249"/>
      <c r="FA69" s="249"/>
      <c r="FB69" s="249"/>
      <c r="FC69" s="249"/>
      <c r="FD69" s="243">
        <f t="shared" si="163"/>
        <v>0</v>
      </c>
      <c r="FE69" s="249"/>
      <c r="FF69" s="249"/>
      <c r="FG69" s="249"/>
      <c r="FH69" s="249"/>
      <c r="FI69" s="249"/>
      <c r="FJ69" s="249"/>
      <c r="FK69" s="249"/>
      <c r="FL69" s="243">
        <f t="shared" si="164"/>
        <v>0</v>
      </c>
      <c r="FM69" s="249"/>
      <c r="FN69" s="249"/>
      <c r="FO69" s="249"/>
      <c r="FP69" s="249"/>
      <c r="FQ69" s="249"/>
      <c r="FR69" s="249"/>
      <c r="FS69" s="249"/>
      <c r="FT69" s="243">
        <f t="shared" si="165"/>
        <v>0</v>
      </c>
      <c r="FU69" s="249"/>
      <c r="FV69" s="249"/>
      <c r="FW69" s="249"/>
      <c r="FX69" s="249"/>
      <c r="FY69" s="249"/>
      <c r="FZ69" s="249"/>
      <c r="GA69" s="249"/>
      <c r="GB69" s="243">
        <f t="shared" si="166"/>
        <v>0</v>
      </c>
      <c r="GC69" s="249"/>
      <c r="GD69" s="249"/>
      <c r="GE69" s="249"/>
      <c r="GF69" s="249"/>
      <c r="GG69" s="249"/>
      <c r="GH69" s="249"/>
      <c r="GI69" s="249"/>
      <c r="GJ69" s="243">
        <f t="shared" si="167"/>
        <v>0</v>
      </c>
      <c r="GK69" s="249"/>
      <c r="GL69" s="249"/>
      <c r="GM69" s="249"/>
      <c r="GN69" s="249"/>
      <c r="GO69" s="249"/>
      <c r="GP69" s="249"/>
      <c r="GQ69" s="249"/>
      <c r="GR69" s="243">
        <f t="shared" si="168"/>
        <v>0</v>
      </c>
      <c r="GS69" s="249"/>
      <c r="GT69" s="249"/>
      <c r="GU69" s="249"/>
      <c r="GV69" s="249"/>
      <c r="GW69" s="249"/>
      <c r="GX69" s="249"/>
      <c r="GY69" s="249"/>
      <c r="GZ69" s="243">
        <f t="shared" si="169"/>
        <v>0</v>
      </c>
      <c r="HA69" s="249"/>
      <c r="HB69" s="249"/>
      <c r="HC69" s="249"/>
      <c r="HD69" s="249"/>
      <c r="HE69" s="249"/>
      <c r="HF69" s="249"/>
      <c r="HG69" s="249"/>
      <c r="HH69" s="243">
        <f t="shared" si="170"/>
        <v>0</v>
      </c>
      <c r="HI69" s="249"/>
      <c r="HJ69" s="249"/>
      <c r="HK69" s="249"/>
      <c r="HL69" s="249"/>
      <c r="HM69" s="249"/>
      <c r="HN69" s="249"/>
      <c r="HO69" s="249"/>
      <c r="HP69" s="243">
        <f t="shared" si="171"/>
        <v>0</v>
      </c>
      <c r="HQ69" s="249"/>
      <c r="HR69" s="249"/>
      <c r="HS69" s="249"/>
      <c r="HT69" s="249"/>
      <c r="HU69" s="249"/>
      <c r="HV69" s="249"/>
      <c r="HW69" s="249"/>
      <c r="HX69" s="243">
        <f t="shared" si="172"/>
        <v>0</v>
      </c>
      <c r="HY69" s="249"/>
      <c r="HZ69" s="249"/>
      <c r="IA69" s="249"/>
      <c r="IB69" s="249"/>
      <c r="IC69" s="249"/>
      <c r="ID69" s="249"/>
      <c r="IE69" s="249"/>
      <c r="IF69" s="243">
        <f t="shared" si="173"/>
        <v>0</v>
      </c>
      <c r="IG69" s="249"/>
      <c r="IH69" s="249"/>
      <c r="II69" s="249"/>
      <c r="IJ69" s="249"/>
      <c r="IK69" s="249"/>
      <c r="IL69" s="249"/>
      <c r="IM69" s="249"/>
      <c r="IN69" s="243">
        <f t="shared" si="174"/>
        <v>0</v>
      </c>
      <c r="IO69" s="249"/>
      <c r="IP69" s="249"/>
      <c r="IQ69" s="249"/>
      <c r="IR69" s="249"/>
      <c r="IS69" s="249"/>
      <c r="IT69" s="249"/>
      <c r="IU69" s="249"/>
      <c r="IV69" s="243">
        <f t="shared" si="175"/>
        <v>0</v>
      </c>
      <c r="IW69" s="249"/>
      <c r="IX69" s="249"/>
      <c r="IY69" s="249"/>
      <c r="IZ69" s="249"/>
      <c r="JA69" s="249"/>
      <c r="JB69" s="249"/>
      <c r="JC69" s="249"/>
      <c r="JD69" s="243">
        <f t="shared" si="176"/>
        <v>0</v>
      </c>
      <c r="JE69" s="249"/>
      <c r="JF69" s="249"/>
      <c r="JG69" s="249"/>
      <c r="JH69" s="249"/>
      <c r="JI69" s="249"/>
      <c r="JJ69" s="249"/>
      <c r="JK69" s="249"/>
      <c r="JL69" s="243">
        <f t="shared" si="177"/>
        <v>0</v>
      </c>
      <c r="JM69" s="249"/>
      <c r="JN69" s="249"/>
      <c r="JO69" s="249"/>
      <c r="JP69" s="249"/>
      <c r="JQ69" s="249"/>
      <c r="JR69" s="249"/>
      <c r="JS69" s="249"/>
      <c r="JT69" s="243">
        <f t="shared" si="178"/>
        <v>0</v>
      </c>
      <c r="JU69" s="249"/>
      <c r="JV69" s="249"/>
      <c r="JW69" s="249"/>
      <c r="JX69" s="249"/>
      <c r="JY69" s="249"/>
      <c r="JZ69" s="249"/>
      <c r="KA69" s="249"/>
      <c r="KB69" s="243">
        <f t="shared" si="179"/>
        <v>0</v>
      </c>
      <c r="KC69" s="249"/>
      <c r="KD69" s="249"/>
      <c r="KE69" s="249"/>
      <c r="KF69" s="249"/>
      <c r="KG69" s="249"/>
      <c r="KH69" s="249"/>
      <c r="KI69" s="249"/>
      <c r="KJ69" s="243">
        <f t="shared" si="180"/>
        <v>0</v>
      </c>
      <c r="KK69" s="249"/>
      <c r="KL69" s="249"/>
      <c r="KM69" s="249"/>
      <c r="KN69" s="249"/>
      <c r="KO69" s="249"/>
      <c r="KP69" s="249"/>
      <c r="KQ69" s="249"/>
      <c r="KR69" s="243">
        <f t="shared" si="181"/>
        <v>0</v>
      </c>
      <c r="KS69" s="249"/>
      <c r="KT69" s="249"/>
      <c r="KU69" s="249"/>
      <c r="KV69" s="249"/>
      <c r="KW69" s="249"/>
      <c r="KX69" s="249"/>
      <c r="KY69" s="249"/>
      <c r="KZ69" s="243">
        <f t="shared" si="182"/>
        <v>0</v>
      </c>
      <c r="LA69" s="249"/>
      <c r="LB69" s="249"/>
      <c r="LC69" s="249"/>
      <c r="LD69" s="249"/>
      <c r="LE69" s="249"/>
      <c r="LF69" s="249"/>
      <c r="LG69" s="249"/>
      <c r="LH69" s="243">
        <f t="shared" si="183"/>
        <v>0</v>
      </c>
      <c r="LI69" s="249"/>
      <c r="LJ69" s="249"/>
      <c r="LK69" s="249"/>
      <c r="LL69" s="249"/>
      <c r="LM69" s="249"/>
      <c r="LN69" s="249"/>
      <c r="LO69" s="249"/>
      <c r="LP69" s="243">
        <f t="shared" si="184"/>
        <v>0</v>
      </c>
      <c r="LQ69" s="249"/>
      <c r="LR69" s="249"/>
      <c r="LS69" s="249"/>
      <c r="LT69" s="244">
        <f t="shared" si="185"/>
        <v>0</v>
      </c>
      <c r="LU69" s="249"/>
      <c r="LV69" s="249"/>
      <c r="LW69" s="249"/>
      <c r="LX69" s="249"/>
      <c r="LY69" s="249"/>
      <c r="LZ69" s="249"/>
      <c r="MA69" s="249"/>
      <c r="MB69" s="243">
        <f t="shared" si="186"/>
        <v>0</v>
      </c>
      <c r="MC69" s="249"/>
      <c r="MD69" s="249"/>
      <c r="ME69" s="249"/>
      <c r="MF69" s="249"/>
      <c r="MG69" s="249"/>
      <c r="MH69" s="249"/>
      <c r="MI69" s="249"/>
      <c r="MJ69" s="243">
        <f t="shared" si="187"/>
        <v>0</v>
      </c>
      <c r="MK69" s="249"/>
      <c r="ML69" s="249"/>
      <c r="MM69" s="249"/>
      <c r="MN69" s="249"/>
      <c r="MO69" s="249"/>
      <c r="MP69" s="249"/>
      <c r="MQ69" s="249"/>
      <c r="MR69" s="243">
        <f t="shared" si="188"/>
        <v>0</v>
      </c>
      <c r="MS69" s="274"/>
      <c r="MT69" s="249"/>
      <c r="MU69" s="249"/>
      <c r="MV69" s="249"/>
      <c r="MW69" s="249"/>
      <c r="MX69" s="249"/>
      <c r="MY69" s="249"/>
      <c r="MZ69" s="243">
        <f t="shared" si="189"/>
        <v>0</v>
      </c>
      <c r="NA69" s="249"/>
      <c r="NB69" s="249"/>
      <c r="NC69" s="249"/>
      <c r="ND69" s="243">
        <f t="shared" si="190"/>
        <v>0</v>
      </c>
      <c r="NE69" s="249"/>
      <c r="NF69" s="249"/>
      <c r="NG69" s="249"/>
      <c r="NH69" s="249"/>
      <c r="NI69" s="249"/>
      <c r="NJ69" s="249"/>
      <c r="NK69" s="249"/>
      <c r="NL69" s="243">
        <f t="shared" si="191"/>
        <v>0</v>
      </c>
      <c r="NM69" s="249"/>
      <c r="NN69" s="249"/>
      <c r="NO69" s="249"/>
      <c r="NP69" s="249"/>
      <c r="NQ69" s="249"/>
      <c r="NR69" s="249"/>
      <c r="NS69" s="249"/>
      <c r="NT69" s="243">
        <f t="shared" si="192"/>
        <v>0</v>
      </c>
      <c r="NU69" s="249"/>
      <c r="NV69" s="249"/>
      <c r="NW69" s="249"/>
      <c r="NX69" s="249"/>
      <c r="NY69" s="249"/>
      <c r="NZ69" s="249"/>
      <c r="OA69" s="249"/>
      <c r="OB69" s="243">
        <f t="shared" si="193"/>
        <v>0</v>
      </c>
      <c r="OC69" s="249"/>
      <c r="OD69" s="249"/>
      <c r="OE69" s="249"/>
      <c r="OF69" s="249"/>
      <c r="OG69" s="249"/>
      <c r="OH69" s="249"/>
      <c r="OI69" s="249"/>
      <c r="OJ69" s="243">
        <f t="shared" si="194"/>
        <v>0</v>
      </c>
      <c r="OK69" s="249"/>
      <c r="OL69" s="249"/>
      <c r="OM69" s="249"/>
      <c r="ON69" s="249"/>
      <c r="OO69" s="249"/>
      <c r="OP69" s="249"/>
      <c r="OQ69" s="249"/>
      <c r="OR69" s="243">
        <f t="shared" si="195"/>
        <v>0</v>
      </c>
      <c r="OS69" s="249"/>
      <c r="OT69" s="249"/>
      <c r="OU69" s="249"/>
      <c r="OV69" s="249"/>
      <c r="OW69" s="249"/>
      <c r="OX69" s="249"/>
      <c r="OY69" s="249"/>
      <c r="OZ69" s="243">
        <f t="shared" si="196"/>
        <v>0</v>
      </c>
      <c r="PA69" s="250"/>
      <c r="PB69" s="249"/>
      <c r="PC69" s="249"/>
      <c r="PD69" s="243">
        <f t="shared" si="197"/>
        <v>0</v>
      </c>
      <c r="PE69" s="250"/>
      <c r="PF69" s="249"/>
      <c r="PG69" s="249"/>
      <c r="PH69" s="249"/>
      <c r="PI69" s="249"/>
      <c r="PJ69" s="249"/>
      <c r="PK69" s="249"/>
      <c r="PL69" s="243">
        <f t="shared" si="139"/>
        <v>0</v>
      </c>
      <c r="PM69" s="250"/>
      <c r="PN69" s="249"/>
      <c r="PO69" s="249"/>
      <c r="PP69" s="249"/>
      <c r="PQ69" s="249"/>
      <c r="PR69" s="249"/>
      <c r="PS69" s="249"/>
      <c r="PT69" s="243">
        <f t="shared" si="198"/>
        <v>0</v>
      </c>
      <c r="PU69" s="249"/>
      <c r="PV69" s="249"/>
      <c r="PW69" s="249"/>
      <c r="PX69" s="249"/>
      <c r="PY69" s="249"/>
      <c r="PZ69" s="249"/>
      <c r="QA69" s="249"/>
      <c r="QB69" s="243">
        <f t="shared" si="199"/>
        <v>0</v>
      </c>
      <c r="QC69" s="249"/>
      <c r="QD69" s="249"/>
      <c r="QE69" s="249"/>
      <c r="QF69" s="249"/>
      <c r="QG69" s="249"/>
      <c r="QH69" s="249"/>
      <c r="QI69" s="249"/>
      <c r="QJ69" s="243">
        <f t="shared" si="200"/>
        <v>0</v>
      </c>
      <c r="QK69" s="249"/>
      <c r="QL69" s="249"/>
      <c r="QM69" s="249"/>
      <c r="QN69" s="249"/>
      <c r="QO69" s="249"/>
      <c r="QP69" s="243">
        <f t="shared" si="201"/>
        <v>0</v>
      </c>
      <c r="QQ69" s="243"/>
      <c r="QR69" s="249"/>
      <c r="QS69" s="249"/>
      <c r="QT69" s="249"/>
      <c r="QU69" s="249"/>
      <c r="QV69" s="243">
        <f t="shared" si="202"/>
        <v>0</v>
      </c>
      <c r="QW69" s="249"/>
      <c r="QX69" s="249"/>
      <c r="QY69" s="249"/>
      <c r="QZ69" s="249"/>
      <c r="RA69" s="249"/>
      <c r="RB69" s="249"/>
      <c r="RC69" s="249"/>
      <c r="RD69" s="243">
        <f t="shared" si="203"/>
        <v>0</v>
      </c>
      <c r="RE69" s="301"/>
      <c r="RF69" s="259">
        <f t="shared" si="101"/>
        <v>0</v>
      </c>
      <c r="RG69" s="259">
        <f t="shared" si="141"/>
        <v>0</v>
      </c>
      <c r="RH69" s="259">
        <f t="shared" si="142"/>
        <v>0</v>
      </c>
      <c r="RI69" s="256">
        <f t="shared" si="143"/>
        <v>1200</v>
      </c>
    </row>
    <row r="70" spans="1:477">
      <c r="A70" s="8" t="s">
        <v>142</v>
      </c>
      <c r="B70" s="264"/>
      <c r="C70" s="249"/>
      <c r="D70" s="249"/>
      <c r="E70" s="249"/>
      <c r="F70" s="249"/>
      <c r="G70" s="243"/>
      <c r="H70" s="243">
        <f t="shared" si="144"/>
        <v>0</v>
      </c>
      <c r="I70" s="282">
        <v>2800</v>
      </c>
      <c r="J70" s="249"/>
      <c r="K70" s="249"/>
      <c r="L70" s="249"/>
      <c r="M70" s="249"/>
      <c r="N70" s="249"/>
      <c r="O70" s="249"/>
      <c r="P70" s="243">
        <f t="shared" si="145"/>
        <v>0</v>
      </c>
      <c r="Q70" s="249"/>
      <c r="R70" s="249"/>
      <c r="S70" s="249"/>
      <c r="T70" s="249"/>
      <c r="U70" s="249"/>
      <c r="V70" s="249"/>
      <c r="W70" s="250"/>
      <c r="X70" s="243">
        <f t="shared" si="146"/>
        <v>0</v>
      </c>
      <c r="Y70" s="249"/>
      <c r="Z70" s="249"/>
      <c r="AA70" s="249"/>
      <c r="AB70" s="249"/>
      <c r="AC70" s="249"/>
      <c r="AD70" s="249"/>
      <c r="AE70" s="249"/>
      <c r="AF70" s="243">
        <f t="shared" si="147"/>
        <v>0</v>
      </c>
      <c r="AG70" s="249"/>
      <c r="AH70" s="249"/>
      <c r="AI70" s="249"/>
      <c r="AJ70" s="249"/>
      <c r="AK70" s="249"/>
      <c r="AL70" s="249"/>
      <c r="AM70" s="249"/>
      <c r="AN70" s="243">
        <f t="shared" si="148"/>
        <v>0</v>
      </c>
      <c r="AO70" s="249"/>
      <c r="AP70" s="249"/>
      <c r="AQ70" s="249"/>
      <c r="AR70" s="249"/>
      <c r="AS70" s="249"/>
      <c r="AT70" s="249"/>
      <c r="AU70" s="249"/>
      <c r="AV70" s="243">
        <f t="shared" si="149"/>
        <v>0</v>
      </c>
      <c r="AW70" s="249"/>
      <c r="AX70" s="249"/>
      <c r="AY70" s="249"/>
      <c r="AZ70" s="249"/>
      <c r="BA70" s="249"/>
      <c r="BB70" s="249"/>
      <c r="BC70" s="249"/>
      <c r="BD70" s="243">
        <f t="shared" si="150"/>
        <v>0</v>
      </c>
      <c r="BE70" s="249"/>
      <c r="BF70" s="249"/>
      <c r="BG70" s="249"/>
      <c r="BH70" s="249"/>
      <c r="BI70" s="249"/>
      <c r="BJ70" s="249"/>
      <c r="BK70" s="249"/>
      <c r="BL70" s="243">
        <f t="shared" si="151"/>
        <v>0</v>
      </c>
      <c r="BM70" s="249"/>
      <c r="BN70" s="249"/>
      <c r="BO70" s="249"/>
      <c r="BP70" s="249"/>
      <c r="BQ70" s="249"/>
      <c r="BR70" s="249"/>
      <c r="BS70" s="249"/>
      <c r="BT70" s="243">
        <f t="shared" si="152"/>
        <v>0</v>
      </c>
      <c r="BU70" s="249"/>
      <c r="BV70" s="249"/>
      <c r="BW70" s="249"/>
      <c r="BX70" s="249"/>
      <c r="BY70" s="249"/>
      <c r="BZ70" s="249"/>
      <c r="CA70" s="249"/>
      <c r="CB70" s="243">
        <f t="shared" si="153"/>
        <v>0</v>
      </c>
      <c r="CC70" s="249"/>
      <c r="CD70" s="249"/>
      <c r="CE70" s="249"/>
      <c r="CF70" s="249"/>
      <c r="CG70" s="249"/>
      <c r="CH70" s="249"/>
      <c r="CI70" s="249"/>
      <c r="CJ70" s="243">
        <f t="shared" si="154"/>
        <v>0</v>
      </c>
      <c r="CK70" s="249"/>
      <c r="CL70" s="249"/>
      <c r="CM70" s="249"/>
      <c r="CN70" s="249"/>
      <c r="CO70" s="249"/>
      <c r="CP70" s="249"/>
      <c r="CQ70" s="249"/>
      <c r="CR70" s="243">
        <f t="shared" si="155"/>
        <v>0</v>
      </c>
      <c r="CS70" s="249"/>
      <c r="CT70" s="249"/>
      <c r="CU70" s="249"/>
      <c r="CV70" s="249"/>
      <c r="CW70" s="249"/>
      <c r="CX70" s="249"/>
      <c r="CY70" s="249"/>
      <c r="CZ70" s="243">
        <f t="shared" si="156"/>
        <v>0</v>
      </c>
      <c r="DA70" s="249"/>
      <c r="DB70" s="249"/>
      <c r="DC70" s="249"/>
      <c r="DD70" s="249"/>
      <c r="DE70" s="249"/>
      <c r="DF70" s="249"/>
      <c r="DG70" s="249"/>
      <c r="DH70" s="243">
        <f t="shared" si="157"/>
        <v>0</v>
      </c>
      <c r="DI70" s="249"/>
      <c r="DJ70" s="249"/>
      <c r="DK70" s="249"/>
      <c r="DL70" s="249"/>
      <c r="DM70" s="249"/>
      <c r="DN70" s="249"/>
      <c r="DO70" s="249"/>
      <c r="DP70" s="243">
        <f t="shared" si="158"/>
        <v>0</v>
      </c>
      <c r="DQ70" s="249"/>
      <c r="DR70" s="249"/>
      <c r="DS70" s="249"/>
      <c r="DT70" s="249"/>
      <c r="DU70" s="249"/>
      <c r="DV70" s="249"/>
      <c r="DW70" s="249"/>
      <c r="DX70" s="243">
        <f t="shared" si="159"/>
        <v>0</v>
      </c>
      <c r="DY70" s="249"/>
      <c r="DZ70" s="249"/>
      <c r="EA70" s="249"/>
      <c r="EB70" s="249"/>
      <c r="EC70" s="249"/>
      <c r="ED70" s="249"/>
      <c r="EE70" s="249"/>
      <c r="EF70" s="243">
        <f t="shared" si="160"/>
        <v>0</v>
      </c>
      <c r="EG70" s="249"/>
      <c r="EH70" s="249"/>
      <c r="EI70" s="249"/>
      <c r="EJ70" s="249"/>
      <c r="EK70" s="249"/>
      <c r="EL70" s="249"/>
      <c r="EM70" s="249"/>
      <c r="EN70" s="243">
        <f t="shared" si="161"/>
        <v>0</v>
      </c>
      <c r="EO70" s="249"/>
      <c r="EP70" s="249"/>
      <c r="EQ70" s="249"/>
      <c r="ER70" s="249"/>
      <c r="ES70" s="249"/>
      <c r="ET70" s="249"/>
      <c r="EU70" s="249"/>
      <c r="EV70" s="243">
        <f t="shared" si="162"/>
        <v>0</v>
      </c>
      <c r="EW70" s="249"/>
      <c r="EX70" s="249"/>
      <c r="EY70" s="249"/>
      <c r="EZ70" s="249"/>
      <c r="FA70" s="249"/>
      <c r="FB70" s="249"/>
      <c r="FC70" s="249"/>
      <c r="FD70" s="243">
        <f t="shared" si="163"/>
        <v>0</v>
      </c>
      <c r="FE70" s="249"/>
      <c r="FF70" s="249"/>
      <c r="FG70" s="249"/>
      <c r="FH70" s="249"/>
      <c r="FI70" s="249"/>
      <c r="FJ70" s="249"/>
      <c r="FK70" s="249"/>
      <c r="FL70" s="243">
        <f t="shared" si="164"/>
        <v>0</v>
      </c>
      <c r="FM70" s="249"/>
      <c r="FN70" s="249"/>
      <c r="FO70" s="249"/>
      <c r="FP70" s="249"/>
      <c r="FQ70" s="249"/>
      <c r="FR70" s="249"/>
      <c r="FS70" s="249"/>
      <c r="FT70" s="243">
        <f t="shared" si="165"/>
        <v>0</v>
      </c>
      <c r="FU70" s="249"/>
      <c r="FV70" s="249"/>
      <c r="FW70" s="249"/>
      <c r="FX70" s="249"/>
      <c r="FY70" s="249"/>
      <c r="FZ70" s="249"/>
      <c r="GA70" s="249"/>
      <c r="GB70" s="243">
        <f t="shared" si="166"/>
        <v>0</v>
      </c>
      <c r="GC70" s="249"/>
      <c r="GD70" s="249"/>
      <c r="GE70" s="249"/>
      <c r="GF70" s="249"/>
      <c r="GG70" s="249"/>
      <c r="GH70" s="249"/>
      <c r="GI70" s="249"/>
      <c r="GJ70" s="243">
        <f t="shared" si="167"/>
        <v>0</v>
      </c>
      <c r="GK70" s="249"/>
      <c r="GL70" s="249"/>
      <c r="GM70" s="249"/>
      <c r="GN70" s="249"/>
      <c r="GO70" s="249"/>
      <c r="GP70" s="249"/>
      <c r="GQ70" s="249"/>
      <c r="GR70" s="243">
        <f t="shared" si="168"/>
        <v>0</v>
      </c>
      <c r="GS70" s="249"/>
      <c r="GT70" s="249"/>
      <c r="GU70" s="249"/>
      <c r="GV70" s="249"/>
      <c r="GW70" s="249"/>
      <c r="GX70" s="249"/>
      <c r="GY70" s="249"/>
      <c r="GZ70" s="243">
        <f t="shared" si="169"/>
        <v>0</v>
      </c>
      <c r="HA70" s="249"/>
      <c r="HB70" s="249"/>
      <c r="HC70" s="249"/>
      <c r="HD70" s="249"/>
      <c r="HE70" s="249"/>
      <c r="HF70" s="249"/>
      <c r="HG70" s="249"/>
      <c r="HH70" s="243">
        <f t="shared" si="170"/>
        <v>0</v>
      </c>
      <c r="HI70" s="249"/>
      <c r="HJ70" s="249"/>
      <c r="HK70" s="249"/>
      <c r="HL70" s="249"/>
      <c r="HM70" s="249"/>
      <c r="HN70" s="249"/>
      <c r="HO70" s="249"/>
      <c r="HP70" s="243">
        <f t="shared" si="171"/>
        <v>0</v>
      </c>
      <c r="HQ70" s="249"/>
      <c r="HR70" s="249"/>
      <c r="HS70" s="249"/>
      <c r="HT70" s="249"/>
      <c r="HU70" s="249"/>
      <c r="HV70" s="249"/>
      <c r="HW70" s="249"/>
      <c r="HX70" s="243">
        <f t="shared" si="172"/>
        <v>0</v>
      </c>
      <c r="HY70" s="249"/>
      <c r="HZ70" s="249"/>
      <c r="IA70" s="249"/>
      <c r="IB70" s="249"/>
      <c r="IC70" s="249"/>
      <c r="ID70" s="249"/>
      <c r="IE70" s="249"/>
      <c r="IF70" s="243">
        <f t="shared" si="173"/>
        <v>0</v>
      </c>
      <c r="IG70" s="249"/>
      <c r="IH70" s="249"/>
      <c r="II70" s="249"/>
      <c r="IJ70" s="249"/>
      <c r="IK70" s="249"/>
      <c r="IL70" s="249"/>
      <c r="IM70" s="249"/>
      <c r="IN70" s="243">
        <f t="shared" si="174"/>
        <v>0</v>
      </c>
      <c r="IO70" s="249"/>
      <c r="IP70" s="249"/>
      <c r="IQ70" s="249"/>
      <c r="IR70" s="249"/>
      <c r="IS70" s="249"/>
      <c r="IT70" s="249"/>
      <c r="IU70" s="249"/>
      <c r="IV70" s="243">
        <f t="shared" si="175"/>
        <v>0</v>
      </c>
      <c r="IW70" s="249"/>
      <c r="IX70" s="249"/>
      <c r="IY70" s="249"/>
      <c r="IZ70" s="249"/>
      <c r="JA70" s="249"/>
      <c r="JB70" s="249"/>
      <c r="JC70" s="249"/>
      <c r="JD70" s="243">
        <f t="shared" si="176"/>
        <v>0</v>
      </c>
      <c r="JE70" s="249"/>
      <c r="JF70" s="249"/>
      <c r="JG70" s="249"/>
      <c r="JH70" s="249"/>
      <c r="JI70" s="249"/>
      <c r="JJ70" s="249"/>
      <c r="JK70" s="249"/>
      <c r="JL70" s="243">
        <f t="shared" si="177"/>
        <v>0</v>
      </c>
      <c r="JM70" s="249"/>
      <c r="JN70" s="249"/>
      <c r="JO70" s="249"/>
      <c r="JP70" s="249"/>
      <c r="JQ70" s="249"/>
      <c r="JR70" s="249"/>
      <c r="JS70" s="249"/>
      <c r="JT70" s="243">
        <f t="shared" si="178"/>
        <v>0</v>
      </c>
      <c r="JU70" s="249"/>
      <c r="JV70" s="249"/>
      <c r="JW70" s="249"/>
      <c r="JX70" s="249"/>
      <c r="JY70" s="249"/>
      <c r="JZ70" s="249"/>
      <c r="KA70" s="249"/>
      <c r="KB70" s="243">
        <f t="shared" si="179"/>
        <v>0</v>
      </c>
      <c r="KC70" s="249"/>
      <c r="KD70" s="249"/>
      <c r="KE70" s="249"/>
      <c r="KF70" s="249"/>
      <c r="KG70" s="249"/>
      <c r="KH70" s="249"/>
      <c r="KI70" s="249"/>
      <c r="KJ70" s="243">
        <f t="shared" si="180"/>
        <v>0</v>
      </c>
      <c r="KK70" s="249"/>
      <c r="KL70" s="249"/>
      <c r="KM70" s="249"/>
      <c r="KN70" s="249"/>
      <c r="KO70" s="249"/>
      <c r="KP70" s="249"/>
      <c r="KQ70" s="249"/>
      <c r="KR70" s="243">
        <f t="shared" si="181"/>
        <v>0</v>
      </c>
      <c r="KS70" s="249"/>
      <c r="KT70" s="249"/>
      <c r="KU70" s="249"/>
      <c r="KV70" s="249"/>
      <c r="KW70" s="249"/>
      <c r="KX70" s="249"/>
      <c r="KY70" s="249"/>
      <c r="KZ70" s="243">
        <f t="shared" si="182"/>
        <v>0</v>
      </c>
      <c r="LA70" s="249"/>
      <c r="LB70" s="249"/>
      <c r="LC70" s="249"/>
      <c r="LD70" s="249"/>
      <c r="LE70" s="249"/>
      <c r="LF70" s="249"/>
      <c r="LG70" s="249"/>
      <c r="LH70" s="243">
        <f t="shared" si="183"/>
        <v>0</v>
      </c>
      <c r="LI70" s="249"/>
      <c r="LJ70" s="249"/>
      <c r="LK70" s="249"/>
      <c r="LL70" s="249"/>
      <c r="LM70" s="249"/>
      <c r="LN70" s="249"/>
      <c r="LO70" s="249"/>
      <c r="LP70" s="243">
        <f t="shared" si="184"/>
        <v>0</v>
      </c>
      <c r="LQ70" s="249"/>
      <c r="LR70" s="249"/>
      <c r="LS70" s="249"/>
      <c r="LT70" s="244">
        <f t="shared" si="185"/>
        <v>0</v>
      </c>
      <c r="LU70" s="249"/>
      <c r="LV70" s="249"/>
      <c r="LW70" s="249"/>
      <c r="LX70" s="249"/>
      <c r="LY70" s="249"/>
      <c r="LZ70" s="249"/>
      <c r="MA70" s="249"/>
      <c r="MB70" s="243">
        <f t="shared" si="186"/>
        <v>0</v>
      </c>
      <c r="MC70" s="249"/>
      <c r="MD70" s="249"/>
      <c r="ME70" s="249"/>
      <c r="MF70" s="249"/>
      <c r="MG70" s="249"/>
      <c r="MH70" s="249"/>
      <c r="MI70" s="249"/>
      <c r="MJ70" s="243">
        <f t="shared" si="187"/>
        <v>0</v>
      </c>
      <c r="MK70" s="249"/>
      <c r="ML70" s="249"/>
      <c r="MM70" s="249"/>
      <c r="MN70" s="249"/>
      <c r="MO70" s="249"/>
      <c r="MP70" s="249"/>
      <c r="MQ70" s="249"/>
      <c r="MR70" s="243">
        <f t="shared" si="188"/>
        <v>0</v>
      </c>
      <c r="MS70" s="274"/>
      <c r="MT70" s="249"/>
      <c r="MU70" s="249"/>
      <c r="MV70" s="249"/>
      <c r="MW70" s="249"/>
      <c r="MX70" s="249"/>
      <c r="MY70" s="249"/>
      <c r="MZ70" s="243">
        <f t="shared" si="189"/>
        <v>0</v>
      </c>
      <c r="NA70" s="249"/>
      <c r="NB70" s="249"/>
      <c r="NC70" s="249"/>
      <c r="ND70" s="243">
        <f t="shared" si="190"/>
        <v>0</v>
      </c>
      <c r="NE70" s="249"/>
      <c r="NF70" s="249"/>
      <c r="NG70" s="249"/>
      <c r="NH70" s="249"/>
      <c r="NI70" s="249"/>
      <c r="NJ70" s="249"/>
      <c r="NK70" s="249"/>
      <c r="NL70" s="243">
        <f t="shared" si="191"/>
        <v>0</v>
      </c>
      <c r="NM70" s="249"/>
      <c r="NN70" s="249"/>
      <c r="NO70" s="249"/>
      <c r="NP70" s="249"/>
      <c r="NQ70" s="249"/>
      <c r="NR70" s="249"/>
      <c r="NS70" s="249"/>
      <c r="NT70" s="243">
        <f t="shared" si="192"/>
        <v>0</v>
      </c>
      <c r="NU70" s="249"/>
      <c r="NV70" s="249"/>
      <c r="NW70" s="249"/>
      <c r="NX70" s="249"/>
      <c r="NY70" s="249"/>
      <c r="NZ70" s="249"/>
      <c r="OA70" s="249"/>
      <c r="OB70" s="243">
        <f t="shared" si="193"/>
        <v>0</v>
      </c>
      <c r="OC70" s="249"/>
      <c r="OD70" s="249"/>
      <c r="OE70" s="249"/>
      <c r="OF70" s="249"/>
      <c r="OG70" s="249"/>
      <c r="OH70" s="249"/>
      <c r="OI70" s="249"/>
      <c r="OJ70" s="243">
        <f t="shared" si="194"/>
        <v>0</v>
      </c>
      <c r="OK70" s="249"/>
      <c r="OL70" s="249"/>
      <c r="OM70" s="249"/>
      <c r="ON70" s="249"/>
      <c r="OO70" s="249"/>
      <c r="OP70" s="249"/>
      <c r="OQ70" s="249"/>
      <c r="OR70" s="243">
        <f t="shared" si="195"/>
        <v>0</v>
      </c>
      <c r="OS70" s="249"/>
      <c r="OT70" s="249"/>
      <c r="OU70" s="249"/>
      <c r="OV70" s="249"/>
      <c r="OW70" s="249"/>
      <c r="OX70" s="249"/>
      <c r="OY70" s="249"/>
      <c r="OZ70" s="243">
        <f t="shared" si="196"/>
        <v>0</v>
      </c>
      <c r="PA70" s="250"/>
      <c r="PB70" s="249"/>
      <c r="PC70" s="249"/>
      <c r="PD70" s="243">
        <f t="shared" si="197"/>
        <v>0</v>
      </c>
      <c r="PE70" s="250"/>
      <c r="PF70" s="249"/>
      <c r="PG70" s="249"/>
      <c r="PH70" s="249"/>
      <c r="PI70" s="249"/>
      <c r="PJ70" s="249"/>
      <c r="PK70" s="249"/>
      <c r="PL70" s="243">
        <f t="shared" ref="PL70:PL75" si="204">PK70/10*12</f>
        <v>0</v>
      </c>
      <c r="PM70" s="250"/>
      <c r="PN70" s="249"/>
      <c r="PO70" s="249"/>
      <c r="PP70" s="249"/>
      <c r="PQ70" s="249"/>
      <c r="PR70" s="249"/>
      <c r="PS70" s="249"/>
      <c r="PT70" s="243">
        <f t="shared" si="198"/>
        <v>0</v>
      </c>
      <c r="PU70" s="249"/>
      <c r="PV70" s="249"/>
      <c r="PW70" s="249"/>
      <c r="PX70" s="249"/>
      <c r="PY70" s="249"/>
      <c r="PZ70" s="249"/>
      <c r="QA70" s="249"/>
      <c r="QB70" s="243">
        <f t="shared" si="199"/>
        <v>0</v>
      </c>
      <c r="QC70" s="249"/>
      <c r="QD70" s="249"/>
      <c r="QE70" s="249"/>
      <c r="QF70" s="249"/>
      <c r="QG70" s="249"/>
      <c r="QH70" s="249"/>
      <c r="QI70" s="249"/>
      <c r="QJ70" s="243">
        <f t="shared" si="200"/>
        <v>0</v>
      </c>
      <c r="QK70" s="249"/>
      <c r="QL70" s="249"/>
      <c r="QM70" s="249"/>
      <c r="QN70" s="249"/>
      <c r="QO70" s="249"/>
      <c r="QP70" s="243">
        <f t="shared" si="201"/>
        <v>0</v>
      </c>
      <c r="QQ70" s="243"/>
      <c r="QR70" s="249"/>
      <c r="QS70" s="249"/>
      <c r="QT70" s="249"/>
      <c r="QU70" s="249"/>
      <c r="QV70" s="243">
        <f t="shared" si="202"/>
        <v>0</v>
      </c>
      <c r="QW70" s="249"/>
      <c r="QX70" s="249"/>
      <c r="QY70" s="249"/>
      <c r="QZ70" s="249"/>
      <c r="RA70" s="249"/>
      <c r="RB70" s="249"/>
      <c r="RC70" s="249"/>
      <c r="RD70" s="243">
        <f t="shared" si="203"/>
        <v>0</v>
      </c>
      <c r="RE70" s="301"/>
      <c r="RF70" s="259">
        <f t="shared" si="101"/>
        <v>0</v>
      </c>
      <c r="RG70" s="259">
        <f t="shared" si="141"/>
        <v>0</v>
      </c>
      <c r="RH70" s="259">
        <f t="shared" si="142"/>
        <v>0</v>
      </c>
      <c r="RI70" s="256">
        <f t="shared" si="143"/>
        <v>2800</v>
      </c>
    </row>
    <row r="71" spans="1:477">
      <c r="A71" s="8" t="s">
        <v>143</v>
      </c>
      <c r="B71" s="264"/>
      <c r="C71" s="249"/>
      <c r="D71" s="249"/>
      <c r="E71" s="249"/>
      <c r="F71" s="249"/>
      <c r="G71" s="243"/>
      <c r="H71" s="243">
        <f t="shared" si="144"/>
        <v>0</v>
      </c>
      <c r="I71" s="282">
        <v>10800</v>
      </c>
      <c r="J71" s="249"/>
      <c r="K71" s="249"/>
      <c r="L71" s="249"/>
      <c r="M71" s="249"/>
      <c r="N71" s="249"/>
      <c r="O71" s="249"/>
      <c r="P71" s="243">
        <f t="shared" si="145"/>
        <v>0</v>
      </c>
      <c r="Q71" s="249"/>
      <c r="R71" s="249"/>
      <c r="S71" s="249"/>
      <c r="T71" s="249"/>
      <c r="U71" s="249"/>
      <c r="V71" s="249"/>
      <c r="W71" s="250"/>
      <c r="X71" s="243">
        <f t="shared" si="146"/>
        <v>0</v>
      </c>
      <c r="Y71" s="249"/>
      <c r="Z71" s="249"/>
      <c r="AA71" s="249"/>
      <c r="AB71" s="249"/>
      <c r="AC71" s="249"/>
      <c r="AD71" s="249"/>
      <c r="AE71" s="249"/>
      <c r="AF71" s="243">
        <f t="shared" si="147"/>
        <v>0</v>
      </c>
      <c r="AG71" s="249"/>
      <c r="AH71" s="249"/>
      <c r="AI71" s="249"/>
      <c r="AJ71" s="249"/>
      <c r="AK71" s="249"/>
      <c r="AL71" s="249"/>
      <c r="AM71" s="249"/>
      <c r="AN71" s="243">
        <f t="shared" si="148"/>
        <v>0</v>
      </c>
      <c r="AO71" s="249"/>
      <c r="AP71" s="249"/>
      <c r="AQ71" s="249"/>
      <c r="AR71" s="249"/>
      <c r="AS71" s="249"/>
      <c r="AT71" s="249"/>
      <c r="AU71" s="249"/>
      <c r="AV71" s="243">
        <f t="shared" si="149"/>
        <v>0</v>
      </c>
      <c r="AW71" s="249"/>
      <c r="AX71" s="249"/>
      <c r="AY71" s="249"/>
      <c r="AZ71" s="249"/>
      <c r="BA71" s="249"/>
      <c r="BB71" s="249"/>
      <c r="BC71" s="249"/>
      <c r="BD71" s="243">
        <f t="shared" si="150"/>
        <v>0</v>
      </c>
      <c r="BE71" s="249"/>
      <c r="BF71" s="249"/>
      <c r="BG71" s="249"/>
      <c r="BH71" s="249"/>
      <c r="BI71" s="249"/>
      <c r="BJ71" s="249"/>
      <c r="BK71" s="249"/>
      <c r="BL71" s="243">
        <f t="shared" si="151"/>
        <v>0</v>
      </c>
      <c r="BM71" s="249"/>
      <c r="BN71" s="249"/>
      <c r="BO71" s="249"/>
      <c r="BP71" s="249"/>
      <c r="BQ71" s="249"/>
      <c r="BR71" s="249"/>
      <c r="BS71" s="249"/>
      <c r="BT71" s="243">
        <f t="shared" si="152"/>
        <v>0</v>
      </c>
      <c r="BU71" s="249"/>
      <c r="BV71" s="249"/>
      <c r="BW71" s="249"/>
      <c r="BX71" s="249"/>
      <c r="BY71" s="249"/>
      <c r="BZ71" s="249"/>
      <c r="CA71" s="249"/>
      <c r="CB71" s="243">
        <f t="shared" si="153"/>
        <v>0</v>
      </c>
      <c r="CC71" s="249"/>
      <c r="CD71" s="249"/>
      <c r="CE71" s="249"/>
      <c r="CF71" s="249"/>
      <c r="CG71" s="249"/>
      <c r="CH71" s="249"/>
      <c r="CI71" s="249"/>
      <c r="CJ71" s="243">
        <f t="shared" si="154"/>
        <v>0</v>
      </c>
      <c r="CK71" s="249"/>
      <c r="CL71" s="249"/>
      <c r="CM71" s="249"/>
      <c r="CN71" s="249"/>
      <c r="CO71" s="249"/>
      <c r="CP71" s="249"/>
      <c r="CQ71" s="249"/>
      <c r="CR71" s="243">
        <f t="shared" si="155"/>
        <v>0</v>
      </c>
      <c r="CS71" s="249"/>
      <c r="CT71" s="249"/>
      <c r="CU71" s="249"/>
      <c r="CV71" s="249"/>
      <c r="CW71" s="249"/>
      <c r="CX71" s="249"/>
      <c r="CY71" s="249"/>
      <c r="CZ71" s="243">
        <f t="shared" si="156"/>
        <v>0</v>
      </c>
      <c r="DA71" s="249"/>
      <c r="DB71" s="249"/>
      <c r="DC71" s="249"/>
      <c r="DD71" s="249"/>
      <c r="DE71" s="249"/>
      <c r="DF71" s="249"/>
      <c r="DG71" s="249"/>
      <c r="DH71" s="243">
        <f t="shared" si="157"/>
        <v>0</v>
      </c>
      <c r="DI71" s="249"/>
      <c r="DJ71" s="249"/>
      <c r="DK71" s="249"/>
      <c r="DL71" s="249"/>
      <c r="DM71" s="249"/>
      <c r="DN71" s="249"/>
      <c r="DO71" s="249"/>
      <c r="DP71" s="243">
        <f t="shared" si="158"/>
        <v>0</v>
      </c>
      <c r="DQ71" s="249"/>
      <c r="DR71" s="249"/>
      <c r="DS71" s="249"/>
      <c r="DT71" s="249"/>
      <c r="DU71" s="249"/>
      <c r="DV71" s="249"/>
      <c r="DW71" s="249"/>
      <c r="DX71" s="243">
        <f t="shared" si="159"/>
        <v>0</v>
      </c>
      <c r="DY71" s="249"/>
      <c r="DZ71" s="249"/>
      <c r="EA71" s="249"/>
      <c r="EB71" s="249"/>
      <c r="EC71" s="249"/>
      <c r="ED71" s="249"/>
      <c r="EE71" s="249"/>
      <c r="EF71" s="243">
        <f t="shared" si="160"/>
        <v>0</v>
      </c>
      <c r="EG71" s="249"/>
      <c r="EH71" s="249"/>
      <c r="EI71" s="249"/>
      <c r="EJ71" s="249"/>
      <c r="EK71" s="249"/>
      <c r="EL71" s="249"/>
      <c r="EM71" s="249"/>
      <c r="EN71" s="243">
        <f t="shared" si="161"/>
        <v>0</v>
      </c>
      <c r="EO71" s="249"/>
      <c r="EP71" s="249"/>
      <c r="EQ71" s="249"/>
      <c r="ER71" s="249"/>
      <c r="ES71" s="249"/>
      <c r="ET71" s="249"/>
      <c r="EU71" s="249"/>
      <c r="EV71" s="243">
        <f t="shared" si="162"/>
        <v>0</v>
      </c>
      <c r="EW71" s="249"/>
      <c r="EX71" s="249"/>
      <c r="EY71" s="249"/>
      <c r="EZ71" s="249"/>
      <c r="FA71" s="249"/>
      <c r="FB71" s="249"/>
      <c r="FC71" s="249"/>
      <c r="FD71" s="243">
        <f t="shared" si="163"/>
        <v>0</v>
      </c>
      <c r="FE71" s="249"/>
      <c r="FF71" s="249"/>
      <c r="FG71" s="249"/>
      <c r="FH71" s="249"/>
      <c r="FI71" s="249"/>
      <c r="FJ71" s="249"/>
      <c r="FK71" s="249"/>
      <c r="FL71" s="243">
        <f t="shared" si="164"/>
        <v>0</v>
      </c>
      <c r="FM71" s="249"/>
      <c r="FN71" s="249"/>
      <c r="FO71" s="249"/>
      <c r="FP71" s="249"/>
      <c r="FQ71" s="249"/>
      <c r="FR71" s="249"/>
      <c r="FS71" s="249"/>
      <c r="FT71" s="243">
        <f t="shared" si="165"/>
        <v>0</v>
      </c>
      <c r="FU71" s="249"/>
      <c r="FV71" s="249"/>
      <c r="FW71" s="249"/>
      <c r="FX71" s="249"/>
      <c r="FY71" s="249"/>
      <c r="FZ71" s="249"/>
      <c r="GA71" s="249"/>
      <c r="GB71" s="243">
        <f t="shared" si="166"/>
        <v>0</v>
      </c>
      <c r="GC71" s="249"/>
      <c r="GD71" s="249"/>
      <c r="GE71" s="249"/>
      <c r="GF71" s="249"/>
      <c r="GG71" s="249"/>
      <c r="GH71" s="249"/>
      <c r="GI71" s="249"/>
      <c r="GJ71" s="243">
        <f t="shared" si="167"/>
        <v>0</v>
      </c>
      <c r="GK71" s="249"/>
      <c r="GL71" s="249"/>
      <c r="GM71" s="249"/>
      <c r="GN71" s="249"/>
      <c r="GO71" s="249"/>
      <c r="GP71" s="249"/>
      <c r="GQ71" s="249"/>
      <c r="GR71" s="243">
        <f t="shared" si="168"/>
        <v>0</v>
      </c>
      <c r="GS71" s="249"/>
      <c r="GT71" s="249"/>
      <c r="GU71" s="249"/>
      <c r="GV71" s="249"/>
      <c r="GW71" s="249"/>
      <c r="GX71" s="249"/>
      <c r="GY71" s="249"/>
      <c r="GZ71" s="243">
        <f t="shared" si="169"/>
        <v>0</v>
      </c>
      <c r="HA71" s="249"/>
      <c r="HB71" s="249"/>
      <c r="HC71" s="249"/>
      <c r="HD71" s="249"/>
      <c r="HE71" s="249"/>
      <c r="HF71" s="249"/>
      <c r="HG71" s="249"/>
      <c r="HH71" s="243">
        <f t="shared" si="170"/>
        <v>0</v>
      </c>
      <c r="HI71" s="249"/>
      <c r="HJ71" s="249"/>
      <c r="HK71" s="249"/>
      <c r="HL71" s="249"/>
      <c r="HM71" s="249"/>
      <c r="HN71" s="249"/>
      <c r="HO71" s="249"/>
      <c r="HP71" s="243">
        <f t="shared" si="171"/>
        <v>0</v>
      </c>
      <c r="HQ71" s="249"/>
      <c r="HR71" s="249"/>
      <c r="HS71" s="249"/>
      <c r="HT71" s="249"/>
      <c r="HU71" s="249"/>
      <c r="HV71" s="249"/>
      <c r="HW71" s="249"/>
      <c r="HX71" s="243">
        <f t="shared" si="172"/>
        <v>0</v>
      </c>
      <c r="HY71" s="249"/>
      <c r="HZ71" s="249"/>
      <c r="IA71" s="249"/>
      <c r="IB71" s="249"/>
      <c r="IC71" s="249"/>
      <c r="ID71" s="249"/>
      <c r="IE71" s="249"/>
      <c r="IF71" s="243">
        <f t="shared" si="173"/>
        <v>0</v>
      </c>
      <c r="IG71" s="249"/>
      <c r="IH71" s="249"/>
      <c r="II71" s="249"/>
      <c r="IJ71" s="249"/>
      <c r="IK71" s="249"/>
      <c r="IL71" s="249"/>
      <c r="IM71" s="249"/>
      <c r="IN71" s="243">
        <f t="shared" si="174"/>
        <v>0</v>
      </c>
      <c r="IO71" s="249"/>
      <c r="IP71" s="249"/>
      <c r="IQ71" s="249"/>
      <c r="IR71" s="249"/>
      <c r="IS71" s="249"/>
      <c r="IT71" s="249"/>
      <c r="IU71" s="249"/>
      <c r="IV71" s="243">
        <f t="shared" si="175"/>
        <v>0</v>
      </c>
      <c r="IW71" s="249"/>
      <c r="IX71" s="249"/>
      <c r="IY71" s="249"/>
      <c r="IZ71" s="249"/>
      <c r="JA71" s="249"/>
      <c r="JB71" s="249"/>
      <c r="JC71" s="249"/>
      <c r="JD71" s="243">
        <f t="shared" si="176"/>
        <v>0</v>
      </c>
      <c r="JE71" s="249"/>
      <c r="JF71" s="249"/>
      <c r="JG71" s="249"/>
      <c r="JH71" s="249"/>
      <c r="JI71" s="249"/>
      <c r="JJ71" s="249"/>
      <c r="JK71" s="249"/>
      <c r="JL71" s="243">
        <f t="shared" si="177"/>
        <v>0</v>
      </c>
      <c r="JM71" s="249"/>
      <c r="JN71" s="249"/>
      <c r="JO71" s="249"/>
      <c r="JP71" s="249"/>
      <c r="JQ71" s="249"/>
      <c r="JR71" s="249"/>
      <c r="JS71" s="249"/>
      <c r="JT71" s="243">
        <f t="shared" si="178"/>
        <v>0</v>
      </c>
      <c r="JU71" s="249"/>
      <c r="JV71" s="249"/>
      <c r="JW71" s="249"/>
      <c r="JX71" s="249"/>
      <c r="JY71" s="249"/>
      <c r="JZ71" s="249"/>
      <c r="KA71" s="249"/>
      <c r="KB71" s="243">
        <f t="shared" si="179"/>
        <v>0</v>
      </c>
      <c r="KC71" s="249"/>
      <c r="KD71" s="249"/>
      <c r="KE71" s="249"/>
      <c r="KF71" s="249"/>
      <c r="KG71" s="249"/>
      <c r="KH71" s="249"/>
      <c r="KI71" s="249"/>
      <c r="KJ71" s="243">
        <f t="shared" si="180"/>
        <v>0</v>
      </c>
      <c r="KK71" s="249"/>
      <c r="KL71" s="249"/>
      <c r="KM71" s="249"/>
      <c r="KN71" s="249"/>
      <c r="KO71" s="249"/>
      <c r="KP71" s="249"/>
      <c r="KQ71" s="249"/>
      <c r="KR71" s="243">
        <f t="shared" si="181"/>
        <v>0</v>
      </c>
      <c r="KS71" s="249"/>
      <c r="KT71" s="249"/>
      <c r="KU71" s="249"/>
      <c r="KV71" s="249"/>
      <c r="KW71" s="249"/>
      <c r="KX71" s="249"/>
      <c r="KY71" s="249"/>
      <c r="KZ71" s="243">
        <f t="shared" si="182"/>
        <v>0</v>
      </c>
      <c r="LA71" s="249"/>
      <c r="LB71" s="249"/>
      <c r="LC71" s="249"/>
      <c r="LD71" s="249"/>
      <c r="LE71" s="249"/>
      <c r="LF71" s="249"/>
      <c r="LG71" s="249"/>
      <c r="LH71" s="243">
        <f t="shared" si="183"/>
        <v>0</v>
      </c>
      <c r="LI71" s="249"/>
      <c r="LJ71" s="249"/>
      <c r="LK71" s="249"/>
      <c r="LL71" s="249"/>
      <c r="LM71" s="249"/>
      <c r="LN71" s="249"/>
      <c r="LO71" s="249"/>
      <c r="LP71" s="243">
        <f t="shared" si="184"/>
        <v>0</v>
      </c>
      <c r="LQ71" s="249"/>
      <c r="LR71" s="249"/>
      <c r="LS71" s="249"/>
      <c r="LT71" s="244">
        <f t="shared" si="185"/>
        <v>0</v>
      </c>
      <c r="LU71" s="249"/>
      <c r="LV71" s="249"/>
      <c r="LW71" s="249"/>
      <c r="LX71" s="249"/>
      <c r="LY71" s="249"/>
      <c r="LZ71" s="249"/>
      <c r="MA71" s="249"/>
      <c r="MB71" s="243">
        <f t="shared" si="186"/>
        <v>0</v>
      </c>
      <c r="MC71" s="249"/>
      <c r="MD71" s="249"/>
      <c r="ME71" s="249"/>
      <c r="MF71" s="249"/>
      <c r="MG71" s="249"/>
      <c r="MH71" s="249"/>
      <c r="MI71" s="249"/>
      <c r="MJ71" s="243">
        <f t="shared" si="187"/>
        <v>0</v>
      </c>
      <c r="MK71" s="249"/>
      <c r="ML71" s="249"/>
      <c r="MM71" s="249"/>
      <c r="MN71" s="249"/>
      <c r="MO71" s="249"/>
      <c r="MP71" s="249"/>
      <c r="MQ71" s="249"/>
      <c r="MR71" s="243">
        <f t="shared" si="188"/>
        <v>0</v>
      </c>
      <c r="MS71" s="274"/>
      <c r="MT71" s="249"/>
      <c r="MU71" s="249"/>
      <c r="MV71" s="249"/>
      <c r="MW71" s="249"/>
      <c r="MX71" s="249"/>
      <c r="MY71" s="249"/>
      <c r="MZ71" s="243">
        <f t="shared" si="189"/>
        <v>0</v>
      </c>
      <c r="NA71" s="249"/>
      <c r="NB71" s="249"/>
      <c r="NC71" s="249"/>
      <c r="ND71" s="243">
        <f t="shared" si="190"/>
        <v>0</v>
      </c>
      <c r="NE71" s="249"/>
      <c r="NF71" s="249"/>
      <c r="NG71" s="249"/>
      <c r="NH71" s="249"/>
      <c r="NI71" s="249"/>
      <c r="NJ71" s="249"/>
      <c r="NK71" s="249"/>
      <c r="NL71" s="243">
        <f t="shared" si="191"/>
        <v>0</v>
      </c>
      <c r="NM71" s="249"/>
      <c r="NN71" s="249"/>
      <c r="NO71" s="249"/>
      <c r="NP71" s="249"/>
      <c r="NQ71" s="249"/>
      <c r="NR71" s="249"/>
      <c r="NS71" s="249"/>
      <c r="NT71" s="243">
        <f t="shared" si="192"/>
        <v>0</v>
      </c>
      <c r="NU71" s="249"/>
      <c r="NV71" s="249"/>
      <c r="NW71" s="249"/>
      <c r="NX71" s="249"/>
      <c r="NY71" s="249"/>
      <c r="NZ71" s="249"/>
      <c r="OA71" s="249"/>
      <c r="OB71" s="243">
        <f t="shared" si="193"/>
        <v>0</v>
      </c>
      <c r="OC71" s="249"/>
      <c r="OD71" s="249"/>
      <c r="OE71" s="249"/>
      <c r="OF71" s="249"/>
      <c r="OG71" s="249"/>
      <c r="OH71" s="249"/>
      <c r="OI71" s="249"/>
      <c r="OJ71" s="243">
        <f t="shared" si="194"/>
        <v>0</v>
      </c>
      <c r="OK71" s="249"/>
      <c r="OL71" s="249"/>
      <c r="OM71" s="249"/>
      <c r="ON71" s="249"/>
      <c r="OO71" s="249"/>
      <c r="OP71" s="249"/>
      <c r="OQ71" s="249"/>
      <c r="OR71" s="243">
        <f t="shared" si="195"/>
        <v>0</v>
      </c>
      <c r="OS71" s="249"/>
      <c r="OT71" s="249"/>
      <c r="OU71" s="249"/>
      <c r="OV71" s="249"/>
      <c r="OW71" s="249"/>
      <c r="OX71" s="249"/>
      <c r="OY71" s="249"/>
      <c r="OZ71" s="243">
        <f t="shared" si="196"/>
        <v>0</v>
      </c>
      <c r="PA71" s="250"/>
      <c r="PB71" s="249"/>
      <c r="PC71" s="249"/>
      <c r="PD71" s="243">
        <f t="shared" si="197"/>
        <v>0</v>
      </c>
      <c r="PE71" s="250"/>
      <c r="PF71" s="249"/>
      <c r="PG71" s="249"/>
      <c r="PH71" s="249"/>
      <c r="PI71" s="249"/>
      <c r="PJ71" s="249"/>
      <c r="PK71" s="249"/>
      <c r="PL71" s="243">
        <f t="shared" si="204"/>
        <v>0</v>
      </c>
      <c r="PM71" s="250"/>
      <c r="PN71" s="249"/>
      <c r="PO71" s="249"/>
      <c r="PP71" s="249"/>
      <c r="PQ71" s="249"/>
      <c r="PR71" s="249"/>
      <c r="PS71" s="249"/>
      <c r="PT71" s="243">
        <f t="shared" si="198"/>
        <v>0</v>
      </c>
      <c r="PU71" s="249"/>
      <c r="PV71" s="249"/>
      <c r="PW71" s="249"/>
      <c r="PX71" s="249"/>
      <c r="PY71" s="249"/>
      <c r="PZ71" s="249"/>
      <c r="QA71" s="249"/>
      <c r="QB71" s="243">
        <f t="shared" si="199"/>
        <v>0</v>
      </c>
      <c r="QC71" s="249"/>
      <c r="QD71" s="249"/>
      <c r="QE71" s="249"/>
      <c r="QF71" s="249"/>
      <c r="QG71" s="249"/>
      <c r="QH71" s="249"/>
      <c r="QI71" s="249"/>
      <c r="QJ71" s="243">
        <f t="shared" si="200"/>
        <v>0</v>
      </c>
      <c r="QK71" s="249"/>
      <c r="QL71" s="249"/>
      <c r="QM71" s="249"/>
      <c r="QN71" s="249"/>
      <c r="QO71" s="249"/>
      <c r="QP71" s="243">
        <f t="shared" si="201"/>
        <v>0</v>
      </c>
      <c r="QQ71" s="243"/>
      <c r="QR71" s="249"/>
      <c r="QS71" s="249"/>
      <c r="QT71" s="249"/>
      <c r="QU71" s="249"/>
      <c r="QV71" s="243">
        <f t="shared" si="202"/>
        <v>0</v>
      </c>
      <c r="QW71" s="249"/>
      <c r="QX71" s="249"/>
      <c r="QY71" s="249"/>
      <c r="QZ71" s="249"/>
      <c r="RA71" s="249"/>
      <c r="RB71" s="249"/>
      <c r="RC71" s="249"/>
      <c r="RD71" s="243">
        <f t="shared" si="203"/>
        <v>0</v>
      </c>
      <c r="RE71" s="301"/>
      <c r="RF71" s="259">
        <f t="shared" si="101"/>
        <v>0</v>
      </c>
      <c r="RG71" s="259">
        <f t="shared" si="141"/>
        <v>0</v>
      </c>
      <c r="RH71" s="259">
        <f t="shared" si="142"/>
        <v>0</v>
      </c>
      <c r="RI71" s="256">
        <f t="shared" si="143"/>
        <v>10800</v>
      </c>
    </row>
    <row r="72" spans="1:477">
      <c r="A72" s="8" t="s">
        <v>144</v>
      </c>
      <c r="B72" s="264"/>
      <c r="C72" s="249"/>
      <c r="D72" s="249"/>
      <c r="E72" s="249"/>
      <c r="F72" s="249"/>
      <c r="G72" s="243"/>
      <c r="H72" s="243">
        <f t="shared" si="144"/>
        <v>0</v>
      </c>
      <c r="I72" s="282">
        <v>4000</v>
      </c>
      <c r="J72" s="249"/>
      <c r="K72" s="249"/>
      <c r="L72" s="249"/>
      <c r="M72" s="249"/>
      <c r="N72" s="249"/>
      <c r="O72" s="249"/>
      <c r="P72" s="243">
        <f t="shared" si="145"/>
        <v>0</v>
      </c>
      <c r="Q72" s="249"/>
      <c r="R72" s="249"/>
      <c r="S72" s="249"/>
      <c r="T72" s="249"/>
      <c r="U72" s="249"/>
      <c r="V72" s="249"/>
      <c r="W72" s="250"/>
      <c r="X72" s="243">
        <f t="shared" si="146"/>
        <v>0</v>
      </c>
      <c r="Y72" s="249"/>
      <c r="Z72" s="249"/>
      <c r="AA72" s="249"/>
      <c r="AB72" s="249"/>
      <c r="AC72" s="249"/>
      <c r="AD72" s="249"/>
      <c r="AE72" s="249"/>
      <c r="AF72" s="243">
        <f t="shared" si="147"/>
        <v>0</v>
      </c>
      <c r="AG72" s="249"/>
      <c r="AH72" s="249"/>
      <c r="AI72" s="249"/>
      <c r="AJ72" s="249"/>
      <c r="AK72" s="249"/>
      <c r="AL72" s="249"/>
      <c r="AM72" s="249"/>
      <c r="AN72" s="243">
        <f t="shared" si="148"/>
        <v>0</v>
      </c>
      <c r="AO72" s="249"/>
      <c r="AP72" s="249"/>
      <c r="AQ72" s="249"/>
      <c r="AR72" s="249"/>
      <c r="AS72" s="249"/>
      <c r="AT72" s="249"/>
      <c r="AU72" s="249"/>
      <c r="AV72" s="243">
        <f t="shared" si="149"/>
        <v>0</v>
      </c>
      <c r="AW72" s="249"/>
      <c r="AX72" s="249"/>
      <c r="AY72" s="249"/>
      <c r="AZ72" s="249"/>
      <c r="BA72" s="249"/>
      <c r="BB72" s="249"/>
      <c r="BC72" s="249"/>
      <c r="BD72" s="243">
        <f t="shared" si="150"/>
        <v>0</v>
      </c>
      <c r="BE72" s="249"/>
      <c r="BF72" s="249"/>
      <c r="BG72" s="249"/>
      <c r="BH72" s="249"/>
      <c r="BI72" s="249"/>
      <c r="BJ72" s="249"/>
      <c r="BK72" s="249"/>
      <c r="BL72" s="243">
        <f t="shared" si="151"/>
        <v>0</v>
      </c>
      <c r="BM72" s="249"/>
      <c r="BN72" s="249"/>
      <c r="BO72" s="249"/>
      <c r="BP72" s="249"/>
      <c r="BQ72" s="249"/>
      <c r="BR72" s="249"/>
      <c r="BS72" s="249"/>
      <c r="BT72" s="243">
        <f t="shared" si="152"/>
        <v>0</v>
      </c>
      <c r="BU72" s="249"/>
      <c r="BV72" s="249"/>
      <c r="BW72" s="249"/>
      <c r="BX72" s="249"/>
      <c r="BY72" s="249"/>
      <c r="BZ72" s="249"/>
      <c r="CA72" s="249"/>
      <c r="CB72" s="243">
        <f t="shared" si="153"/>
        <v>0</v>
      </c>
      <c r="CC72" s="249"/>
      <c r="CD72" s="249"/>
      <c r="CE72" s="249"/>
      <c r="CF72" s="249"/>
      <c r="CG72" s="249"/>
      <c r="CH72" s="249"/>
      <c r="CI72" s="249"/>
      <c r="CJ72" s="243">
        <f t="shared" si="154"/>
        <v>0</v>
      </c>
      <c r="CK72" s="249"/>
      <c r="CL72" s="249"/>
      <c r="CM72" s="249"/>
      <c r="CN72" s="249"/>
      <c r="CO72" s="249"/>
      <c r="CP72" s="249"/>
      <c r="CQ72" s="249"/>
      <c r="CR72" s="243">
        <f t="shared" si="155"/>
        <v>0</v>
      </c>
      <c r="CS72" s="249"/>
      <c r="CT72" s="249"/>
      <c r="CU72" s="249"/>
      <c r="CV72" s="249"/>
      <c r="CW72" s="249"/>
      <c r="CX72" s="249"/>
      <c r="CY72" s="249"/>
      <c r="CZ72" s="243">
        <f t="shared" si="156"/>
        <v>0</v>
      </c>
      <c r="DA72" s="249"/>
      <c r="DB72" s="249"/>
      <c r="DC72" s="249"/>
      <c r="DD72" s="249"/>
      <c r="DE72" s="249"/>
      <c r="DF72" s="249"/>
      <c r="DG72" s="249"/>
      <c r="DH72" s="243">
        <f t="shared" si="157"/>
        <v>0</v>
      </c>
      <c r="DI72" s="249"/>
      <c r="DJ72" s="249"/>
      <c r="DK72" s="249"/>
      <c r="DL72" s="249"/>
      <c r="DM72" s="249"/>
      <c r="DN72" s="249"/>
      <c r="DO72" s="249"/>
      <c r="DP72" s="243">
        <f t="shared" si="158"/>
        <v>0</v>
      </c>
      <c r="DQ72" s="249"/>
      <c r="DR72" s="249"/>
      <c r="DS72" s="249"/>
      <c r="DT72" s="249"/>
      <c r="DU72" s="249"/>
      <c r="DV72" s="249"/>
      <c r="DW72" s="249"/>
      <c r="DX72" s="243">
        <f t="shared" si="159"/>
        <v>0</v>
      </c>
      <c r="DY72" s="249"/>
      <c r="DZ72" s="249"/>
      <c r="EA72" s="249"/>
      <c r="EB72" s="249"/>
      <c r="EC72" s="249"/>
      <c r="ED72" s="249"/>
      <c r="EE72" s="249"/>
      <c r="EF72" s="243">
        <f t="shared" si="160"/>
        <v>0</v>
      </c>
      <c r="EG72" s="249"/>
      <c r="EH72" s="249"/>
      <c r="EI72" s="249"/>
      <c r="EJ72" s="249"/>
      <c r="EK72" s="249"/>
      <c r="EL72" s="249"/>
      <c r="EM72" s="249"/>
      <c r="EN72" s="243">
        <f t="shared" si="161"/>
        <v>0</v>
      </c>
      <c r="EO72" s="249"/>
      <c r="EP72" s="249"/>
      <c r="EQ72" s="249"/>
      <c r="ER72" s="249"/>
      <c r="ES72" s="249"/>
      <c r="ET72" s="249"/>
      <c r="EU72" s="249"/>
      <c r="EV72" s="243">
        <f t="shared" si="162"/>
        <v>0</v>
      </c>
      <c r="EW72" s="249"/>
      <c r="EX72" s="249"/>
      <c r="EY72" s="249"/>
      <c r="EZ72" s="249"/>
      <c r="FA72" s="249"/>
      <c r="FB72" s="249"/>
      <c r="FC72" s="249"/>
      <c r="FD72" s="243">
        <f t="shared" si="163"/>
        <v>0</v>
      </c>
      <c r="FE72" s="249"/>
      <c r="FF72" s="249"/>
      <c r="FG72" s="249"/>
      <c r="FH72" s="249"/>
      <c r="FI72" s="249"/>
      <c r="FJ72" s="249"/>
      <c r="FK72" s="249"/>
      <c r="FL72" s="243">
        <f t="shared" si="164"/>
        <v>0</v>
      </c>
      <c r="FM72" s="249"/>
      <c r="FN72" s="249"/>
      <c r="FO72" s="249"/>
      <c r="FP72" s="249"/>
      <c r="FQ72" s="249"/>
      <c r="FR72" s="249"/>
      <c r="FS72" s="249"/>
      <c r="FT72" s="243">
        <f t="shared" si="165"/>
        <v>0</v>
      </c>
      <c r="FU72" s="249"/>
      <c r="FV72" s="249"/>
      <c r="FW72" s="249"/>
      <c r="FX72" s="249"/>
      <c r="FY72" s="249"/>
      <c r="FZ72" s="249"/>
      <c r="GA72" s="249"/>
      <c r="GB72" s="243">
        <f t="shared" si="166"/>
        <v>0</v>
      </c>
      <c r="GC72" s="249"/>
      <c r="GD72" s="249"/>
      <c r="GE72" s="249"/>
      <c r="GF72" s="249"/>
      <c r="GG72" s="249"/>
      <c r="GH72" s="249"/>
      <c r="GI72" s="249"/>
      <c r="GJ72" s="243">
        <f t="shared" si="167"/>
        <v>0</v>
      </c>
      <c r="GK72" s="249"/>
      <c r="GL72" s="249"/>
      <c r="GM72" s="249"/>
      <c r="GN72" s="249"/>
      <c r="GO72" s="249"/>
      <c r="GP72" s="249"/>
      <c r="GQ72" s="249"/>
      <c r="GR72" s="243">
        <f t="shared" si="168"/>
        <v>0</v>
      </c>
      <c r="GS72" s="249"/>
      <c r="GT72" s="249"/>
      <c r="GU72" s="249"/>
      <c r="GV72" s="249"/>
      <c r="GW72" s="249"/>
      <c r="GX72" s="249"/>
      <c r="GY72" s="249"/>
      <c r="GZ72" s="243">
        <f t="shared" si="169"/>
        <v>0</v>
      </c>
      <c r="HA72" s="249"/>
      <c r="HB72" s="249"/>
      <c r="HC72" s="249"/>
      <c r="HD72" s="249"/>
      <c r="HE72" s="249"/>
      <c r="HF72" s="249"/>
      <c r="HG72" s="249"/>
      <c r="HH72" s="243">
        <f t="shared" si="170"/>
        <v>0</v>
      </c>
      <c r="HI72" s="249"/>
      <c r="HJ72" s="249"/>
      <c r="HK72" s="249"/>
      <c r="HL72" s="249"/>
      <c r="HM72" s="249"/>
      <c r="HN72" s="249"/>
      <c r="HO72" s="249"/>
      <c r="HP72" s="243">
        <f t="shared" si="171"/>
        <v>0</v>
      </c>
      <c r="HQ72" s="249"/>
      <c r="HR72" s="249"/>
      <c r="HS72" s="249"/>
      <c r="HT72" s="249"/>
      <c r="HU72" s="249"/>
      <c r="HV72" s="249"/>
      <c r="HW72" s="249"/>
      <c r="HX72" s="243">
        <f t="shared" si="172"/>
        <v>0</v>
      </c>
      <c r="HY72" s="249"/>
      <c r="HZ72" s="249"/>
      <c r="IA72" s="249"/>
      <c r="IB72" s="249"/>
      <c r="IC72" s="249"/>
      <c r="ID72" s="249"/>
      <c r="IE72" s="249"/>
      <c r="IF72" s="243">
        <f t="shared" si="173"/>
        <v>0</v>
      </c>
      <c r="IG72" s="249"/>
      <c r="IH72" s="249"/>
      <c r="II72" s="249"/>
      <c r="IJ72" s="249"/>
      <c r="IK72" s="249"/>
      <c r="IL72" s="249"/>
      <c r="IM72" s="249"/>
      <c r="IN72" s="243">
        <f t="shared" si="174"/>
        <v>0</v>
      </c>
      <c r="IO72" s="249"/>
      <c r="IP72" s="249"/>
      <c r="IQ72" s="249"/>
      <c r="IR72" s="249"/>
      <c r="IS72" s="249"/>
      <c r="IT72" s="249"/>
      <c r="IU72" s="249"/>
      <c r="IV72" s="243">
        <f t="shared" si="175"/>
        <v>0</v>
      </c>
      <c r="IW72" s="249"/>
      <c r="IX72" s="249"/>
      <c r="IY72" s="249"/>
      <c r="IZ72" s="249"/>
      <c r="JA72" s="249"/>
      <c r="JB72" s="249"/>
      <c r="JC72" s="249"/>
      <c r="JD72" s="243">
        <f t="shared" si="176"/>
        <v>0</v>
      </c>
      <c r="JE72" s="249"/>
      <c r="JF72" s="249"/>
      <c r="JG72" s="249"/>
      <c r="JH72" s="249"/>
      <c r="JI72" s="249"/>
      <c r="JJ72" s="249"/>
      <c r="JK72" s="249"/>
      <c r="JL72" s="243">
        <f t="shared" si="177"/>
        <v>0</v>
      </c>
      <c r="JM72" s="249"/>
      <c r="JN72" s="249"/>
      <c r="JO72" s="249"/>
      <c r="JP72" s="249"/>
      <c r="JQ72" s="249"/>
      <c r="JR72" s="249"/>
      <c r="JS72" s="249"/>
      <c r="JT72" s="243">
        <f t="shared" si="178"/>
        <v>0</v>
      </c>
      <c r="JU72" s="249"/>
      <c r="JV72" s="249"/>
      <c r="JW72" s="249"/>
      <c r="JX72" s="249"/>
      <c r="JY72" s="249"/>
      <c r="JZ72" s="249"/>
      <c r="KA72" s="249"/>
      <c r="KB72" s="243">
        <f t="shared" si="179"/>
        <v>0</v>
      </c>
      <c r="KC72" s="249"/>
      <c r="KD72" s="249"/>
      <c r="KE72" s="249"/>
      <c r="KF72" s="249"/>
      <c r="KG72" s="249"/>
      <c r="KH72" s="249"/>
      <c r="KI72" s="249"/>
      <c r="KJ72" s="243">
        <f t="shared" si="180"/>
        <v>0</v>
      </c>
      <c r="KK72" s="249"/>
      <c r="KL72" s="249"/>
      <c r="KM72" s="249"/>
      <c r="KN72" s="249"/>
      <c r="KO72" s="249"/>
      <c r="KP72" s="249"/>
      <c r="KQ72" s="249"/>
      <c r="KR72" s="243">
        <f t="shared" si="181"/>
        <v>0</v>
      </c>
      <c r="KS72" s="249"/>
      <c r="KT72" s="249"/>
      <c r="KU72" s="249"/>
      <c r="KV72" s="249"/>
      <c r="KW72" s="249"/>
      <c r="KX72" s="249"/>
      <c r="KY72" s="249"/>
      <c r="KZ72" s="243">
        <f t="shared" si="182"/>
        <v>0</v>
      </c>
      <c r="LA72" s="249"/>
      <c r="LB72" s="249"/>
      <c r="LC72" s="249"/>
      <c r="LD72" s="249"/>
      <c r="LE72" s="249"/>
      <c r="LF72" s="249"/>
      <c r="LG72" s="249"/>
      <c r="LH72" s="243">
        <f t="shared" si="183"/>
        <v>0</v>
      </c>
      <c r="LI72" s="249"/>
      <c r="LJ72" s="249"/>
      <c r="LK72" s="249"/>
      <c r="LL72" s="249"/>
      <c r="LM72" s="249"/>
      <c r="LN72" s="249"/>
      <c r="LO72" s="249"/>
      <c r="LP72" s="243">
        <f t="shared" si="184"/>
        <v>0</v>
      </c>
      <c r="LQ72" s="249"/>
      <c r="LR72" s="249"/>
      <c r="LS72" s="249"/>
      <c r="LT72" s="244">
        <f t="shared" si="185"/>
        <v>0</v>
      </c>
      <c r="LU72" s="249"/>
      <c r="LV72" s="249"/>
      <c r="LW72" s="249"/>
      <c r="LX72" s="249"/>
      <c r="LY72" s="249"/>
      <c r="LZ72" s="249"/>
      <c r="MA72" s="249"/>
      <c r="MB72" s="243">
        <f t="shared" si="186"/>
        <v>0</v>
      </c>
      <c r="MC72" s="249"/>
      <c r="MD72" s="249"/>
      <c r="ME72" s="249"/>
      <c r="MF72" s="249"/>
      <c r="MG72" s="249"/>
      <c r="MH72" s="249"/>
      <c r="MI72" s="249"/>
      <c r="MJ72" s="243">
        <f t="shared" si="187"/>
        <v>0</v>
      </c>
      <c r="MK72" s="249"/>
      <c r="ML72" s="249"/>
      <c r="MM72" s="249"/>
      <c r="MN72" s="249"/>
      <c r="MO72" s="249"/>
      <c r="MP72" s="249"/>
      <c r="MQ72" s="249"/>
      <c r="MR72" s="243">
        <f t="shared" si="188"/>
        <v>0</v>
      </c>
      <c r="MS72" s="274"/>
      <c r="MT72" s="249"/>
      <c r="MU72" s="249"/>
      <c r="MV72" s="249"/>
      <c r="MW72" s="249"/>
      <c r="MX72" s="249"/>
      <c r="MY72" s="249"/>
      <c r="MZ72" s="243">
        <f t="shared" si="189"/>
        <v>0</v>
      </c>
      <c r="NA72" s="249"/>
      <c r="NB72" s="249"/>
      <c r="NC72" s="249"/>
      <c r="ND72" s="243">
        <f t="shared" si="190"/>
        <v>0</v>
      </c>
      <c r="NE72" s="249"/>
      <c r="NF72" s="249"/>
      <c r="NG72" s="249"/>
      <c r="NH72" s="249"/>
      <c r="NI72" s="249"/>
      <c r="NJ72" s="249"/>
      <c r="NK72" s="249"/>
      <c r="NL72" s="243">
        <f t="shared" si="191"/>
        <v>0</v>
      </c>
      <c r="NM72" s="249"/>
      <c r="NN72" s="249"/>
      <c r="NO72" s="249"/>
      <c r="NP72" s="249"/>
      <c r="NQ72" s="249"/>
      <c r="NR72" s="249"/>
      <c r="NS72" s="249"/>
      <c r="NT72" s="243">
        <f t="shared" si="192"/>
        <v>0</v>
      </c>
      <c r="NU72" s="249"/>
      <c r="NV72" s="249"/>
      <c r="NW72" s="249"/>
      <c r="NX72" s="249"/>
      <c r="NY72" s="249"/>
      <c r="NZ72" s="249"/>
      <c r="OA72" s="249"/>
      <c r="OB72" s="243">
        <f t="shared" si="193"/>
        <v>0</v>
      </c>
      <c r="OC72" s="249"/>
      <c r="OD72" s="249"/>
      <c r="OE72" s="249"/>
      <c r="OF72" s="249"/>
      <c r="OG72" s="249"/>
      <c r="OH72" s="249"/>
      <c r="OI72" s="249"/>
      <c r="OJ72" s="243">
        <f t="shared" si="194"/>
        <v>0</v>
      </c>
      <c r="OK72" s="249"/>
      <c r="OL72" s="249"/>
      <c r="OM72" s="249"/>
      <c r="ON72" s="249"/>
      <c r="OO72" s="249"/>
      <c r="OP72" s="249"/>
      <c r="OQ72" s="249"/>
      <c r="OR72" s="243">
        <f t="shared" si="195"/>
        <v>0</v>
      </c>
      <c r="OS72" s="249"/>
      <c r="OT72" s="249"/>
      <c r="OU72" s="249"/>
      <c r="OV72" s="249"/>
      <c r="OW72" s="249"/>
      <c r="OX72" s="249"/>
      <c r="OY72" s="249"/>
      <c r="OZ72" s="243">
        <f t="shared" si="196"/>
        <v>0</v>
      </c>
      <c r="PA72" s="250"/>
      <c r="PB72" s="249"/>
      <c r="PC72" s="249"/>
      <c r="PD72" s="243">
        <f t="shared" si="197"/>
        <v>0</v>
      </c>
      <c r="PE72" s="250"/>
      <c r="PF72" s="249"/>
      <c r="PG72" s="249"/>
      <c r="PH72" s="249"/>
      <c r="PI72" s="249"/>
      <c r="PJ72" s="249"/>
      <c r="PK72" s="249"/>
      <c r="PL72" s="243">
        <f t="shared" si="204"/>
        <v>0</v>
      </c>
      <c r="PM72" s="250"/>
      <c r="PN72" s="249"/>
      <c r="PO72" s="249"/>
      <c r="PP72" s="249"/>
      <c r="PQ72" s="249"/>
      <c r="PR72" s="249"/>
      <c r="PS72" s="249"/>
      <c r="PT72" s="243">
        <f t="shared" si="198"/>
        <v>0</v>
      </c>
      <c r="PU72" s="249"/>
      <c r="PV72" s="249"/>
      <c r="PW72" s="249"/>
      <c r="PX72" s="249"/>
      <c r="PY72" s="249"/>
      <c r="PZ72" s="249"/>
      <c r="QA72" s="249"/>
      <c r="QB72" s="243">
        <f t="shared" si="199"/>
        <v>0</v>
      </c>
      <c r="QC72" s="249"/>
      <c r="QD72" s="249"/>
      <c r="QE72" s="249"/>
      <c r="QF72" s="249"/>
      <c r="QG72" s="249"/>
      <c r="QH72" s="249"/>
      <c r="QI72" s="249"/>
      <c r="QJ72" s="243">
        <f t="shared" si="200"/>
        <v>0</v>
      </c>
      <c r="QK72" s="249"/>
      <c r="QL72" s="249"/>
      <c r="QM72" s="249"/>
      <c r="QN72" s="249"/>
      <c r="QO72" s="249"/>
      <c r="QP72" s="243">
        <f t="shared" si="201"/>
        <v>0</v>
      </c>
      <c r="QQ72" s="243"/>
      <c r="QR72" s="249"/>
      <c r="QS72" s="249"/>
      <c r="QT72" s="249"/>
      <c r="QU72" s="249"/>
      <c r="QV72" s="243">
        <f t="shared" si="202"/>
        <v>0</v>
      </c>
      <c r="QW72" s="249"/>
      <c r="QX72" s="249"/>
      <c r="QY72" s="249"/>
      <c r="QZ72" s="249"/>
      <c r="RA72" s="249"/>
      <c r="RB72" s="249"/>
      <c r="RC72" s="249"/>
      <c r="RD72" s="243">
        <f t="shared" si="203"/>
        <v>0</v>
      </c>
      <c r="RE72" s="301"/>
      <c r="RF72" s="259">
        <f t="shared" si="101"/>
        <v>0</v>
      </c>
      <c r="RG72" s="259">
        <f t="shared" si="141"/>
        <v>0</v>
      </c>
      <c r="RH72" s="259">
        <f t="shared" si="142"/>
        <v>0</v>
      </c>
      <c r="RI72" s="256">
        <f t="shared" si="143"/>
        <v>4000</v>
      </c>
    </row>
    <row r="73" spans="1:477">
      <c r="A73" s="8" t="s">
        <v>145</v>
      </c>
      <c r="B73" s="264"/>
      <c r="C73" s="249"/>
      <c r="D73" s="249"/>
      <c r="E73" s="249"/>
      <c r="F73" s="249"/>
      <c r="G73" s="243"/>
      <c r="H73" s="243">
        <f t="shared" si="144"/>
        <v>0</v>
      </c>
      <c r="I73" s="282">
        <v>4000</v>
      </c>
      <c r="J73" s="249"/>
      <c r="K73" s="249"/>
      <c r="L73" s="249"/>
      <c r="M73" s="249"/>
      <c r="N73" s="249"/>
      <c r="O73" s="249"/>
      <c r="P73" s="243">
        <f t="shared" si="145"/>
        <v>0</v>
      </c>
      <c r="Q73" s="249"/>
      <c r="R73" s="249"/>
      <c r="S73" s="249"/>
      <c r="T73" s="249"/>
      <c r="U73" s="249"/>
      <c r="V73" s="249"/>
      <c r="W73" s="250"/>
      <c r="X73" s="243">
        <f t="shared" si="146"/>
        <v>0</v>
      </c>
      <c r="Y73" s="249"/>
      <c r="Z73" s="249"/>
      <c r="AA73" s="249"/>
      <c r="AB73" s="249"/>
      <c r="AC73" s="249"/>
      <c r="AD73" s="249"/>
      <c r="AE73" s="249"/>
      <c r="AF73" s="243">
        <f t="shared" si="147"/>
        <v>0</v>
      </c>
      <c r="AG73" s="249"/>
      <c r="AH73" s="249"/>
      <c r="AI73" s="249"/>
      <c r="AJ73" s="249"/>
      <c r="AK73" s="249"/>
      <c r="AL73" s="249"/>
      <c r="AM73" s="249"/>
      <c r="AN73" s="243">
        <f t="shared" si="148"/>
        <v>0</v>
      </c>
      <c r="AO73" s="249"/>
      <c r="AP73" s="249"/>
      <c r="AQ73" s="249"/>
      <c r="AR73" s="249"/>
      <c r="AS73" s="249"/>
      <c r="AT73" s="249"/>
      <c r="AU73" s="249"/>
      <c r="AV73" s="243">
        <f t="shared" si="149"/>
        <v>0</v>
      </c>
      <c r="AW73" s="249"/>
      <c r="AX73" s="249"/>
      <c r="AY73" s="249"/>
      <c r="AZ73" s="249"/>
      <c r="BA73" s="249"/>
      <c r="BB73" s="249"/>
      <c r="BC73" s="249"/>
      <c r="BD73" s="243">
        <f t="shared" si="150"/>
        <v>0</v>
      </c>
      <c r="BE73" s="249"/>
      <c r="BF73" s="249"/>
      <c r="BG73" s="249"/>
      <c r="BH73" s="249"/>
      <c r="BI73" s="249"/>
      <c r="BJ73" s="249"/>
      <c r="BK73" s="249"/>
      <c r="BL73" s="243">
        <f t="shared" si="151"/>
        <v>0</v>
      </c>
      <c r="BM73" s="249"/>
      <c r="BN73" s="249"/>
      <c r="BO73" s="249"/>
      <c r="BP73" s="249"/>
      <c r="BQ73" s="249"/>
      <c r="BR73" s="249"/>
      <c r="BS73" s="249"/>
      <c r="BT73" s="243">
        <f t="shared" si="152"/>
        <v>0</v>
      </c>
      <c r="BU73" s="249"/>
      <c r="BV73" s="249"/>
      <c r="BW73" s="249"/>
      <c r="BX73" s="249"/>
      <c r="BY73" s="249"/>
      <c r="BZ73" s="249"/>
      <c r="CA73" s="249"/>
      <c r="CB73" s="243">
        <f t="shared" si="153"/>
        <v>0</v>
      </c>
      <c r="CC73" s="249"/>
      <c r="CD73" s="249"/>
      <c r="CE73" s="249"/>
      <c r="CF73" s="249"/>
      <c r="CG73" s="249"/>
      <c r="CH73" s="249"/>
      <c r="CI73" s="249"/>
      <c r="CJ73" s="243">
        <f t="shared" si="154"/>
        <v>0</v>
      </c>
      <c r="CK73" s="249"/>
      <c r="CL73" s="249"/>
      <c r="CM73" s="249"/>
      <c r="CN73" s="249"/>
      <c r="CO73" s="249"/>
      <c r="CP73" s="249"/>
      <c r="CQ73" s="249"/>
      <c r="CR73" s="243">
        <f t="shared" si="155"/>
        <v>0</v>
      </c>
      <c r="CS73" s="249"/>
      <c r="CT73" s="249"/>
      <c r="CU73" s="249"/>
      <c r="CV73" s="249"/>
      <c r="CW73" s="249"/>
      <c r="CX73" s="249"/>
      <c r="CY73" s="249"/>
      <c r="CZ73" s="243">
        <f t="shared" si="156"/>
        <v>0</v>
      </c>
      <c r="DA73" s="249"/>
      <c r="DB73" s="249"/>
      <c r="DC73" s="249"/>
      <c r="DD73" s="249"/>
      <c r="DE73" s="249"/>
      <c r="DF73" s="249"/>
      <c r="DG73" s="249"/>
      <c r="DH73" s="243">
        <f t="shared" si="157"/>
        <v>0</v>
      </c>
      <c r="DI73" s="249"/>
      <c r="DJ73" s="249"/>
      <c r="DK73" s="249"/>
      <c r="DL73" s="249"/>
      <c r="DM73" s="249"/>
      <c r="DN73" s="249"/>
      <c r="DO73" s="249"/>
      <c r="DP73" s="243">
        <f t="shared" si="158"/>
        <v>0</v>
      </c>
      <c r="DQ73" s="249"/>
      <c r="DR73" s="249"/>
      <c r="DS73" s="249"/>
      <c r="DT73" s="249"/>
      <c r="DU73" s="249"/>
      <c r="DV73" s="249"/>
      <c r="DW73" s="249"/>
      <c r="DX73" s="243">
        <f t="shared" si="159"/>
        <v>0</v>
      </c>
      <c r="DY73" s="249"/>
      <c r="DZ73" s="249"/>
      <c r="EA73" s="249"/>
      <c r="EB73" s="249"/>
      <c r="EC73" s="249"/>
      <c r="ED73" s="249"/>
      <c r="EE73" s="249"/>
      <c r="EF73" s="243">
        <f t="shared" si="160"/>
        <v>0</v>
      </c>
      <c r="EG73" s="249"/>
      <c r="EH73" s="249"/>
      <c r="EI73" s="249"/>
      <c r="EJ73" s="249"/>
      <c r="EK73" s="249"/>
      <c r="EL73" s="249"/>
      <c r="EM73" s="249"/>
      <c r="EN73" s="243">
        <f t="shared" si="161"/>
        <v>0</v>
      </c>
      <c r="EO73" s="249"/>
      <c r="EP73" s="249"/>
      <c r="EQ73" s="249"/>
      <c r="ER73" s="249"/>
      <c r="ES73" s="249"/>
      <c r="ET73" s="249"/>
      <c r="EU73" s="249"/>
      <c r="EV73" s="243">
        <f t="shared" si="162"/>
        <v>0</v>
      </c>
      <c r="EW73" s="249"/>
      <c r="EX73" s="249"/>
      <c r="EY73" s="249"/>
      <c r="EZ73" s="249"/>
      <c r="FA73" s="249"/>
      <c r="FB73" s="249"/>
      <c r="FC73" s="249"/>
      <c r="FD73" s="243">
        <f t="shared" si="163"/>
        <v>0</v>
      </c>
      <c r="FE73" s="249"/>
      <c r="FF73" s="249"/>
      <c r="FG73" s="249"/>
      <c r="FH73" s="249"/>
      <c r="FI73" s="249"/>
      <c r="FJ73" s="249"/>
      <c r="FK73" s="249"/>
      <c r="FL73" s="243">
        <f t="shared" si="164"/>
        <v>0</v>
      </c>
      <c r="FM73" s="249"/>
      <c r="FN73" s="249"/>
      <c r="FO73" s="249"/>
      <c r="FP73" s="249"/>
      <c r="FQ73" s="249"/>
      <c r="FR73" s="249"/>
      <c r="FS73" s="249"/>
      <c r="FT73" s="243">
        <f t="shared" si="165"/>
        <v>0</v>
      </c>
      <c r="FU73" s="249"/>
      <c r="FV73" s="249"/>
      <c r="FW73" s="249"/>
      <c r="FX73" s="249"/>
      <c r="FY73" s="249"/>
      <c r="FZ73" s="249"/>
      <c r="GA73" s="249"/>
      <c r="GB73" s="243">
        <f t="shared" si="166"/>
        <v>0</v>
      </c>
      <c r="GC73" s="249"/>
      <c r="GD73" s="249"/>
      <c r="GE73" s="249"/>
      <c r="GF73" s="249"/>
      <c r="GG73" s="249"/>
      <c r="GH73" s="249"/>
      <c r="GI73" s="249"/>
      <c r="GJ73" s="243">
        <f t="shared" si="167"/>
        <v>0</v>
      </c>
      <c r="GK73" s="249"/>
      <c r="GL73" s="249"/>
      <c r="GM73" s="249"/>
      <c r="GN73" s="249"/>
      <c r="GO73" s="249"/>
      <c r="GP73" s="249"/>
      <c r="GQ73" s="249"/>
      <c r="GR73" s="243">
        <f t="shared" si="168"/>
        <v>0</v>
      </c>
      <c r="GS73" s="249"/>
      <c r="GT73" s="249"/>
      <c r="GU73" s="249"/>
      <c r="GV73" s="249"/>
      <c r="GW73" s="249"/>
      <c r="GX73" s="249"/>
      <c r="GY73" s="249"/>
      <c r="GZ73" s="243">
        <f t="shared" si="169"/>
        <v>0</v>
      </c>
      <c r="HA73" s="249"/>
      <c r="HB73" s="249"/>
      <c r="HC73" s="249"/>
      <c r="HD73" s="249"/>
      <c r="HE73" s="249"/>
      <c r="HF73" s="249"/>
      <c r="HG73" s="249"/>
      <c r="HH73" s="243">
        <f t="shared" si="170"/>
        <v>0</v>
      </c>
      <c r="HI73" s="249"/>
      <c r="HJ73" s="249"/>
      <c r="HK73" s="249"/>
      <c r="HL73" s="249"/>
      <c r="HM73" s="249"/>
      <c r="HN73" s="249"/>
      <c r="HO73" s="249"/>
      <c r="HP73" s="243">
        <f t="shared" si="171"/>
        <v>0</v>
      </c>
      <c r="HQ73" s="249"/>
      <c r="HR73" s="249"/>
      <c r="HS73" s="249"/>
      <c r="HT73" s="249"/>
      <c r="HU73" s="249"/>
      <c r="HV73" s="249"/>
      <c r="HW73" s="249"/>
      <c r="HX73" s="243">
        <f t="shared" si="172"/>
        <v>0</v>
      </c>
      <c r="HY73" s="249"/>
      <c r="HZ73" s="249"/>
      <c r="IA73" s="249"/>
      <c r="IB73" s="249"/>
      <c r="IC73" s="249"/>
      <c r="ID73" s="249"/>
      <c r="IE73" s="249"/>
      <c r="IF73" s="243">
        <f t="shared" si="173"/>
        <v>0</v>
      </c>
      <c r="IG73" s="249"/>
      <c r="IH73" s="249"/>
      <c r="II73" s="249"/>
      <c r="IJ73" s="249"/>
      <c r="IK73" s="249"/>
      <c r="IL73" s="249"/>
      <c r="IM73" s="249"/>
      <c r="IN73" s="243">
        <f t="shared" si="174"/>
        <v>0</v>
      </c>
      <c r="IO73" s="249"/>
      <c r="IP73" s="249"/>
      <c r="IQ73" s="249"/>
      <c r="IR73" s="249"/>
      <c r="IS73" s="249"/>
      <c r="IT73" s="249"/>
      <c r="IU73" s="249"/>
      <c r="IV73" s="243">
        <f t="shared" si="175"/>
        <v>0</v>
      </c>
      <c r="IW73" s="249"/>
      <c r="IX73" s="249"/>
      <c r="IY73" s="249"/>
      <c r="IZ73" s="249"/>
      <c r="JA73" s="249"/>
      <c r="JB73" s="249"/>
      <c r="JC73" s="249"/>
      <c r="JD73" s="243">
        <f t="shared" si="176"/>
        <v>0</v>
      </c>
      <c r="JE73" s="249"/>
      <c r="JF73" s="249"/>
      <c r="JG73" s="249"/>
      <c r="JH73" s="249"/>
      <c r="JI73" s="249"/>
      <c r="JJ73" s="249"/>
      <c r="JK73" s="249"/>
      <c r="JL73" s="243">
        <f t="shared" si="177"/>
        <v>0</v>
      </c>
      <c r="JM73" s="249"/>
      <c r="JN73" s="249"/>
      <c r="JO73" s="249"/>
      <c r="JP73" s="249"/>
      <c r="JQ73" s="249"/>
      <c r="JR73" s="249"/>
      <c r="JS73" s="249"/>
      <c r="JT73" s="243">
        <f t="shared" si="178"/>
        <v>0</v>
      </c>
      <c r="JU73" s="249"/>
      <c r="JV73" s="249"/>
      <c r="JW73" s="249"/>
      <c r="JX73" s="249"/>
      <c r="JY73" s="249"/>
      <c r="JZ73" s="249"/>
      <c r="KA73" s="249"/>
      <c r="KB73" s="243">
        <f t="shared" si="179"/>
        <v>0</v>
      </c>
      <c r="KC73" s="249"/>
      <c r="KD73" s="249"/>
      <c r="KE73" s="249"/>
      <c r="KF73" s="249"/>
      <c r="KG73" s="249"/>
      <c r="KH73" s="249"/>
      <c r="KI73" s="249"/>
      <c r="KJ73" s="243">
        <f t="shared" si="180"/>
        <v>0</v>
      </c>
      <c r="KK73" s="249"/>
      <c r="KL73" s="249"/>
      <c r="KM73" s="249"/>
      <c r="KN73" s="249"/>
      <c r="KO73" s="249"/>
      <c r="KP73" s="249"/>
      <c r="KQ73" s="249"/>
      <c r="KR73" s="243">
        <f t="shared" si="181"/>
        <v>0</v>
      </c>
      <c r="KS73" s="249"/>
      <c r="KT73" s="249"/>
      <c r="KU73" s="249"/>
      <c r="KV73" s="249"/>
      <c r="KW73" s="249"/>
      <c r="KX73" s="249"/>
      <c r="KY73" s="249"/>
      <c r="KZ73" s="243">
        <f t="shared" si="182"/>
        <v>0</v>
      </c>
      <c r="LA73" s="249"/>
      <c r="LB73" s="249"/>
      <c r="LC73" s="249"/>
      <c r="LD73" s="249"/>
      <c r="LE73" s="249"/>
      <c r="LF73" s="249"/>
      <c r="LG73" s="249"/>
      <c r="LH73" s="243">
        <f t="shared" si="183"/>
        <v>0</v>
      </c>
      <c r="LI73" s="249"/>
      <c r="LJ73" s="249"/>
      <c r="LK73" s="249"/>
      <c r="LL73" s="249"/>
      <c r="LM73" s="249"/>
      <c r="LN73" s="249"/>
      <c r="LO73" s="249"/>
      <c r="LP73" s="243">
        <f t="shared" si="184"/>
        <v>0</v>
      </c>
      <c r="LQ73" s="249"/>
      <c r="LR73" s="249"/>
      <c r="LS73" s="249"/>
      <c r="LT73" s="244">
        <f t="shared" si="185"/>
        <v>0</v>
      </c>
      <c r="LU73" s="249"/>
      <c r="LV73" s="249"/>
      <c r="LW73" s="249"/>
      <c r="LX73" s="249"/>
      <c r="LY73" s="249"/>
      <c r="LZ73" s="249"/>
      <c r="MA73" s="249"/>
      <c r="MB73" s="243">
        <f t="shared" si="186"/>
        <v>0</v>
      </c>
      <c r="MC73" s="249"/>
      <c r="MD73" s="249"/>
      <c r="ME73" s="249"/>
      <c r="MF73" s="249"/>
      <c r="MG73" s="249"/>
      <c r="MH73" s="249"/>
      <c r="MI73" s="249"/>
      <c r="MJ73" s="243">
        <f t="shared" si="187"/>
        <v>0</v>
      </c>
      <c r="MK73" s="249"/>
      <c r="ML73" s="249"/>
      <c r="MM73" s="249"/>
      <c r="MN73" s="249"/>
      <c r="MO73" s="249"/>
      <c r="MP73" s="249"/>
      <c r="MQ73" s="249"/>
      <c r="MR73" s="243">
        <f t="shared" si="188"/>
        <v>0</v>
      </c>
      <c r="MS73" s="274"/>
      <c r="MT73" s="249"/>
      <c r="MU73" s="249"/>
      <c r="MV73" s="249"/>
      <c r="MW73" s="249"/>
      <c r="MX73" s="249"/>
      <c r="MY73" s="249"/>
      <c r="MZ73" s="243">
        <f t="shared" si="189"/>
        <v>0</v>
      </c>
      <c r="NA73" s="249"/>
      <c r="NB73" s="249"/>
      <c r="NC73" s="249"/>
      <c r="ND73" s="243">
        <f t="shared" si="190"/>
        <v>0</v>
      </c>
      <c r="NE73" s="249"/>
      <c r="NF73" s="249"/>
      <c r="NG73" s="249"/>
      <c r="NH73" s="249"/>
      <c r="NI73" s="249"/>
      <c r="NJ73" s="249"/>
      <c r="NK73" s="249"/>
      <c r="NL73" s="243">
        <f t="shared" si="191"/>
        <v>0</v>
      </c>
      <c r="NM73" s="249"/>
      <c r="NN73" s="249"/>
      <c r="NO73" s="249"/>
      <c r="NP73" s="249"/>
      <c r="NQ73" s="249"/>
      <c r="NR73" s="249"/>
      <c r="NS73" s="249"/>
      <c r="NT73" s="243">
        <f t="shared" si="192"/>
        <v>0</v>
      </c>
      <c r="NU73" s="249"/>
      <c r="NV73" s="249"/>
      <c r="NW73" s="249"/>
      <c r="NX73" s="249"/>
      <c r="NY73" s="249"/>
      <c r="NZ73" s="249"/>
      <c r="OA73" s="249"/>
      <c r="OB73" s="243">
        <f t="shared" si="193"/>
        <v>0</v>
      </c>
      <c r="OC73" s="249"/>
      <c r="OD73" s="249"/>
      <c r="OE73" s="249"/>
      <c r="OF73" s="249"/>
      <c r="OG73" s="249"/>
      <c r="OH73" s="249"/>
      <c r="OI73" s="249"/>
      <c r="OJ73" s="243">
        <f t="shared" si="194"/>
        <v>0</v>
      </c>
      <c r="OK73" s="249"/>
      <c r="OL73" s="249"/>
      <c r="OM73" s="249"/>
      <c r="ON73" s="249"/>
      <c r="OO73" s="249"/>
      <c r="OP73" s="249"/>
      <c r="OQ73" s="249"/>
      <c r="OR73" s="243">
        <f t="shared" si="195"/>
        <v>0</v>
      </c>
      <c r="OS73" s="249"/>
      <c r="OT73" s="249"/>
      <c r="OU73" s="249"/>
      <c r="OV73" s="249"/>
      <c r="OW73" s="249"/>
      <c r="OX73" s="249"/>
      <c r="OY73" s="249"/>
      <c r="OZ73" s="243">
        <f t="shared" si="196"/>
        <v>0</v>
      </c>
      <c r="PA73" s="250"/>
      <c r="PB73" s="249"/>
      <c r="PC73" s="249"/>
      <c r="PD73" s="243">
        <f t="shared" si="197"/>
        <v>0</v>
      </c>
      <c r="PE73" s="250"/>
      <c r="PF73" s="249"/>
      <c r="PG73" s="249"/>
      <c r="PH73" s="249"/>
      <c r="PI73" s="249"/>
      <c r="PJ73" s="249"/>
      <c r="PK73" s="249"/>
      <c r="PL73" s="243">
        <f t="shared" si="204"/>
        <v>0</v>
      </c>
      <c r="PM73" s="250"/>
      <c r="PN73" s="249"/>
      <c r="PO73" s="249"/>
      <c r="PP73" s="249"/>
      <c r="PQ73" s="249"/>
      <c r="PR73" s="249"/>
      <c r="PS73" s="249"/>
      <c r="PT73" s="243">
        <f t="shared" si="198"/>
        <v>0</v>
      </c>
      <c r="PU73" s="249"/>
      <c r="PV73" s="249"/>
      <c r="PW73" s="249"/>
      <c r="PX73" s="249"/>
      <c r="PY73" s="249"/>
      <c r="PZ73" s="249"/>
      <c r="QA73" s="249"/>
      <c r="QB73" s="243">
        <f t="shared" si="199"/>
        <v>0</v>
      </c>
      <c r="QC73" s="249"/>
      <c r="QD73" s="249"/>
      <c r="QE73" s="249"/>
      <c r="QF73" s="249"/>
      <c r="QG73" s="249"/>
      <c r="QH73" s="249"/>
      <c r="QI73" s="249"/>
      <c r="QJ73" s="243">
        <f t="shared" si="200"/>
        <v>0</v>
      </c>
      <c r="QK73" s="249"/>
      <c r="QL73" s="249"/>
      <c r="QM73" s="249"/>
      <c r="QN73" s="249"/>
      <c r="QO73" s="249"/>
      <c r="QP73" s="243">
        <f t="shared" si="201"/>
        <v>0</v>
      </c>
      <c r="QQ73" s="243"/>
      <c r="QR73" s="249"/>
      <c r="QS73" s="249"/>
      <c r="QT73" s="249"/>
      <c r="QU73" s="249"/>
      <c r="QV73" s="243">
        <f t="shared" si="202"/>
        <v>0</v>
      </c>
      <c r="QW73" s="249"/>
      <c r="QX73" s="249"/>
      <c r="QY73" s="249"/>
      <c r="QZ73" s="249"/>
      <c r="RA73" s="249"/>
      <c r="RB73" s="249"/>
      <c r="RC73" s="249"/>
      <c r="RD73" s="243">
        <f t="shared" si="203"/>
        <v>0</v>
      </c>
      <c r="RE73" s="301"/>
      <c r="RF73" s="259">
        <f t="shared" si="101"/>
        <v>0</v>
      </c>
      <c r="RG73" s="259">
        <f t="shared" si="141"/>
        <v>0</v>
      </c>
      <c r="RH73" s="259">
        <f t="shared" si="142"/>
        <v>0</v>
      </c>
      <c r="RI73" s="256">
        <f t="shared" si="143"/>
        <v>4000</v>
      </c>
    </row>
    <row r="74" spans="1:477">
      <c r="A74" s="8" t="s">
        <v>146</v>
      </c>
      <c r="B74" s="264"/>
      <c r="C74" s="249"/>
      <c r="D74" s="249"/>
      <c r="E74" s="249"/>
      <c r="F74" s="249"/>
      <c r="G74" s="243"/>
      <c r="H74" s="243">
        <f t="shared" si="144"/>
        <v>0</v>
      </c>
      <c r="I74" s="282">
        <v>5400</v>
      </c>
      <c r="J74" s="249"/>
      <c r="K74" s="249"/>
      <c r="L74" s="249"/>
      <c r="M74" s="249"/>
      <c r="N74" s="249"/>
      <c r="O74" s="249"/>
      <c r="P74" s="243">
        <f t="shared" si="145"/>
        <v>0</v>
      </c>
      <c r="Q74" s="249"/>
      <c r="R74" s="249"/>
      <c r="S74" s="249"/>
      <c r="T74" s="249"/>
      <c r="U74" s="249"/>
      <c r="V74" s="249"/>
      <c r="W74" s="249"/>
      <c r="X74" s="243">
        <f t="shared" si="146"/>
        <v>0</v>
      </c>
      <c r="Y74" s="249"/>
      <c r="Z74" s="249"/>
      <c r="AA74" s="249"/>
      <c r="AB74" s="249"/>
      <c r="AC74" s="249"/>
      <c r="AD74" s="249"/>
      <c r="AE74" s="249"/>
      <c r="AF74" s="243">
        <f t="shared" si="147"/>
        <v>0</v>
      </c>
      <c r="AG74" s="249"/>
      <c r="AH74" s="249"/>
      <c r="AI74" s="249"/>
      <c r="AJ74" s="249"/>
      <c r="AK74" s="249"/>
      <c r="AL74" s="249"/>
      <c r="AM74" s="249"/>
      <c r="AN74" s="243">
        <f t="shared" si="148"/>
        <v>0</v>
      </c>
      <c r="AO74" s="249"/>
      <c r="AP74" s="249"/>
      <c r="AQ74" s="249"/>
      <c r="AR74" s="249"/>
      <c r="AS74" s="249"/>
      <c r="AT74" s="249"/>
      <c r="AU74" s="249"/>
      <c r="AV74" s="243">
        <f t="shared" si="149"/>
        <v>0</v>
      </c>
      <c r="AW74" s="249"/>
      <c r="AX74" s="249"/>
      <c r="AY74" s="249"/>
      <c r="AZ74" s="249"/>
      <c r="BA74" s="249"/>
      <c r="BB74" s="249"/>
      <c r="BC74" s="249"/>
      <c r="BD74" s="243">
        <f t="shared" si="150"/>
        <v>0</v>
      </c>
      <c r="BE74" s="249"/>
      <c r="BF74" s="249"/>
      <c r="BG74" s="249"/>
      <c r="BH74" s="249"/>
      <c r="BI74" s="249"/>
      <c r="BJ74" s="249"/>
      <c r="BK74" s="249"/>
      <c r="BL74" s="243">
        <f t="shared" si="151"/>
        <v>0</v>
      </c>
      <c r="BM74" s="249"/>
      <c r="BN74" s="249"/>
      <c r="BO74" s="249"/>
      <c r="BP74" s="249"/>
      <c r="BQ74" s="249"/>
      <c r="BR74" s="249"/>
      <c r="BS74" s="249"/>
      <c r="BT74" s="243">
        <f t="shared" si="152"/>
        <v>0</v>
      </c>
      <c r="BU74" s="249"/>
      <c r="BV74" s="249"/>
      <c r="BW74" s="249"/>
      <c r="BX74" s="249"/>
      <c r="BY74" s="249"/>
      <c r="BZ74" s="249"/>
      <c r="CA74" s="249"/>
      <c r="CB74" s="243">
        <f t="shared" si="153"/>
        <v>0</v>
      </c>
      <c r="CC74" s="249"/>
      <c r="CD74" s="249"/>
      <c r="CE74" s="249"/>
      <c r="CF74" s="249"/>
      <c r="CG74" s="249"/>
      <c r="CH74" s="249"/>
      <c r="CI74" s="249"/>
      <c r="CJ74" s="243">
        <f t="shared" si="154"/>
        <v>0</v>
      </c>
      <c r="CK74" s="249"/>
      <c r="CL74" s="249"/>
      <c r="CM74" s="249"/>
      <c r="CN74" s="249"/>
      <c r="CO74" s="249"/>
      <c r="CP74" s="249"/>
      <c r="CQ74" s="249"/>
      <c r="CR74" s="243">
        <f t="shared" si="155"/>
        <v>0</v>
      </c>
      <c r="CS74" s="249"/>
      <c r="CT74" s="249"/>
      <c r="CU74" s="249"/>
      <c r="CV74" s="249"/>
      <c r="CW74" s="249"/>
      <c r="CX74" s="249"/>
      <c r="CY74" s="249"/>
      <c r="CZ74" s="243">
        <f t="shared" si="156"/>
        <v>0</v>
      </c>
      <c r="DA74" s="249"/>
      <c r="DB74" s="249"/>
      <c r="DC74" s="249"/>
      <c r="DD74" s="249"/>
      <c r="DE74" s="249"/>
      <c r="DF74" s="249"/>
      <c r="DG74" s="249"/>
      <c r="DH74" s="243">
        <f t="shared" si="157"/>
        <v>0</v>
      </c>
      <c r="DI74" s="249"/>
      <c r="DJ74" s="249"/>
      <c r="DK74" s="249"/>
      <c r="DL74" s="249"/>
      <c r="DM74" s="249"/>
      <c r="DN74" s="249"/>
      <c r="DO74" s="249"/>
      <c r="DP74" s="243">
        <f t="shared" si="158"/>
        <v>0</v>
      </c>
      <c r="DQ74" s="249"/>
      <c r="DR74" s="249"/>
      <c r="DS74" s="249"/>
      <c r="DT74" s="249"/>
      <c r="DU74" s="249"/>
      <c r="DV74" s="249"/>
      <c r="DW74" s="249"/>
      <c r="DX74" s="243">
        <f t="shared" si="159"/>
        <v>0</v>
      </c>
      <c r="DY74" s="249"/>
      <c r="DZ74" s="249"/>
      <c r="EA74" s="249"/>
      <c r="EB74" s="249"/>
      <c r="EC74" s="249"/>
      <c r="ED74" s="249"/>
      <c r="EE74" s="249"/>
      <c r="EF74" s="243">
        <f t="shared" si="160"/>
        <v>0</v>
      </c>
      <c r="EG74" s="249"/>
      <c r="EH74" s="249"/>
      <c r="EI74" s="249"/>
      <c r="EJ74" s="249"/>
      <c r="EK74" s="249"/>
      <c r="EL74" s="249"/>
      <c r="EM74" s="249"/>
      <c r="EN74" s="243">
        <f t="shared" si="161"/>
        <v>0</v>
      </c>
      <c r="EO74" s="249"/>
      <c r="EP74" s="249"/>
      <c r="EQ74" s="249"/>
      <c r="ER74" s="249"/>
      <c r="ES74" s="249"/>
      <c r="ET74" s="249"/>
      <c r="EU74" s="249"/>
      <c r="EV74" s="243">
        <f t="shared" si="162"/>
        <v>0</v>
      </c>
      <c r="EW74" s="249"/>
      <c r="EX74" s="249"/>
      <c r="EY74" s="249"/>
      <c r="EZ74" s="249"/>
      <c r="FA74" s="249"/>
      <c r="FB74" s="249"/>
      <c r="FC74" s="249"/>
      <c r="FD74" s="243">
        <f t="shared" si="163"/>
        <v>0</v>
      </c>
      <c r="FE74" s="249"/>
      <c r="FF74" s="249"/>
      <c r="FG74" s="249"/>
      <c r="FH74" s="249"/>
      <c r="FI74" s="249"/>
      <c r="FJ74" s="249"/>
      <c r="FK74" s="249"/>
      <c r="FL74" s="243">
        <f t="shared" si="164"/>
        <v>0</v>
      </c>
      <c r="FM74" s="249"/>
      <c r="FN74" s="249"/>
      <c r="FO74" s="249"/>
      <c r="FP74" s="249"/>
      <c r="FQ74" s="249"/>
      <c r="FR74" s="249"/>
      <c r="FS74" s="249"/>
      <c r="FT74" s="243">
        <f t="shared" si="165"/>
        <v>0</v>
      </c>
      <c r="FU74" s="249"/>
      <c r="FV74" s="249"/>
      <c r="FW74" s="249"/>
      <c r="FX74" s="249"/>
      <c r="FY74" s="249"/>
      <c r="FZ74" s="249"/>
      <c r="GA74" s="249"/>
      <c r="GB74" s="243">
        <f t="shared" si="166"/>
        <v>0</v>
      </c>
      <c r="GC74" s="249"/>
      <c r="GD74" s="249"/>
      <c r="GE74" s="249"/>
      <c r="GF74" s="249"/>
      <c r="GG74" s="249"/>
      <c r="GH74" s="249"/>
      <c r="GI74" s="249"/>
      <c r="GJ74" s="243">
        <f t="shared" si="167"/>
        <v>0</v>
      </c>
      <c r="GK74" s="249"/>
      <c r="GL74" s="249"/>
      <c r="GM74" s="249"/>
      <c r="GN74" s="249"/>
      <c r="GO74" s="249"/>
      <c r="GP74" s="249"/>
      <c r="GQ74" s="249"/>
      <c r="GR74" s="243">
        <f t="shared" si="168"/>
        <v>0</v>
      </c>
      <c r="GS74" s="249"/>
      <c r="GT74" s="249"/>
      <c r="GU74" s="249"/>
      <c r="GV74" s="249"/>
      <c r="GW74" s="249"/>
      <c r="GX74" s="249"/>
      <c r="GY74" s="249"/>
      <c r="GZ74" s="243">
        <f t="shared" si="169"/>
        <v>0</v>
      </c>
      <c r="HA74" s="249"/>
      <c r="HB74" s="249"/>
      <c r="HC74" s="249"/>
      <c r="HD74" s="249"/>
      <c r="HE74" s="249"/>
      <c r="HF74" s="249"/>
      <c r="HG74" s="249"/>
      <c r="HH74" s="243">
        <f t="shared" si="170"/>
        <v>0</v>
      </c>
      <c r="HI74" s="249"/>
      <c r="HJ74" s="249"/>
      <c r="HK74" s="249"/>
      <c r="HL74" s="249"/>
      <c r="HM74" s="249"/>
      <c r="HN74" s="249"/>
      <c r="HO74" s="249"/>
      <c r="HP74" s="243">
        <f t="shared" si="171"/>
        <v>0</v>
      </c>
      <c r="HQ74" s="249"/>
      <c r="HR74" s="249"/>
      <c r="HS74" s="249"/>
      <c r="HT74" s="249"/>
      <c r="HU74" s="249"/>
      <c r="HV74" s="249"/>
      <c r="HW74" s="249"/>
      <c r="HX74" s="243">
        <f t="shared" si="172"/>
        <v>0</v>
      </c>
      <c r="HY74" s="249"/>
      <c r="HZ74" s="249"/>
      <c r="IA74" s="249"/>
      <c r="IB74" s="249"/>
      <c r="IC74" s="249"/>
      <c r="ID74" s="249"/>
      <c r="IE74" s="249"/>
      <c r="IF74" s="243">
        <f t="shared" si="173"/>
        <v>0</v>
      </c>
      <c r="IG74" s="249"/>
      <c r="IH74" s="249"/>
      <c r="II74" s="249"/>
      <c r="IJ74" s="249"/>
      <c r="IK74" s="249"/>
      <c r="IL74" s="249"/>
      <c r="IM74" s="249"/>
      <c r="IN74" s="243">
        <f t="shared" si="174"/>
        <v>0</v>
      </c>
      <c r="IO74" s="249"/>
      <c r="IP74" s="249"/>
      <c r="IQ74" s="249"/>
      <c r="IR74" s="249"/>
      <c r="IS74" s="249"/>
      <c r="IT74" s="249"/>
      <c r="IU74" s="249"/>
      <c r="IV74" s="243">
        <f t="shared" si="175"/>
        <v>0</v>
      </c>
      <c r="IW74" s="249"/>
      <c r="IX74" s="249"/>
      <c r="IY74" s="249"/>
      <c r="IZ74" s="249"/>
      <c r="JA74" s="249"/>
      <c r="JB74" s="249"/>
      <c r="JC74" s="249"/>
      <c r="JD74" s="243">
        <f t="shared" si="176"/>
        <v>0</v>
      </c>
      <c r="JE74" s="249"/>
      <c r="JF74" s="249"/>
      <c r="JG74" s="249"/>
      <c r="JH74" s="249"/>
      <c r="JI74" s="249"/>
      <c r="JJ74" s="249"/>
      <c r="JK74" s="249"/>
      <c r="JL74" s="243">
        <f t="shared" si="177"/>
        <v>0</v>
      </c>
      <c r="JM74" s="249"/>
      <c r="JN74" s="249"/>
      <c r="JO74" s="249"/>
      <c r="JP74" s="249"/>
      <c r="JQ74" s="249"/>
      <c r="JR74" s="249"/>
      <c r="JS74" s="249"/>
      <c r="JT74" s="243">
        <f t="shared" si="178"/>
        <v>0</v>
      </c>
      <c r="JU74" s="249"/>
      <c r="JV74" s="249"/>
      <c r="JW74" s="249"/>
      <c r="JX74" s="249"/>
      <c r="JY74" s="249"/>
      <c r="JZ74" s="249"/>
      <c r="KA74" s="249"/>
      <c r="KB74" s="243">
        <f t="shared" si="179"/>
        <v>0</v>
      </c>
      <c r="KC74" s="249"/>
      <c r="KD74" s="249"/>
      <c r="KE74" s="249"/>
      <c r="KF74" s="249"/>
      <c r="KG74" s="249"/>
      <c r="KH74" s="249"/>
      <c r="KI74" s="249"/>
      <c r="KJ74" s="243">
        <f t="shared" si="180"/>
        <v>0</v>
      </c>
      <c r="KK74" s="249"/>
      <c r="KL74" s="249"/>
      <c r="KM74" s="249"/>
      <c r="KN74" s="249"/>
      <c r="KO74" s="249"/>
      <c r="KP74" s="249"/>
      <c r="KQ74" s="249"/>
      <c r="KR74" s="243">
        <f t="shared" si="181"/>
        <v>0</v>
      </c>
      <c r="KS74" s="249"/>
      <c r="KT74" s="249"/>
      <c r="KU74" s="249"/>
      <c r="KV74" s="249"/>
      <c r="KW74" s="249"/>
      <c r="KX74" s="249"/>
      <c r="KY74" s="249"/>
      <c r="KZ74" s="243">
        <f t="shared" si="182"/>
        <v>0</v>
      </c>
      <c r="LA74" s="249"/>
      <c r="LB74" s="249"/>
      <c r="LC74" s="249"/>
      <c r="LD74" s="249"/>
      <c r="LE74" s="249"/>
      <c r="LF74" s="249"/>
      <c r="LG74" s="249"/>
      <c r="LH74" s="243">
        <f t="shared" si="183"/>
        <v>0</v>
      </c>
      <c r="LI74" s="249"/>
      <c r="LJ74" s="249"/>
      <c r="LK74" s="249"/>
      <c r="LL74" s="249"/>
      <c r="LM74" s="249"/>
      <c r="LN74" s="249"/>
      <c r="LO74" s="249"/>
      <c r="LP74" s="243">
        <f t="shared" si="184"/>
        <v>0</v>
      </c>
      <c r="LQ74" s="249"/>
      <c r="LR74" s="249"/>
      <c r="LS74" s="249"/>
      <c r="LT74" s="244">
        <f t="shared" si="185"/>
        <v>0</v>
      </c>
      <c r="LU74" s="249"/>
      <c r="LV74" s="249"/>
      <c r="LW74" s="249"/>
      <c r="LX74" s="249"/>
      <c r="LY74" s="249"/>
      <c r="LZ74" s="249"/>
      <c r="MA74" s="249"/>
      <c r="MB74" s="243">
        <f t="shared" si="186"/>
        <v>0</v>
      </c>
      <c r="MC74" s="249"/>
      <c r="MD74" s="249"/>
      <c r="ME74" s="249"/>
      <c r="MF74" s="249"/>
      <c r="MG74" s="249"/>
      <c r="MH74" s="249"/>
      <c r="MI74" s="249"/>
      <c r="MJ74" s="243">
        <f t="shared" si="187"/>
        <v>0</v>
      </c>
      <c r="MK74" s="249"/>
      <c r="ML74" s="249"/>
      <c r="MM74" s="249"/>
      <c r="MN74" s="249"/>
      <c r="MO74" s="249"/>
      <c r="MP74" s="249"/>
      <c r="MQ74" s="249"/>
      <c r="MR74" s="243">
        <f t="shared" si="188"/>
        <v>0</v>
      </c>
      <c r="MS74" s="274"/>
      <c r="MT74" s="249"/>
      <c r="MU74" s="249"/>
      <c r="MV74" s="249"/>
      <c r="MW74" s="249"/>
      <c r="MX74" s="249"/>
      <c r="MY74" s="249"/>
      <c r="MZ74" s="243">
        <f t="shared" si="189"/>
        <v>0</v>
      </c>
      <c r="NA74" s="249"/>
      <c r="NB74" s="249"/>
      <c r="NC74" s="249"/>
      <c r="ND74" s="243">
        <f t="shared" si="190"/>
        <v>0</v>
      </c>
      <c r="NE74" s="249"/>
      <c r="NF74" s="249"/>
      <c r="NG74" s="249"/>
      <c r="NH74" s="249"/>
      <c r="NI74" s="249"/>
      <c r="NJ74" s="249"/>
      <c r="NK74" s="249"/>
      <c r="NL74" s="243">
        <f t="shared" si="191"/>
        <v>0</v>
      </c>
      <c r="NM74" s="249"/>
      <c r="NN74" s="249"/>
      <c r="NO74" s="249"/>
      <c r="NP74" s="249"/>
      <c r="NQ74" s="249"/>
      <c r="NR74" s="249"/>
      <c r="NS74" s="249"/>
      <c r="NT74" s="243">
        <f t="shared" si="192"/>
        <v>0</v>
      </c>
      <c r="NU74" s="249"/>
      <c r="NV74" s="249"/>
      <c r="NW74" s="249"/>
      <c r="NX74" s="249"/>
      <c r="NY74" s="249"/>
      <c r="NZ74" s="249"/>
      <c r="OA74" s="249"/>
      <c r="OB74" s="243">
        <f t="shared" si="193"/>
        <v>0</v>
      </c>
      <c r="OC74" s="249"/>
      <c r="OD74" s="249"/>
      <c r="OE74" s="249"/>
      <c r="OF74" s="249"/>
      <c r="OG74" s="249"/>
      <c r="OH74" s="249"/>
      <c r="OI74" s="249"/>
      <c r="OJ74" s="243">
        <f t="shared" si="194"/>
        <v>0</v>
      </c>
      <c r="OK74" s="249"/>
      <c r="OL74" s="249"/>
      <c r="OM74" s="249"/>
      <c r="ON74" s="249"/>
      <c r="OO74" s="249"/>
      <c r="OP74" s="249"/>
      <c r="OQ74" s="249"/>
      <c r="OR74" s="243">
        <f t="shared" si="195"/>
        <v>0</v>
      </c>
      <c r="OS74" s="249"/>
      <c r="OT74" s="249"/>
      <c r="OU74" s="249"/>
      <c r="OV74" s="249"/>
      <c r="OW74" s="249"/>
      <c r="OX74" s="249"/>
      <c r="OY74" s="249"/>
      <c r="OZ74" s="243">
        <f t="shared" si="196"/>
        <v>0</v>
      </c>
      <c r="PA74" s="250"/>
      <c r="PB74" s="249"/>
      <c r="PC74" s="249"/>
      <c r="PD74" s="243">
        <f t="shared" si="197"/>
        <v>0</v>
      </c>
      <c r="PE74" s="250"/>
      <c r="PF74" s="249"/>
      <c r="PG74" s="249"/>
      <c r="PH74" s="249"/>
      <c r="PI74" s="249"/>
      <c r="PJ74" s="249"/>
      <c r="PK74" s="249"/>
      <c r="PL74" s="243">
        <f t="shared" si="204"/>
        <v>0</v>
      </c>
      <c r="PM74" s="250"/>
      <c r="PN74" s="249"/>
      <c r="PO74" s="249"/>
      <c r="PP74" s="249"/>
      <c r="PQ74" s="249"/>
      <c r="PR74" s="249"/>
      <c r="PS74" s="249"/>
      <c r="PT74" s="243">
        <f t="shared" si="198"/>
        <v>0</v>
      </c>
      <c r="PU74" s="249"/>
      <c r="PV74" s="249"/>
      <c r="PW74" s="249"/>
      <c r="PX74" s="249"/>
      <c r="PY74" s="249"/>
      <c r="PZ74" s="249"/>
      <c r="QA74" s="249"/>
      <c r="QB74" s="243">
        <f t="shared" si="199"/>
        <v>0</v>
      </c>
      <c r="QC74" s="249"/>
      <c r="QD74" s="249"/>
      <c r="QE74" s="249"/>
      <c r="QF74" s="249"/>
      <c r="QG74" s="249"/>
      <c r="QH74" s="249"/>
      <c r="QI74" s="249"/>
      <c r="QJ74" s="243">
        <f t="shared" si="200"/>
        <v>0</v>
      </c>
      <c r="QK74" s="249"/>
      <c r="QL74" s="249"/>
      <c r="QM74" s="249"/>
      <c r="QN74" s="249"/>
      <c r="QO74" s="249"/>
      <c r="QP74" s="243">
        <f t="shared" si="201"/>
        <v>0</v>
      </c>
      <c r="QQ74" s="243"/>
      <c r="QR74" s="249"/>
      <c r="QS74" s="249"/>
      <c r="QT74" s="249"/>
      <c r="QU74" s="249"/>
      <c r="QV74" s="243">
        <f t="shared" si="202"/>
        <v>0</v>
      </c>
      <c r="QW74" s="249"/>
      <c r="QX74" s="249"/>
      <c r="QY74" s="249"/>
      <c r="QZ74" s="249"/>
      <c r="RA74" s="249"/>
      <c r="RB74" s="249"/>
      <c r="RC74" s="249"/>
      <c r="RD74" s="243">
        <f t="shared" si="203"/>
        <v>0</v>
      </c>
      <c r="RE74" s="301"/>
      <c r="RF74" s="259">
        <f t="shared" si="101"/>
        <v>0</v>
      </c>
      <c r="RG74" s="259">
        <f t="shared" si="141"/>
        <v>0</v>
      </c>
      <c r="RH74" s="259">
        <f t="shared" si="142"/>
        <v>0</v>
      </c>
      <c r="RI74" s="256">
        <f t="shared" si="143"/>
        <v>5400</v>
      </c>
    </row>
    <row r="75" spans="1:477" s="241" customFormat="1" ht="15.75" thickBot="1">
      <c r="A75" s="6" t="s">
        <v>121</v>
      </c>
      <c r="B75" s="265"/>
      <c r="C75" s="252"/>
      <c r="D75" s="252"/>
      <c r="E75" s="252"/>
      <c r="F75" s="252"/>
      <c r="G75" s="252"/>
      <c r="H75" s="289">
        <f t="shared" si="144"/>
        <v>0</v>
      </c>
      <c r="I75" s="252"/>
      <c r="J75" s="252"/>
      <c r="K75" s="252"/>
      <c r="L75" s="252"/>
      <c r="M75" s="252"/>
      <c r="N75" s="252"/>
      <c r="O75" s="252"/>
      <c r="P75" s="289">
        <f t="shared" si="145"/>
        <v>0</v>
      </c>
      <c r="Q75" s="252"/>
      <c r="R75" s="252"/>
      <c r="S75" s="252"/>
      <c r="T75" s="252"/>
      <c r="U75" s="252"/>
      <c r="V75" s="252"/>
      <c r="W75" s="252"/>
      <c r="X75" s="289">
        <f t="shared" si="146"/>
        <v>0</v>
      </c>
      <c r="Y75" s="252"/>
      <c r="Z75" s="252"/>
      <c r="AA75" s="252"/>
      <c r="AB75" s="252"/>
      <c r="AC75" s="252"/>
      <c r="AD75" s="252"/>
      <c r="AE75" s="252"/>
      <c r="AF75" s="289">
        <f t="shared" si="147"/>
        <v>0</v>
      </c>
      <c r="AG75" s="252"/>
      <c r="AH75" s="252"/>
      <c r="AI75" s="252"/>
      <c r="AJ75" s="252"/>
      <c r="AK75" s="252"/>
      <c r="AL75" s="252"/>
      <c r="AM75" s="252"/>
      <c r="AN75" s="252">
        <f>AM75/10*12</f>
        <v>0</v>
      </c>
      <c r="AO75" s="252"/>
      <c r="AP75" s="252"/>
      <c r="AQ75" s="252"/>
      <c r="AR75" s="252"/>
      <c r="AS75" s="252"/>
      <c r="AT75" s="252"/>
      <c r="AU75" s="252"/>
      <c r="AV75" s="289">
        <f t="shared" si="149"/>
        <v>0</v>
      </c>
      <c r="AW75" s="252"/>
      <c r="AX75" s="252"/>
      <c r="AY75" s="252"/>
      <c r="AZ75" s="252"/>
      <c r="BA75" s="252"/>
      <c r="BB75" s="252"/>
      <c r="BC75" s="252"/>
      <c r="BD75" s="289">
        <f t="shared" si="150"/>
        <v>0</v>
      </c>
      <c r="BE75" s="252"/>
      <c r="BF75" s="252"/>
      <c r="BG75" s="252"/>
      <c r="BH75" s="252"/>
      <c r="BI75" s="252"/>
      <c r="BJ75" s="252"/>
      <c r="BK75" s="252"/>
      <c r="BL75" s="289">
        <f t="shared" si="151"/>
        <v>0</v>
      </c>
      <c r="BM75" s="252"/>
      <c r="BN75" s="252"/>
      <c r="BO75" s="252"/>
      <c r="BP75" s="252"/>
      <c r="BQ75" s="252"/>
      <c r="BR75" s="252"/>
      <c r="BS75" s="252"/>
      <c r="BT75" s="289">
        <f t="shared" si="152"/>
        <v>0</v>
      </c>
      <c r="BU75" s="252"/>
      <c r="BV75" s="252"/>
      <c r="BW75" s="252"/>
      <c r="BX75" s="252"/>
      <c r="BY75" s="252"/>
      <c r="BZ75" s="252"/>
      <c r="CA75" s="252"/>
      <c r="CB75" s="289">
        <f t="shared" si="153"/>
        <v>0</v>
      </c>
      <c r="CC75" s="252"/>
      <c r="CD75" s="252"/>
      <c r="CE75" s="252"/>
      <c r="CF75" s="252"/>
      <c r="CG75" s="252"/>
      <c r="CH75" s="252"/>
      <c r="CI75" s="252"/>
      <c r="CJ75" s="289">
        <f t="shared" si="154"/>
        <v>0</v>
      </c>
      <c r="CK75" s="252"/>
      <c r="CL75" s="252"/>
      <c r="CM75" s="252"/>
      <c r="CN75" s="252"/>
      <c r="CO75" s="252"/>
      <c r="CP75" s="252"/>
      <c r="CQ75" s="252"/>
      <c r="CR75" s="289">
        <f t="shared" si="155"/>
        <v>0</v>
      </c>
      <c r="CS75" s="252"/>
      <c r="CT75" s="252"/>
      <c r="CU75" s="252"/>
      <c r="CV75" s="252"/>
      <c r="CW75" s="252"/>
      <c r="CX75" s="252"/>
      <c r="CY75" s="252"/>
      <c r="CZ75" s="289">
        <f t="shared" si="156"/>
        <v>0</v>
      </c>
      <c r="DA75" s="252"/>
      <c r="DB75" s="252"/>
      <c r="DC75" s="252"/>
      <c r="DD75" s="252"/>
      <c r="DE75" s="252"/>
      <c r="DF75" s="252"/>
      <c r="DG75" s="252"/>
      <c r="DH75" s="289">
        <f t="shared" si="157"/>
        <v>0</v>
      </c>
      <c r="DI75" s="252"/>
      <c r="DJ75" s="252"/>
      <c r="DK75" s="252"/>
      <c r="DL75" s="252"/>
      <c r="DM75" s="252"/>
      <c r="DN75" s="252"/>
      <c r="DO75" s="252"/>
      <c r="DP75" s="289">
        <f t="shared" si="158"/>
        <v>0</v>
      </c>
      <c r="DQ75" s="252"/>
      <c r="DR75" s="252"/>
      <c r="DS75" s="252"/>
      <c r="DT75" s="252"/>
      <c r="DU75" s="252"/>
      <c r="DV75" s="252"/>
      <c r="DW75" s="252"/>
      <c r="DX75" s="289">
        <f t="shared" si="159"/>
        <v>0</v>
      </c>
      <c r="DY75" s="252"/>
      <c r="DZ75" s="252"/>
      <c r="EA75" s="252"/>
      <c r="EB75" s="252"/>
      <c r="EC75" s="252"/>
      <c r="ED75" s="252"/>
      <c r="EE75" s="252"/>
      <c r="EF75" s="289">
        <f t="shared" si="160"/>
        <v>0</v>
      </c>
      <c r="EG75" s="252"/>
      <c r="EH75" s="252"/>
      <c r="EI75" s="252"/>
      <c r="EJ75" s="252"/>
      <c r="EK75" s="252"/>
      <c r="EL75" s="252"/>
      <c r="EM75" s="252"/>
      <c r="EN75" s="289">
        <f t="shared" si="161"/>
        <v>0</v>
      </c>
      <c r="EO75" s="252"/>
      <c r="EP75" s="252"/>
      <c r="EQ75" s="252"/>
      <c r="ER75" s="252"/>
      <c r="ES75" s="252"/>
      <c r="ET75" s="252"/>
      <c r="EU75" s="252"/>
      <c r="EV75" s="289">
        <f t="shared" si="162"/>
        <v>0</v>
      </c>
      <c r="EW75" s="252"/>
      <c r="EX75" s="252"/>
      <c r="EY75" s="252"/>
      <c r="EZ75" s="252"/>
      <c r="FA75" s="252"/>
      <c r="FB75" s="252"/>
      <c r="FC75" s="252"/>
      <c r="FD75" s="289">
        <f t="shared" si="163"/>
        <v>0</v>
      </c>
      <c r="FE75" s="252"/>
      <c r="FF75" s="252"/>
      <c r="FG75" s="252"/>
      <c r="FH75" s="252"/>
      <c r="FI75" s="252"/>
      <c r="FJ75" s="252"/>
      <c r="FK75" s="252"/>
      <c r="FL75" s="289">
        <f t="shared" si="164"/>
        <v>0</v>
      </c>
      <c r="FM75" s="252"/>
      <c r="FN75" s="252"/>
      <c r="FO75" s="252"/>
      <c r="FP75" s="252"/>
      <c r="FQ75" s="252"/>
      <c r="FR75" s="252"/>
      <c r="FS75" s="252"/>
      <c r="FT75" s="289">
        <f t="shared" si="165"/>
        <v>0</v>
      </c>
      <c r="FU75" s="252"/>
      <c r="FV75" s="252"/>
      <c r="FW75" s="252"/>
      <c r="FX75" s="252"/>
      <c r="FY75" s="252"/>
      <c r="FZ75" s="252"/>
      <c r="GA75" s="252"/>
      <c r="GB75" s="289">
        <f t="shared" si="166"/>
        <v>0</v>
      </c>
      <c r="GC75" s="252"/>
      <c r="GD75" s="252"/>
      <c r="GE75" s="252"/>
      <c r="GF75" s="252"/>
      <c r="GG75" s="252"/>
      <c r="GH75" s="252"/>
      <c r="GI75" s="252"/>
      <c r="GJ75" s="289">
        <f t="shared" si="167"/>
        <v>0</v>
      </c>
      <c r="GK75" s="252"/>
      <c r="GL75" s="252"/>
      <c r="GM75" s="252"/>
      <c r="GN75" s="252"/>
      <c r="GO75" s="252"/>
      <c r="GP75" s="252"/>
      <c r="GQ75" s="252"/>
      <c r="GR75" s="289">
        <f t="shared" si="168"/>
        <v>0</v>
      </c>
      <c r="GS75" s="252"/>
      <c r="GT75" s="252"/>
      <c r="GU75" s="252"/>
      <c r="GV75" s="252"/>
      <c r="GW75" s="252"/>
      <c r="GX75" s="252"/>
      <c r="GY75" s="252"/>
      <c r="GZ75" s="289">
        <f t="shared" si="169"/>
        <v>0</v>
      </c>
      <c r="HA75" s="252"/>
      <c r="HB75" s="252"/>
      <c r="HC75" s="252"/>
      <c r="HD75" s="252"/>
      <c r="HE75" s="252"/>
      <c r="HF75" s="252"/>
      <c r="HG75" s="252"/>
      <c r="HH75" s="289">
        <f t="shared" si="170"/>
        <v>0</v>
      </c>
      <c r="HI75" s="252"/>
      <c r="HJ75" s="252"/>
      <c r="HK75" s="252"/>
      <c r="HL75" s="252"/>
      <c r="HM75" s="252"/>
      <c r="HN75" s="252"/>
      <c r="HO75" s="252"/>
      <c r="HP75" s="289">
        <f t="shared" si="171"/>
        <v>0</v>
      </c>
      <c r="HQ75" s="252"/>
      <c r="HR75" s="252"/>
      <c r="HS75" s="252"/>
      <c r="HT75" s="252"/>
      <c r="HU75" s="252"/>
      <c r="HV75" s="252"/>
      <c r="HW75" s="252"/>
      <c r="HX75" s="289">
        <f t="shared" si="172"/>
        <v>0</v>
      </c>
      <c r="HY75" s="252"/>
      <c r="HZ75" s="252"/>
      <c r="IA75" s="252"/>
      <c r="IB75" s="252"/>
      <c r="IC75" s="252"/>
      <c r="ID75" s="252"/>
      <c r="IE75" s="252"/>
      <c r="IF75" s="289">
        <f t="shared" si="173"/>
        <v>0</v>
      </c>
      <c r="IG75" s="252"/>
      <c r="IH75" s="252"/>
      <c r="II75" s="252"/>
      <c r="IJ75" s="252"/>
      <c r="IK75" s="252"/>
      <c r="IL75" s="252"/>
      <c r="IM75" s="252"/>
      <c r="IN75" s="289">
        <f t="shared" si="174"/>
        <v>0</v>
      </c>
      <c r="IO75" s="252"/>
      <c r="IP75" s="252"/>
      <c r="IQ75" s="252"/>
      <c r="IR75" s="252"/>
      <c r="IS75" s="252"/>
      <c r="IT75" s="252"/>
      <c r="IU75" s="252"/>
      <c r="IV75" s="289">
        <f t="shared" si="175"/>
        <v>0</v>
      </c>
      <c r="IW75" s="252"/>
      <c r="IX75" s="252"/>
      <c r="IY75" s="252"/>
      <c r="IZ75" s="252"/>
      <c r="JA75" s="252"/>
      <c r="JB75" s="252"/>
      <c r="JC75" s="252"/>
      <c r="JD75" s="289">
        <f t="shared" si="176"/>
        <v>0</v>
      </c>
      <c r="JE75" s="252"/>
      <c r="JF75" s="252"/>
      <c r="JG75" s="252"/>
      <c r="JH75" s="252"/>
      <c r="JI75" s="252"/>
      <c r="JJ75" s="252"/>
      <c r="JK75" s="252"/>
      <c r="JL75" s="289">
        <f t="shared" si="177"/>
        <v>0</v>
      </c>
      <c r="JM75" s="252"/>
      <c r="JN75" s="252"/>
      <c r="JO75" s="252"/>
      <c r="JP75" s="252"/>
      <c r="JQ75" s="252"/>
      <c r="JR75" s="252"/>
      <c r="JS75" s="252"/>
      <c r="JT75" s="289">
        <f t="shared" si="178"/>
        <v>0</v>
      </c>
      <c r="JU75" s="252"/>
      <c r="JV75" s="252"/>
      <c r="JW75" s="252"/>
      <c r="JX75" s="252"/>
      <c r="JY75" s="252"/>
      <c r="JZ75" s="252"/>
      <c r="KA75" s="252"/>
      <c r="KB75" s="289">
        <f t="shared" si="179"/>
        <v>0</v>
      </c>
      <c r="KC75" s="252"/>
      <c r="KD75" s="252"/>
      <c r="KE75" s="252"/>
      <c r="KF75" s="252"/>
      <c r="KG75" s="252"/>
      <c r="KH75" s="252"/>
      <c r="KI75" s="252"/>
      <c r="KJ75" s="289">
        <f t="shared" si="180"/>
        <v>0</v>
      </c>
      <c r="KK75" s="252"/>
      <c r="KL75" s="252"/>
      <c r="KM75" s="252"/>
      <c r="KN75" s="252"/>
      <c r="KO75" s="252"/>
      <c r="KP75" s="252"/>
      <c r="KQ75" s="252"/>
      <c r="KR75" s="289">
        <f t="shared" si="181"/>
        <v>0</v>
      </c>
      <c r="KS75" s="252"/>
      <c r="KT75" s="252"/>
      <c r="KU75" s="252"/>
      <c r="KV75" s="252"/>
      <c r="KW75" s="252"/>
      <c r="KX75" s="252"/>
      <c r="KY75" s="252"/>
      <c r="KZ75" s="252">
        <f t="shared" ref="KZ75" si="205">KY75/9*12</f>
        <v>0</v>
      </c>
      <c r="LA75" s="252"/>
      <c r="LB75" s="252"/>
      <c r="LC75" s="252"/>
      <c r="LD75" s="252"/>
      <c r="LE75" s="252"/>
      <c r="LF75" s="252"/>
      <c r="LG75" s="252"/>
      <c r="LH75" s="289">
        <f t="shared" si="183"/>
        <v>0</v>
      </c>
      <c r="LI75" s="252"/>
      <c r="LJ75" s="252"/>
      <c r="LK75" s="252"/>
      <c r="LL75" s="252"/>
      <c r="LM75" s="252"/>
      <c r="LN75" s="252"/>
      <c r="LO75" s="252"/>
      <c r="LP75" s="289">
        <f t="shared" si="184"/>
        <v>0</v>
      </c>
      <c r="LQ75" s="252"/>
      <c r="LR75" s="252"/>
      <c r="LS75" s="252"/>
      <c r="LT75" s="290">
        <f>LS75/10*12</f>
        <v>0</v>
      </c>
      <c r="LU75" s="252">
        <v>0</v>
      </c>
      <c r="LV75" s="252"/>
      <c r="LW75" s="252"/>
      <c r="LX75" s="252"/>
      <c r="LY75" s="252"/>
      <c r="LZ75" s="252"/>
      <c r="MA75" s="252"/>
      <c r="MB75" s="289">
        <f t="shared" si="186"/>
        <v>0</v>
      </c>
      <c r="MC75" s="252"/>
      <c r="MD75" s="252"/>
      <c r="ME75" s="252"/>
      <c r="MF75" s="252"/>
      <c r="MG75" s="252"/>
      <c r="MH75" s="252"/>
      <c r="MI75" s="252"/>
      <c r="MJ75" s="289">
        <f t="shared" si="187"/>
        <v>0</v>
      </c>
      <c r="MK75" s="252"/>
      <c r="ML75" s="252"/>
      <c r="MM75" s="252"/>
      <c r="MN75" s="252"/>
      <c r="MO75" s="252"/>
      <c r="MP75" s="252"/>
      <c r="MQ75" s="252"/>
      <c r="MR75" s="289">
        <f t="shared" si="188"/>
        <v>0</v>
      </c>
      <c r="MS75" s="286"/>
      <c r="MT75" s="252"/>
      <c r="MU75" s="252"/>
      <c r="MV75" s="252"/>
      <c r="MW75" s="252"/>
      <c r="MX75" s="252"/>
      <c r="MY75" s="252"/>
      <c r="MZ75" s="289">
        <f>MY75/10*12</f>
        <v>0</v>
      </c>
      <c r="NA75" s="252"/>
      <c r="NB75" s="252"/>
      <c r="NC75" s="252"/>
      <c r="ND75" s="289">
        <f t="shared" si="190"/>
        <v>0</v>
      </c>
      <c r="NE75" s="252">
        <v>0</v>
      </c>
      <c r="NF75" s="252"/>
      <c r="NG75" s="252"/>
      <c r="NH75" s="252"/>
      <c r="NI75" s="252"/>
      <c r="NJ75" s="252"/>
      <c r="NK75" s="252"/>
      <c r="NL75" s="289">
        <f t="shared" si="191"/>
        <v>0</v>
      </c>
      <c r="NM75" s="252"/>
      <c r="NN75" s="252"/>
      <c r="NO75" s="252"/>
      <c r="NP75" s="252"/>
      <c r="NQ75" s="252"/>
      <c r="NR75" s="252"/>
      <c r="NS75" s="252"/>
      <c r="NT75" s="289">
        <f t="shared" si="192"/>
        <v>0</v>
      </c>
      <c r="NU75" s="252"/>
      <c r="NV75" s="252"/>
      <c r="NW75" s="252"/>
      <c r="NX75" s="252"/>
      <c r="NY75" s="252"/>
      <c r="NZ75" s="252"/>
      <c r="OA75" s="252"/>
      <c r="OB75" s="289">
        <f t="shared" si="193"/>
        <v>0</v>
      </c>
      <c r="OC75" s="252"/>
      <c r="OD75" s="252"/>
      <c r="OE75" s="252"/>
      <c r="OF75" s="252"/>
      <c r="OG75" s="252"/>
      <c r="OH75" s="252"/>
      <c r="OI75" s="252"/>
      <c r="OJ75" s="289">
        <f t="shared" si="194"/>
        <v>0</v>
      </c>
      <c r="OK75" s="252"/>
      <c r="OL75" s="252"/>
      <c r="OM75" s="252"/>
      <c r="ON75" s="252"/>
      <c r="OO75" s="252"/>
      <c r="OP75" s="252"/>
      <c r="OQ75" s="252"/>
      <c r="OR75" s="289">
        <f t="shared" si="195"/>
        <v>0</v>
      </c>
      <c r="OS75" s="252"/>
      <c r="OT75" s="252"/>
      <c r="OU75" s="252"/>
      <c r="OV75" s="252"/>
      <c r="OW75" s="252"/>
      <c r="OX75" s="252"/>
      <c r="OY75" s="252"/>
      <c r="OZ75" s="289">
        <f t="shared" si="196"/>
        <v>0</v>
      </c>
      <c r="PA75" s="253"/>
      <c r="PB75" s="252"/>
      <c r="PC75" s="252"/>
      <c r="PD75" s="289">
        <f t="shared" si="197"/>
        <v>0</v>
      </c>
      <c r="PE75" s="253"/>
      <c r="PF75" s="252"/>
      <c r="PG75" s="252"/>
      <c r="PH75" s="252"/>
      <c r="PI75" s="252"/>
      <c r="PJ75" s="252"/>
      <c r="PK75" s="252"/>
      <c r="PL75" s="289">
        <f t="shared" si="204"/>
        <v>0</v>
      </c>
      <c r="PM75" s="253"/>
      <c r="PN75" s="252">
        <v>-110000</v>
      </c>
      <c r="PO75" s="252">
        <v>-196246.39041000011</v>
      </c>
      <c r="PP75" s="252">
        <v>-80000.004687232096</v>
      </c>
      <c r="PQ75" s="252">
        <v>-142440.11381000001</v>
      </c>
      <c r="PR75" s="252">
        <v>-55000</v>
      </c>
      <c r="PS75" s="252">
        <v>-87751.886540000007</v>
      </c>
      <c r="PT75" s="289">
        <f>PS75/10*12</f>
        <v>-105302.26384800002</v>
      </c>
      <c r="PU75" s="252">
        <v>-80000</v>
      </c>
      <c r="PV75" s="252"/>
      <c r="PW75" s="252"/>
      <c r="PX75" s="252"/>
      <c r="PY75" s="252"/>
      <c r="PZ75" s="252"/>
      <c r="QA75" s="252"/>
      <c r="QB75" s="289">
        <f t="shared" si="199"/>
        <v>0</v>
      </c>
      <c r="QC75" s="252"/>
      <c r="QD75" s="252"/>
      <c r="QE75" s="252"/>
      <c r="QF75" s="252"/>
      <c r="QG75" s="252"/>
      <c r="QH75" s="252"/>
      <c r="QI75" s="252"/>
      <c r="QJ75" s="289">
        <f>QI75/10*12</f>
        <v>0</v>
      </c>
      <c r="QK75" s="252">
        <v>0</v>
      </c>
      <c r="QL75" s="252"/>
      <c r="QM75" s="252"/>
      <c r="QN75" s="252"/>
      <c r="QO75" s="252"/>
      <c r="QP75" s="289">
        <f t="shared" si="201"/>
        <v>0</v>
      </c>
      <c r="QQ75" s="289">
        <f t="shared" si="140"/>
        <v>0</v>
      </c>
      <c r="QR75" s="252"/>
      <c r="QS75" s="252"/>
      <c r="QT75" s="252"/>
      <c r="QU75" s="252"/>
      <c r="QV75" s="289">
        <f t="shared" si="202"/>
        <v>0</v>
      </c>
      <c r="QW75" s="252"/>
      <c r="QX75" s="252"/>
      <c r="QY75" s="252"/>
      <c r="QZ75" s="252"/>
      <c r="RA75" s="252"/>
      <c r="RB75" s="252"/>
      <c r="RC75" s="252"/>
      <c r="RD75" s="289">
        <f t="shared" si="203"/>
        <v>0</v>
      </c>
      <c r="RE75" s="303"/>
      <c r="RF75" s="260">
        <f t="shared" si="101"/>
        <v>-55000</v>
      </c>
      <c r="RG75" s="260">
        <f>RC75+QU75+QO75+QI75+QA75+PS75+PK75+PC75+OY75+OQ75+OI75+OA75+NS75+NK75+NC75+MY75+MQ75+MI75+MA75+LS75+LO75+LG75+KY75+KQ75+KI75+KA75+JS75+JK75+JC75+IU75+IM75+IE75+HW75+HO75+HG75+GY75+GQ75+GI75+GA75+FS75+FK75+FC75+EU75+EM75+EE75+DW75+DO75+DG75+CY75+CQ75+CI75+CA75+BS75+BK75+BC75+AU75+AM75+AE75+W75+O75+G75</f>
        <v>-87751.886540000007</v>
      </c>
      <c r="RH75" s="260">
        <f t="shared" si="142"/>
        <v>-105302.26384800002</v>
      </c>
      <c r="RI75" s="257">
        <f t="shared" si="143"/>
        <v>-80000</v>
      </c>
    </row>
    <row r="76" spans="1:477">
      <c r="B76" s="281"/>
      <c r="C76" s="281"/>
      <c r="F76" s="292">
        <f>F24-SUM(F25:F26,F33,F36,F52:F60,F63,F68:F74)</f>
        <v>19635.120514133858</v>
      </c>
      <c r="G76" s="292">
        <f t="shared" ref="G76:I76" si="206">G24-SUM(G25:G26,G33,G36,G52:G60,G63,G68:G74)</f>
        <v>14851.298319999973</v>
      </c>
      <c r="H76" s="292">
        <f t="shared" si="206"/>
        <v>17821.557983999985</v>
      </c>
      <c r="I76" s="292">
        <f t="shared" si="206"/>
        <v>19634.91253999999</v>
      </c>
      <c r="N76" s="2">
        <f>N24</f>
        <v>5766.6206074949814</v>
      </c>
      <c r="O76" s="2">
        <f t="shared" ref="O76:Q76" si="207">O24</f>
        <v>5246.9660999999996</v>
      </c>
      <c r="P76" s="2">
        <f t="shared" si="207"/>
        <v>6296.3593199999996</v>
      </c>
      <c r="Q76" s="2">
        <f t="shared" si="207"/>
        <v>6216.7021700000005</v>
      </c>
      <c r="V76" s="2">
        <f>V24-V44-V65</f>
        <v>7019.7920978622869</v>
      </c>
      <c r="W76" s="2">
        <f t="shared" ref="W76:Y76" si="208">W24-W44-W65</f>
        <v>5672.6656900000016</v>
      </c>
      <c r="X76" s="2">
        <f t="shared" si="208"/>
        <v>6807.1988280000014</v>
      </c>
      <c r="Y76" s="2">
        <f t="shared" si="208"/>
        <v>7199.78514</v>
      </c>
      <c r="AG76" s="2">
        <f>AD24-AG24</f>
        <v>-0.49149930572093581</v>
      </c>
      <c r="AO76" s="2">
        <f>AL24-AO24</f>
        <v>0.46838656552336033</v>
      </c>
      <c r="AT76" s="2">
        <f>AT24-AT29-AT30</f>
        <v>33963.188870241836</v>
      </c>
      <c r="AU76" s="2">
        <f t="shared" ref="AU76:AW76" si="209">AU24-AU29-AU30</f>
        <v>26089.426509999998</v>
      </c>
      <c r="AV76" s="2">
        <f t="shared" si="209"/>
        <v>31307.311812000007</v>
      </c>
      <c r="AW76" s="2">
        <f t="shared" si="209"/>
        <v>33963.457110000003</v>
      </c>
      <c r="BE76" s="2">
        <f>BB24-BE24</f>
        <v>0.3931896734284237</v>
      </c>
      <c r="BJ76" s="2">
        <f>BJ24-BJ43</f>
        <v>8211.2145411592937</v>
      </c>
      <c r="BK76" s="2">
        <f t="shared" ref="BK76:BM76" si="210">BK24-BK43</f>
        <v>6511.4323299999996</v>
      </c>
      <c r="BL76" s="2">
        <f t="shared" si="210"/>
        <v>7813.718796000001</v>
      </c>
      <c r="BM76" s="2">
        <f t="shared" si="210"/>
        <v>8211.4572000000007</v>
      </c>
      <c r="BU76" s="2">
        <f>BR24-BU24</f>
        <v>0.49326355793982657</v>
      </c>
      <c r="CB76" t="s">
        <v>147</v>
      </c>
      <c r="CC76" s="2">
        <f>BZ24-CC24</f>
        <v>-0.24414883067947812</v>
      </c>
      <c r="CH76" s="2">
        <f>CH24-CH27</f>
        <v>14236.599212786074</v>
      </c>
      <c r="CI76" s="2">
        <f t="shared" ref="CI76:CK76" si="211">CI24-CI27</f>
        <v>11460.127779999999</v>
      </c>
      <c r="CJ76" s="2">
        <f t="shared" si="211"/>
        <v>13752.153335999992</v>
      </c>
      <c r="CK76" s="2">
        <f t="shared" si="211"/>
        <v>14236.989459999997</v>
      </c>
      <c r="CP76" s="2">
        <f>CP24-CP43</f>
        <v>4549.811913349562</v>
      </c>
      <c r="CQ76" s="2">
        <f t="shared" ref="CQ76:CS76" si="212">CQ24-CQ43</f>
        <v>3708.9313600000023</v>
      </c>
      <c r="CR76" s="2">
        <f t="shared" si="212"/>
        <v>4450.717631999998</v>
      </c>
      <c r="CS76" s="2">
        <f t="shared" si="212"/>
        <v>5269.7117264398112</v>
      </c>
      <c r="CZ76" t="s">
        <v>147</v>
      </c>
      <c r="DA76" s="2">
        <f>CX24-DA24</f>
        <v>-0.47090997385976152</v>
      </c>
      <c r="DH76" t="s">
        <v>147</v>
      </c>
      <c r="DI76" s="2">
        <f>DF24-DI24</f>
        <v>-0.3846290472210967</v>
      </c>
      <c r="DP76" t="s">
        <v>147</v>
      </c>
      <c r="DQ76" s="2">
        <f>DN24-DQ24</f>
        <v>0.2237861095670155</v>
      </c>
      <c r="DX76" t="s">
        <v>147</v>
      </c>
      <c r="DY76" s="2">
        <f>DV24-DY24</f>
        <v>8.1880187988190301E-2</v>
      </c>
      <c r="EG76" s="2">
        <f>ED24-EG24</f>
        <v>-6.2428211776932585E-5</v>
      </c>
      <c r="EN76" t="s">
        <v>147</v>
      </c>
      <c r="EO76" s="2">
        <f>EL24-EO24</f>
        <v>0.18057764700600387</v>
      </c>
      <c r="EW76" s="2">
        <f>ET24-EW24</f>
        <v>0.10383737476199428</v>
      </c>
      <c r="FE76" s="2">
        <f>FB24-FE24</f>
        <v>-0.17165216775902081</v>
      </c>
      <c r="FM76" s="2">
        <f>FJ24-FM24</f>
        <v>-0.26665580009398582</v>
      </c>
      <c r="FR76" s="2">
        <f>FR24-FR42</f>
        <v>96.761226952251945</v>
      </c>
      <c r="FS76" s="2">
        <f t="shared" ref="FS76:FU76" si="213">FS24-FS42</f>
        <v>79.333740000000034</v>
      </c>
      <c r="FT76" s="2">
        <f t="shared" si="213"/>
        <v>95.200488000000178</v>
      </c>
      <c r="FU76" s="2">
        <f t="shared" si="213"/>
        <v>96.51958999999988</v>
      </c>
      <c r="FZ76" s="2">
        <f>FZ24-FZ67</f>
        <v>409.77521709307121</v>
      </c>
      <c r="GA76" s="2">
        <f t="shared" ref="GA76:GC76" si="214">GA24-GA67</f>
        <v>324.24184999999898</v>
      </c>
      <c r="GB76" s="2">
        <f t="shared" si="214"/>
        <v>389.09021999999868</v>
      </c>
      <c r="GC76" s="2">
        <f t="shared" si="214"/>
        <v>409.69561999999996</v>
      </c>
      <c r="GJ76" t="s">
        <v>147</v>
      </c>
      <c r="GK76" s="2">
        <f>GH24-GK24</f>
        <v>0.4771311317481377</v>
      </c>
      <c r="GP76" s="2">
        <f>GP24</f>
        <v>159.55399060528899</v>
      </c>
      <c r="GQ76" s="2">
        <f t="shared" ref="GQ76:GS76" si="215">GQ24</f>
        <v>122.60469999999999</v>
      </c>
      <c r="GR76" s="2">
        <f t="shared" si="215"/>
        <v>147.12563999999998</v>
      </c>
      <c r="GS76" s="2">
        <f t="shared" si="215"/>
        <v>259.37796000000003</v>
      </c>
      <c r="GZ76" t="s">
        <v>147</v>
      </c>
      <c r="HA76" s="2">
        <f>GX24-HA24</f>
        <v>0.23507919390100795</v>
      </c>
      <c r="HH76" t="s">
        <v>147</v>
      </c>
      <c r="HI76" s="2">
        <f>HF24-HI24</f>
        <v>-0.32046838766200381</v>
      </c>
      <c r="HP76" t="s">
        <v>147</v>
      </c>
      <c r="HQ76" s="2">
        <f>HN24-HQ24</f>
        <v>-0.39583015981179415</v>
      </c>
      <c r="HX76" t="s">
        <v>147</v>
      </c>
      <c r="HY76" s="2">
        <f>HV24-HY24</f>
        <v>0.12203804233911342</v>
      </c>
      <c r="IG76" s="2">
        <f>ID24-IG24</f>
        <v>5.3738334900117479E-3</v>
      </c>
      <c r="IO76" s="2">
        <f>IL24-IO24</f>
        <v>0.16217465107911266</v>
      </c>
      <c r="IW76" s="2">
        <f>IT24-IW24</f>
        <v>-0.30167348323448095</v>
      </c>
      <c r="JE76" s="2">
        <f>JB24-JE24</f>
        <v>3.5826165752951056E-2</v>
      </c>
      <c r="JM76" s="2">
        <f>JJ24-JM24</f>
        <v>-5.8213826559949666E-4</v>
      </c>
      <c r="KC76" s="2">
        <f>JZ24-KC24</f>
        <v>-0.348178414269114</v>
      </c>
      <c r="KK76" s="2">
        <f>KH24-KK24</f>
        <v>0.17687710029599657</v>
      </c>
      <c r="LA76" s="2">
        <f>KX24-LA24</f>
        <v>8.7543185003596591E-2</v>
      </c>
      <c r="LF76" s="292"/>
      <c r="LG76" s="292"/>
      <c r="LH76" s="291"/>
      <c r="LI76" s="292">
        <f>LF24-LI24</f>
        <v>0.16183871843531961</v>
      </c>
      <c r="LQ76" s="2">
        <f>LN24-LQ24</f>
        <v>0.22517020357099682</v>
      </c>
      <c r="MC76" s="2">
        <f>LZ24-MC24</f>
        <v>-3.3072460041694285E-6</v>
      </c>
      <c r="MK76" s="2">
        <f>MH24-MK24</f>
        <v>-0.23197349555812252</v>
      </c>
      <c r="ML76" s="307" t="s">
        <v>164</v>
      </c>
      <c r="MS76" s="2">
        <f>MP24-MS24</f>
        <v>906.19932065141802</v>
      </c>
      <c r="MX76" s="2">
        <f>MX24</f>
        <v>36045.997328102378</v>
      </c>
      <c r="MY76" s="2">
        <f t="shared" ref="MY76:NA76" si="216">MY24</f>
        <v>32089.685310000001</v>
      </c>
      <c r="MZ76" s="2">
        <f t="shared" si="216"/>
        <v>38507.622371999998</v>
      </c>
      <c r="NA76" s="2">
        <f t="shared" si="216"/>
        <v>36546.025590000005</v>
      </c>
      <c r="NM76" s="2">
        <f>NJ24-NM24</f>
        <v>-0.33800207279401207</v>
      </c>
      <c r="NU76" s="2">
        <f>NR24-NU24</f>
        <v>-3.4647399971277082E-7</v>
      </c>
      <c r="OC76" s="2">
        <f>NZ24-OC24</f>
        <v>6.4203605660395624E-3</v>
      </c>
      <c r="OJ76" t="s">
        <v>147</v>
      </c>
      <c r="OK76" s="2">
        <f>OH24-OK24</f>
        <v>-0.19816724465772495</v>
      </c>
      <c r="OR76" t="s">
        <v>147</v>
      </c>
      <c r="OS76" s="2">
        <f>OP24-OS24</f>
        <v>-0.11951271264751995</v>
      </c>
      <c r="OZ76" t="s">
        <v>148</v>
      </c>
    </row>
    <row r="77" spans="1:477" s="291" customFormat="1">
      <c r="M77" s="296" t="s">
        <v>153</v>
      </c>
      <c r="N77" s="294">
        <v>450</v>
      </c>
      <c r="O77" s="295" t="s">
        <v>152</v>
      </c>
      <c r="U77" s="296" t="s">
        <v>153</v>
      </c>
      <c r="V77" s="285">
        <v>180</v>
      </c>
      <c r="W77" s="285" t="s">
        <v>154</v>
      </c>
      <c r="BJ77" s="285" t="s">
        <v>155</v>
      </c>
      <c r="CO77" s="296" t="s">
        <v>153</v>
      </c>
      <c r="CP77" s="285">
        <f>60*12</f>
        <v>720</v>
      </c>
      <c r="CQ77" s="285" t="s">
        <v>156</v>
      </c>
      <c r="FC77" s="285" t="s">
        <v>157</v>
      </c>
      <c r="GO77" s="296" t="s">
        <v>153</v>
      </c>
      <c r="GP77" s="285" t="s">
        <v>158</v>
      </c>
      <c r="LF77" s="285"/>
      <c r="LK77"/>
      <c r="LL77" t="s">
        <v>159</v>
      </c>
      <c r="LN77"/>
      <c r="MW77" s="296" t="s">
        <v>153</v>
      </c>
      <c r="MX77" s="285" t="s">
        <v>165</v>
      </c>
    </row>
    <row r="78" spans="1:477" s="291" customFormat="1" ht="12.75" customHeight="1">
      <c r="I78" s="292">
        <f>F76-I76</f>
        <v>0.2079741338675376</v>
      </c>
      <c r="N78" s="292">
        <f>N76+N77</f>
        <v>6216.6206074949814</v>
      </c>
      <c r="Q78" s="292">
        <f>Q76</f>
        <v>6216.7021700000005</v>
      </c>
      <c r="V78" s="292">
        <f>V76+V77</f>
        <v>7199.7920978622869</v>
      </c>
      <c r="Y78" s="292">
        <f>Y76</f>
        <v>7199.78514</v>
      </c>
      <c r="CJ78" s="291" t="s">
        <v>147</v>
      </c>
      <c r="CK78" s="292">
        <f>CH76-CK76</f>
        <v>-0.39024721392343054</v>
      </c>
      <c r="CP78" s="292">
        <f>CP76+CP77</f>
        <v>5269.811913349562</v>
      </c>
      <c r="CS78" s="292">
        <f>CS76</f>
        <v>5269.7117264398112</v>
      </c>
      <c r="FU78" s="292">
        <f>FR76-FU76</f>
        <v>0.24163695225206538</v>
      </c>
      <c r="GB78"/>
      <c r="GC78" s="2">
        <f>FZ76-GC76</f>
        <v>7.9597093071242853E-2</v>
      </c>
      <c r="GP78" s="292">
        <f>GP76+100</f>
        <v>259.55399060528896</v>
      </c>
      <c r="GS78" s="292">
        <f>GS76</f>
        <v>259.37796000000003</v>
      </c>
      <c r="LL78"/>
      <c r="LM78" s="304" t="s">
        <v>160</v>
      </c>
      <c r="LN78" s="304">
        <v>600</v>
      </c>
      <c r="LO78" s="304">
        <v>292</v>
      </c>
      <c r="LP78" s="305">
        <f>LO78/10*12</f>
        <v>350.4</v>
      </c>
      <c r="MT78"/>
      <c r="MX78" s="292">
        <f>MX76+500</f>
        <v>36545.997328102378</v>
      </c>
      <c r="NA78" s="292">
        <f>NA76</f>
        <v>36546.025590000005</v>
      </c>
    </row>
    <row r="79" spans="1:477" s="291" customFormat="1" ht="12.75" customHeight="1">
      <c r="F79" s="4"/>
      <c r="G79" s="4"/>
      <c r="H79" s="4"/>
      <c r="I79" s="4"/>
      <c r="AW79" s="292">
        <f>AT76-AW76</f>
        <v>-0.26823975816660095</v>
      </c>
      <c r="BM79" s="297">
        <f>BJ76-BM76</f>
        <v>-0.24265884070700849</v>
      </c>
      <c r="LI79" s="292"/>
      <c r="LL79"/>
      <c r="LM79" s="304" t="s">
        <v>161</v>
      </c>
      <c r="LN79" s="304">
        <v>70</v>
      </c>
      <c r="LO79" s="304">
        <v>42</v>
      </c>
      <c r="LP79" s="305">
        <f t="shared" ref="LP79:LP81" si="217">LO79/10*12</f>
        <v>50.400000000000006</v>
      </c>
    </row>
    <row r="80" spans="1:477" s="4" customFormat="1" ht="12.75" customHeight="1">
      <c r="F80"/>
      <c r="G80"/>
      <c r="H80"/>
      <c r="I80"/>
      <c r="Q80" s="292">
        <f>N78-Q78</f>
        <v>-8.1562505019064702E-2</v>
      </c>
      <c r="Y80" s="292">
        <f>V78-Y78</f>
        <v>6.9578622869812534E-3</v>
      </c>
      <c r="CS80" s="292">
        <f>CP78-CS78</f>
        <v>0.1001869097508461</v>
      </c>
      <c r="GP80"/>
      <c r="GQ80"/>
      <c r="GR80" s="291" t="s">
        <v>147</v>
      </c>
      <c r="GS80" s="2">
        <f>GP78-GS78</f>
        <v>0.17603060528892911</v>
      </c>
      <c r="LL80"/>
      <c r="LM80" s="304" t="s">
        <v>162</v>
      </c>
      <c r="LN80" s="304">
        <v>32</v>
      </c>
      <c r="LO80" s="304">
        <v>19</v>
      </c>
      <c r="LP80" s="305">
        <f t="shared" si="217"/>
        <v>22.799999999999997</v>
      </c>
      <c r="NA80" s="292">
        <f>MX78-NA78</f>
        <v>-2.8261897627089638E-2</v>
      </c>
    </row>
    <row r="81" spans="2:328" ht="12.75" customHeight="1">
      <c r="LM81" s="304" t="s">
        <v>163</v>
      </c>
      <c r="LN81" s="304">
        <v>0</v>
      </c>
      <c r="LO81" s="304">
        <v>4</v>
      </c>
      <c r="LP81" s="305">
        <f t="shared" si="217"/>
        <v>4.8000000000000007</v>
      </c>
    </row>
    <row r="83" spans="2:328">
      <c r="B83" s="281"/>
    </row>
  </sheetData>
  <mergeCells count="178">
    <mergeCell ref="T2:U2"/>
    <mergeCell ref="V2:X2"/>
    <mergeCell ref="L2:M2"/>
    <mergeCell ref="F2:H2"/>
    <mergeCell ref="N2:P2"/>
    <mergeCell ref="R2:S2"/>
    <mergeCell ref="A1:A3"/>
    <mergeCell ref="B2:C2"/>
    <mergeCell ref="D2:E2"/>
    <mergeCell ref="J2:K2"/>
    <mergeCell ref="AJ2:AK2"/>
    <mergeCell ref="AL2:AN2"/>
    <mergeCell ref="AP2:AQ2"/>
    <mergeCell ref="AR2:AS2"/>
    <mergeCell ref="AT2:AV2"/>
    <mergeCell ref="Z2:AA2"/>
    <mergeCell ref="AB2:AC2"/>
    <mergeCell ref="AD2:AF2"/>
    <mergeCell ref="AH2:AI2"/>
    <mergeCell ref="BJ2:BL2"/>
    <mergeCell ref="BN2:BO2"/>
    <mergeCell ref="BP2:BQ2"/>
    <mergeCell ref="BR2:BT2"/>
    <mergeCell ref="BV2:BW2"/>
    <mergeCell ref="AX2:AY2"/>
    <mergeCell ref="AZ2:BA2"/>
    <mergeCell ref="BB2:BD2"/>
    <mergeCell ref="BF2:BG2"/>
    <mergeCell ref="BH2:BI2"/>
    <mergeCell ref="CH2:CJ2"/>
    <mergeCell ref="CL2:CM2"/>
    <mergeCell ref="CN2:CO2"/>
    <mergeCell ref="CP2:CR2"/>
    <mergeCell ref="CT2:CU2"/>
    <mergeCell ref="CV2:CW2"/>
    <mergeCell ref="BX2:BY2"/>
    <mergeCell ref="BZ2:CB2"/>
    <mergeCell ref="CD2:CE2"/>
    <mergeCell ref="CF2:CG2"/>
    <mergeCell ref="DN2:DP2"/>
    <mergeCell ref="DR2:DS2"/>
    <mergeCell ref="DT2:DU2"/>
    <mergeCell ref="DV2:DX2"/>
    <mergeCell ref="DZ2:EA2"/>
    <mergeCell ref="EB2:EC2"/>
    <mergeCell ref="CX2:CZ2"/>
    <mergeCell ref="DB2:DC2"/>
    <mergeCell ref="DD2:DE2"/>
    <mergeCell ref="DF2:DH2"/>
    <mergeCell ref="DJ2:DK2"/>
    <mergeCell ref="DL2:DM2"/>
    <mergeCell ref="ET2:EV2"/>
    <mergeCell ref="EX2:EY2"/>
    <mergeCell ref="EZ2:FA2"/>
    <mergeCell ref="FB2:FD2"/>
    <mergeCell ref="FF2:FG2"/>
    <mergeCell ref="FH2:FI2"/>
    <mergeCell ref="ED2:EF2"/>
    <mergeCell ref="EH2:EI2"/>
    <mergeCell ref="EJ2:EK2"/>
    <mergeCell ref="EL2:EN2"/>
    <mergeCell ref="EP2:EQ2"/>
    <mergeCell ref="ER2:ES2"/>
    <mergeCell ref="FZ2:GB2"/>
    <mergeCell ref="GD2:GE2"/>
    <mergeCell ref="GF2:GG2"/>
    <mergeCell ref="GH2:GJ2"/>
    <mergeCell ref="GL2:GM2"/>
    <mergeCell ref="GN2:GO2"/>
    <mergeCell ref="FJ2:FL2"/>
    <mergeCell ref="FN2:FO2"/>
    <mergeCell ref="FP2:FQ2"/>
    <mergeCell ref="FR2:FT2"/>
    <mergeCell ref="FV2:FW2"/>
    <mergeCell ref="FX2:FY2"/>
    <mergeCell ref="HN2:HP2"/>
    <mergeCell ref="HR2:HS2"/>
    <mergeCell ref="HT2:HU2"/>
    <mergeCell ref="HV2:HX2"/>
    <mergeCell ref="HZ2:IA2"/>
    <mergeCell ref="IB2:IC2"/>
    <mergeCell ref="GP2:GR2"/>
    <mergeCell ref="GT2:GU2"/>
    <mergeCell ref="GV2:GW2"/>
    <mergeCell ref="GX2:GZ2"/>
    <mergeCell ref="HJ2:HK2"/>
    <mergeCell ref="HL2:HM2"/>
    <mergeCell ref="HB2:HC2"/>
    <mergeCell ref="HD2:HE2"/>
    <mergeCell ref="HF2:HH2"/>
    <mergeCell ref="IT2:IV2"/>
    <mergeCell ref="IX2:IY2"/>
    <mergeCell ref="IZ2:JA2"/>
    <mergeCell ref="JB2:JD2"/>
    <mergeCell ref="JF2:JG2"/>
    <mergeCell ref="JH2:JI2"/>
    <mergeCell ref="ID2:IF2"/>
    <mergeCell ref="IH2:II2"/>
    <mergeCell ref="IJ2:IK2"/>
    <mergeCell ref="IL2:IN2"/>
    <mergeCell ref="IP2:IQ2"/>
    <mergeCell ref="IR2:IS2"/>
    <mergeCell ref="JZ2:KB2"/>
    <mergeCell ref="KD2:KE2"/>
    <mergeCell ref="KF2:KG2"/>
    <mergeCell ref="KH2:KJ2"/>
    <mergeCell ref="KL2:KM2"/>
    <mergeCell ref="KN2:KO2"/>
    <mergeCell ref="JJ2:JL2"/>
    <mergeCell ref="JN2:JO2"/>
    <mergeCell ref="JP2:JQ2"/>
    <mergeCell ref="JR2:JT2"/>
    <mergeCell ref="JV2:JW2"/>
    <mergeCell ref="JX2:JY2"/>
    <mergeCell ref="LL2:LM2"/>
    <mergeCell ref="LN2:LP2"/>
    <mergeCell ref="MD2:ME2"/>
    <mergeCell ref="MF2:MG2"/>
    <mergeCell ref="KP2:KR2"/>
    <mergeCell ref="KT2:KU2"/>
    <mergeCell ref="KV2:KW2"/>
    <mergeCell ref="KX2:KZ2"/>
    <mergeCell ref="LB2:LC2"/>
    <mergeCell ref="LD2:LE2"/>
    <mergeCell ref="LR2:LT2"/>
    <mergeCell ref="LV2:LW2"/>
    <mergeCell ref="LX2:LY2"/>
    <mergeCell ref="LZ2:MB2"/>
    <mergeCell ref="LF2:LH2"/>
    <mergeCell ref="LJ2:LK2"/>
    <mergeCell ref="NN2:NO2"/>
    <mergeCell ref="NP2:NQ2"/>
    <mergeCell ref="MH2:MJ2"/>
    <mergeCell ref="ML2:MM2"/>
    <mergeCell ref="MN2:MO2"/>
    <mergeCell ref="MP2:MR2"/>
    <mergeCell ref="MT2:MU2"/>
    <mergeCell ref="MV2:MW2"/>
    <mergeCell ref="PB2:PD2"/>
    <mergeCell ref="NR2:NT2"/>
    <mergeCell ref="OD2:OE2"/>
    <mergeCell ref="OF2:OG2"/>
    <mergeCell ref="OH2:OJ2"/>
    <mergeCell ref="MX2:MZ2"/>
    <mergeCell ref="NF2:NG2"/>
    <mergeCell ref="NH2:NI2"/>
    <mergeCell ref="NJ2:NL2"/>
    <mergeCell ref="NB2:ND2"/>
    <mergeCell ref="OP2:OR2"/>
    <mergeCell ref="OT2:OU2"/>
    <mergeCell ref="OV2:OW2"/>
    <mergeCell ref="OX2:OZ2"/>
    <mergeCell ref="NV2:NW2"/>
    <mergeCell ref="NX2:NY2"/>
    <mergeCell ref="RI1:RI3"/>
    <mergeCell ref="NZ2:OB2"/>
    <mergeCell ref="QX2:QY2"/>
    <mergeCell ref="QZ2:RA2"/>
    <mergeCell ref="RB2:RD2"/>
    <mergeCell ref="QL2:QM2"/>
    <mergeCell ref="QN2:QP2"/>
    <mergeCell ref="RF1:RH2"/>
    <mergeCell ref="QR2:QS2"/>
    <mergeCell ref="QT2:QV2"/>
    <mergeCell ref="QH2:QJ2"/>
    <mergeCell ref="OL2:OM2"/>
    <mergeCell ref="ON2:OO2"/>
    <mergeCell ref="PV2:PW2"/>
    <mergeCell ref="PX2:PY2"/>
    <mergeCell ref="PZ2:QB2"/>
    <mergeCell ref="QD2:QE2"/>
    <mergeCell ref="QF2:QG2"/>
    <mergeCell ref="PJ2:PL2"/>
    <mergeCell ref="PN2:PO2"/>
    <mergeCell ref="PP2:PQ2"/>
    <mergeCell ref="PR2:PT2"/>
    <mergeCell ref="PF2:PG2"/>
    <mergeCell ref="PH2:PI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"/>
  <dimension ref="A1:MM69"/>
  <sheetViews>
    <sheetView zoomScale="85" zoomScaleNormal="85" workbookViewId="0">
      <selection sqref="A1:MM69"/>
    </sheetView>
  </sheetViews>
  <sheetFormatPr defaultRowHeight="15"/>
  <cols>
    <col min="1" max="1" width="61.85546875" customWidth="1"/>
    <col min="2" max="2" width="34.5703125" bestFit="1" customWidth="1"/>
    <col min="3" max="7" width="7.7109375" bestFit="1" customWidth="1"/>
    <col min="8" max="8" width="57.140625" bestFit="1" customWidth="1"/>
    <col min="9" max="13" width="6.7109375" bestFit="1" customWidth="1"/>
    <col min="14" max="14" width="68.28515625" bestFit="1" customWidth="1"/>
    <col min="15" max="19" width="6.7109375" bestFit="1" customWidth="1"/>
    <col min="20" max="20" width="24.5703125" bestFit="1" customWidth="1"/>
    <col min="21" max="25" width="6.7109375" bestFit="1" customWidth="1"/>
    <col min="26" max="26" width="46.28515625" bestFit="1" customWidth="1"/>
    <col min="27" max="31" width="5.5703125" bestFit="1" customWidth="1"/>
    <col min="32" max="32" width="28.7109375" bestFit="1" customWidth="1"/>
    <col min="33" max="37" width="6.7109375" bestFit="1" customWidth="1"/>
    <col min="38" max="38" width="57.140625" bestFit="1" customWidth="1"/>
    <col min="39" max="43" width="6.7109375" bestFit="1" customWidth="1"/>
    <col min="44" max="44" width="37.28515625" bestFit="1" customWidth="1"/>
    <col min="45" max="49" width="5.5703125" bestFit="1" customWidth="1"/>
    <col min="50" max="50" width="29" bestFit="1" customWidth="1"/>
    <col min="51" max="55" width="5.5703125" bestFit="1" customWidth="1"/>
    <col min="56" max="56" width="18.7109375" bestFit="1" customWidth="1"/>
    <col min="57" max="61" width="6.7109375" bestFit="1" customWidth="1"/>
    <col min="62" max="62" width="24.140625" bestFit="1" customWidth="1"/>
    <col min="63" max="67" width="6.7109375" bestFit="1" customWidth="1"/>
    <col min="68" max="68" width="22.42578125" bestFit="1" customWidth="1"/>
    <col min="69" max="72" width="5.5703125" bestFit="1" customWidth="1"/>
    <col min="73" max="73" width="6.7109375" bestFit="1" customWidth="1"/>
    <col min="74" max="74" width="29.7109375" bestFit="1" customWidth="1"/>
    <col min="75" max="79" width="5.5703125" bestFit="1" customWidth="1"/>
    <col min="80" max="80" width="16.7109375" bestFit="1" customWidth="1"/>
    <col min="81" max="85" width="6.7109375" bestFit="1" customWidth="1"/>
    <col min="86" max="86" width="35.28515625" bestFit="1" customWidth="1"/>
    <col min="87" max="91" width="5.5703125" bestFit="1" customWidth="1"/>
    <col min="92" max="92" width="40.28515625" bestFit="1" customWidth="1"/>
    <col min="93" max="97" width="6.7109375" bestFit="1" customWidth="1"/>
    <col min="98" max="98" width="24.85546875" bestFit="1" customWidth="1"/>
    <col min="99" max="103" width="7.7109375" bestFit="1" customWidth="1"/>
    <col min="104" max="104" width="22.85546875" bestFit="1" customWidth="1"/>
    <col min="105" max="109" width="5.5703125" bestFit="1" customWidth="1"/>
    <col min="110" max="110" width="31.5703125" bestFit="1" customWidth="1"/>
    <col min="111" max="111" width="4.7109375" bestFit="1" customWidth="1"/>
    <col min="112" max="112" width="5.140625" bestFit="1" customWidth="1"/>
    <col min="113" max="113" width="4.7109375" bestFit="1" customWidth="1"/>
    <col min="114" max="114" width="5.140625" bestFit="1" customWidth="1"/>
    <col min="115" max="115" width="4.7109375" bestFit="1" customWidth="1"/>
    <col min="116" max="116" width="39.28515625" bestFit="1" customWidth="1"/>
    <col min="117" max="121" width="6.7109375" bestFit="1" customWidth="1"/>
    <col min="122" max="122" width="24.140625" bestFit="1" customWidth="1"/>
    <col min="123" max="127" width="7.7109375" bestFit="1" customWidth="1"/>
    <col min="128" max="128" width="30.42578125" bestFit="1" customWidth="1"/>
    <col min="129" max="133" width="6.7109375" bestFit="1" customWidth="1"/>
    <col min="134" max="134" width="28.5703125" bestFit="1" customWidth="1"/>
    <col min="135" max="139" width="5.5703125" bestFit="1" customWidth="1"/>
    <col min="140" max="140" width="44.7109375" bestFit="1" customWidth="1"/>
    <col min="141" max="145" width="5.5703125" bestFit="1" customWidth="1"/>
    <col min="146" max="146" width="25.85546875" bestFit="1" customWidth="1"/>
    <col min="147" max="147" width="4.7109375" bestFit="1" customWidth="1"/>
    <col min="148" max="148" width="5.140625" bestFit="1" customWidth="1"/>
    <col min="149" max="149" width="4.7109375" bestFit="1" customWidth="1"/>
    <col min="150" max="150" width="5.140625" bestFit="1" customWidth="1"/>
    <col min="151" max="151" width="4.7109375" bestFit="1" customWidth="1"/>
    <col min="152" max="152" width="65.140625" bestFit="1" customWidth="1"/>
    <col min="153" max="153" width="4.7109375" bestFit="1" customWidth="1"/>
    <col min="154" max="154" width="5.140625" bestFit="1" customWidth="1"/>
    <col min="155" max="155" width="4.7109375" bestFit="1" customWidth="1"/>
    <col min="156" max="156" width="5.140625" bestFit="1" customWidth="1"/>
    <col min="157" max="157" width="4.7109375" bestFit="1" customWidth="1"/>
    <col min="158" max="158" width="42.28515625" bestFit="1" customWidth="1"/>
    <col min="159" max="159" width="4.7109375" bestFit="1" customWidth="1"/>
    <col min="160" max="163" width="5.5703125" bestFit="1" customWidth="1"/>
    <col min="164" max="164" width="22.7109375" bestFit="1" customWidth="1"/>
    <col min="165" max="169" width="5.5703125" bestFit="1" customWidth="1"/>
    <col min="170" max="170" width="30.140625" bestFit="1" customWidth="1"/>
    <col min="171" max="171" width="5.5703125" bestFit="1" customWidth="1"/>
    <col min="172" max="174" width="6.7109375" bestFit="1" customWidth="1"/>
    <col min="175" max="175" width="5.5703125" bestFit="1" customWidth="1"/>
    <col min="176" max="176" width="31.7109375" bestFit="1" customWidth="1"/>
    <col min="177" max="181" width="7.7109375" bestFit="1" customWidth="1"/>
    <col min="182" max="182" width="32" bestFit="1" customWidth="1"/>
    <col min="183" max="187" width="6.7109375" bestFit="1" customWidth="1"/>
    <col min="188" max="188" width="24.42578125" bestFit="1" customWidth="1"/>
    <col min="189" max="193" width="6.7109375" bestFit="1" customWidth="1"/>
    <col min="194" max="194" width="24.140625" bestFit="1" customWidth="1"/>
    <col min="195" max="199" width="6.7109375" bestFit="1" customWidth="1"/>
    <col min="200" max="200" width="31.5703125" bestFit="1" customWidth="1"/>
    <col min="201" max="201" width="4.7109375" bestFit="1" customWidth="1"/>
    <col min="202" max="202" width="5.140625" bestFit="1" customWidth="1"/>
    <col min="203" max="203" width="4.7109375" bestFit="1" customWidth="1"/>
    <col min="204" max="204" width="5.140625" bestFit="1" customWidth="1"/>
    <col min="205" max="205" width="4.7109375" bestFit="1" customWidth="1"/>
    <col min="206" max="206" width="41.28515625" bestFit="1" customWidth="1"/>
    <col min="207" max="211" width="5.5703125" bestFit="1" customWidth="1"/>
    <col min="212" max="212" width="49.28515625" bestFit="1" customWidth="1"/>
    <col min="213" max="213" width="4.7109375" bestFit="1" customWidth="1"/>
    <col min="214" max="214" width="5.140625" bestFit="1" customWidth="1"/>
    <col min="215" max="215" width="4.7109375" bestFit="1" customWidth="1"/>
    <col min="216" max="216" width="5.5703125" bestFit="1" customWidth="1"/>
    <col min="217" max="217" width="4.7109375" bestFit="1" customWidth="1"/>
    <col min="218" max="218" width="33.42578125" bestFit="1" customWidth="1"/>
    <col min="219" max="219" width="4.7109375" bestFit="1" customWidth="1"/>
    <col min="220" max="220" width="5.140625" bestFit="1" customWidth="1"/>
    <col min="221" max="221" width="4.7109375" bestFit="1" customWidth="1"/>
    <col min="222" max="222" width="5.140625" bestFit="1" customWidth="1"/>
    <col min="223" max="223" width="4.7109375" bestFit="1" customWidth="1"/>
    <col min="224" max="224" width="24.5703125" bestFit="1" customWidth="1"/>
    <col min="225" max="229" width="6.7109375" bestFit="1" customWidth="1"/>
    <col min="230" max="230" width="22.140625" bestFit="1" customWidth="1"/>
    <col min="231" max="235" width="6.7109375" bestFit="1" customWidth="1"/>
    <col min="236" max="236" width="10.28515625" bestFit="1" customWidth="1"/>
    <col min="237" max="241" width="5.5703125" bestFit="1" customWidth="1"/>
    <col min="242" max="242" width="27.5703125" bestFit="1" customWidth="1"/>
    <col min="243" max="244" width="5.5703125" bestFit="1" customWidth="1"/>
    <col min="245" max="245" width="6.7109375" bestFit="1" customWidth="1"/>
    <col min="246" max="247" width="5.5703125" bestFit="1" customWidth="1"/>
    <col min="248" max="248" width="13.28515625" bestFit="1" customWidth="1"/>
    <col min="249" max="253" width="5.5703125" bestFit="1" customWidth="1"/>
    <col min="254" max="254" width="29" bestFit="1" customWidth="1"/>
    <col min="255" max="259" width="6.7109375" bestFit="1" customWidth="1"/>
    <col min="260" max="260" width="33.42578125" bestFit="1" customWidth="1"/>
    <col min="261" max="261" width="4.7109375" bestFit="1" customWidth="1"/>
    <col min="262" max="262" width="5.140625" bestFit="1" customWidth="1"/>
    <col min="263" max="263" width="4.7109375" bestFit="1" customWidth="1"/>
    <col min="264" max="264" width="5.140625" bestFit="1" customWidth="1"/>
    <col min="265" max="265" width="4.7109375" bestFit="1" customWidth="1"/>
    <col min="266" max="266" width="32.7109375" bestFit="1" customWidth="1"/>
    <col min="267" max="267" width="4.7109375" bestFit="1" customWidth="1"/>
    <col min="268" max="268" width="5.140625" bestFit="1" customWidth="1"/>
    <col min="269" max="269" width="4.7109375" bestFit="1" customWidth="1"/>
    <col min="270" max="270" width="5.140625" bestFit="1" customWidth="1"/>
    <col min="271" max="271" width="4.7109375" bestFit="1" customWidth="1"/>
    <col min="272" max="272" width="47.85546875" bestFit="1" customWidth="1"/>
    <col min="273" max="277" width="5.5703125" bestFit="1" customWidth="1"/>
    <col min="278" max="278" width="31.85546875" bestFit="1" customWidth="1"/>
    <col min="279" max="283" width="5.5703125" bestFit="1" customWidth="1"/>
    <col min="284" max="284" width="23.42578125" bestFit="1" customWidth="1"/>
    <col min="285" max="285" width="4.7109375" bestFit="1" customWidth="1"/>
    <col min="286" max="286" width="5.140625" bestFit="1" customWidth="1"/>
    <col min="287" max="287" width="4.7109375" bestFit="1" customWidth="1"/>
    <col min="288" max="288" width="5.140625" bestFit="1" customWidth="1"/>
    <col min="289" max="289" width="4.7109375" bestFit="1" customWidth="1"/>
    <col min="290" max="290" width="12.28515625" bestFit="1" customWidth="1"/>
    <col min="291" max="291" width="5.5703125" bestFit="1" customWidth="1"/>
    <col min="292" max="292" width="5.140625" bestFit="1" customWidth="1"/>
    <col min="293" max="295" width="5.5703125" bestFit="1" customWidth="1"/>
    <col min="296" max="296" width="23.28515625" bestFit="1" customWidth="1"/>
    <col min="297" max="297" width="8.28515625" bestFit="1" customWidth="1"/>
    <col min="298" max="299" width="7.28515625" bestFit="1" customWidth="1"/>
    <col min="300" max="300" width="8.28515625" bestFit="1" customWidth="1"/>
    <col min="301" max="301" width="7.28515625" bestFit="1" customWidth="1"/>
    <col min="302" max="302" width="9.7109375" bestFit="1" customWidth="1"/>
    <col min="303" max="303" width="4.7109375" bestFit="1" customWidth="1"/>
    <col min="304" max="304" width="5.140625" bestFit="1" customWidth="1"/>
    <col min="305" max="305" width="4.7109375" bestFit="1" customWidth="1"/>
    <col min="306" max="306" width="5.140625" bestFit="1" customWidth="1"/>
    <col min="307" max="307" width="4.7109375" bestFit="1" customWidth="1"/>
    <col min="308" max="308" width="27.5703125" bestFit="1" customWidth="1"/>
    <col min="309" max="309" width="4.7109375" bestFit="1" customWidth="1"/>
    <col min="310" max="310" width="5.140625" bestFit="1" customWidth="1"/>
    <col min="311" max="311" width="4.7109375" bestFit="1" customWidth="1"/>
    <col min="312" max="312" width="5.140625" bestFit="1" customWidth="1"/>
    <col min="313" max="313" width="4.7109375" bestFit="1" customWidth="1"/>
    <col min="314" max="314" width="20.28515625" bestFit="1" customWidth="1"/>
    <col min="315" max="315" width="4.7109375" bestFit="1" customWidth="1"/>
    <col min="316" max="316" width="5.140625" bestFit="1" customWidth="1"/>
    <col min="317" max="317" width="4.7109375" bestFit="1" customWidth="1"/>
    <col min="318" max="318" width="27.7109375" bestFit="1" customWidth="1"/>
    <col min="319" max="323" width="5.5703125" bestFit="1" customWidth="1"/>
    <col min="324" max="324" width="21.7109375" bestFit="1" customWidth="1"/>
    <col min="325" max="325" width="4.7109375" bestFit="1" customWidth="1"/>
    <col min="326" max="326" width="46" bestFit="1" customWidth="1"/>
    <col min="327" max="327" width="4.7109375" bestFit="1" customWidth="1"/>
    <col min="328" max="328" width="28.140625" bestFit="1" customWidth="1"/>
    <col min="329" max="329" width="4.7109375" bestFit="1" customWidth="1"/>
    <col min="330" max="330" width="5.140625" bestFit="1" customWidth="1"/>
    <col min="331" max="331" width="4.7109375" bestFit="1" customWidth="1"/>
    <col min="332" max="332" width="5.140625" bestFit="1" customWidth="1"/>
    <col min="333" max="333" width="4.7109375" bestFit="1" customWidth="1"/>
    <col min="334" max="334" width="24.28515625" bestFit="1" customWidth="1"/>
    <col min="335" max="335" width="4.7109375" bestFit="1" customWidth="1"/>
    <col min="336" max="336" width="5.140625" bestFit="1" customWidth="1"/>
    <col min="337" max="337" width="4.7109375" bestFit="1" customWidth="1"/>
    <col min="338" max="338" width="5.140625" bestFit="1" customWidth="1"/>
    <col min="339" max="339" width="4.7109375" bestFit="1" customWidth="1"/>
    <col min="340" max="340" width="22.5703125" bestFit="1" customWidth="1"/>
    <col min="341" max="341" width="4.7109375" bestFit="1" customWidth="1"/>
    <col min="342" max="342" width="5.140625" bestFit="1" customWidth="1"/>
    <col min="343" max="343" width="4.7109375" bestFit="1" customWidth="1"/>
    <col min="344" max="344" width="39.28515625" bestFit="1" customWidth="1"/>
    <col min="345" max="345" width="4.7109375" bestFit="1" customWidth="1"/>
    <col min="346" max="346" width="5.140625" bestFit="1" customWidth="1"/>
    <col min="347" max="347" width="4.7109375" bestFit="1" customWidth="1"/>
    <col min="348" max="348" width="5.140625" bestFit="1" customWidth="1"/>
    <col min="349" max="349" width="4.7109375" bestFit="1" customWidth="1"/>
    <col min="350" max="351" width="5.140625" bestFit="1" customWidth="1"/>
    <col min="352" max="352" width="36.28515625" bestFit="1" customWidth="1"/>
    <col min="353" max="353" width="36.42578125" bestFit="1" customWidth="1"/>
    <col min="354" max="354" width="32.7109375" bestFit="1" customWidth="1"/>
    <col min="355" max="359" width="5.140625" bestFit="1" customWidth="1"/>
    <col min="360" max="361" width="35.7109375" bestFit="1" customWidth="1"/>
    <col min="362" max="362" width="47.85546875" bestFit="1" customWidth="1"/>
    <col min="363" max="367" width="6.7109375" bestFit="1" customWidth="1"/>
    <col min="368" max="368" width="50.7109375" bestFit="1" customWidth="1"/>
    <col min="369" max="369" width="51" bestFit="1" customWidth="1"/>
    <col min="370" max="370" width="31.85546875" bestFit="1" customWidth="1"/>
    <col min="371" max="375" width="5.5703125" bestFit="1" customWidth="1"/>
    <col min="376" max="376" width="34.7109375" bestFit="1" customWidth="1"/>
    <col min="377" max="377" width="34.85546875" bestFit="1" customWidth="1"/>
    <col min="378" max="378" width="23.42578125" bestFit="1" customWidth="1"/>
    <col min="379" max="379" width="5.140625" bestFit="1" customWidth="1"/>
    <col min="380" max="380" width="5.5703125" bestFit="1" customWidth="1"/>
    <col min="381" max="383" width="5.140625" bestFit="1" customWidth="1"/>
    <col min="384" max="384" width="26.5703125" bestFit="1" customWidth="1"/>
    <col min="385" max="385" width="26.7109375" bestFit="1" customWidth="1"/>
    <col min="386" max="386" width="12.28515625" bestFit="1" customWidth="1"/>
    <col min="387" max="388" width="5.5703125" bestFit="1" customWidth="1"/>
    <col min="389" max="390" width="5.140625" bestFit="1" customWidth="1"/>
    <col min="391" max="391" width="6.7109375" bestFit="1" customWidth="1"/>
    <col min="392" max="392" width="15.28515625" bestFit="1" customWidth="1"/>
    <col min="393" max="393" width="15.42578125" bestFit="1" customWidth="1"/>
    <col min="394" max="394" width="23.28515625" bestFit="1" customWidth="1"/>
    <col min="395" max="399" width="8.28515625" bestFit="1" customWidth="1"/>
    <col min="400" max="400" width="26.28515625" bestFit="1" customWidth="1"/>
    <col min="401" max="401" width="26.5703125" bestFit="1" customWidth="1"/>
    <col min="402" max="402" width="9.7109375" bestFit="1" customWidth="1"/>
    <col min="403" max="407" width="5.140625" bestFit="1" customWidth="1"/>
    <col min="408" max="408" width="12.42578125" bestFit="1" customWidth="1"/>
    <col min="409" max="409" width="12.5703125" bestFit="1" customWidth="1"/>
    <col min="410" max="410" width="27.5703125" bestFit="1" customWidth="1"/>
    <col min="411" max="415" width="5.140625" bestFit="1" customWidth="1"/>
    <col min="416" max="416" width="30.42578125" bestFit="1" customWidth="1"/>
    <col min="417" max="417" width="30.5703125" bestFit="1" customWidth="1"/>
    <col min="418" max="418" width="20.28515625" bestFit="1" customWidth="1"/>
    <col min="419" max="421" width="5.140625" bestFit="1" customWidth="1"/>
    <col min="422" max="423" width="23.28515625" bestFit="1" customWidth="1"/>
    <col min="424" max="424" width="27.7109375" bestFit="1" customWidth="1"/>
    <col min="425" max="429" width="5.5703125" bestFit="1" customWidth="1"/>
    <col min="430" max="430" width="30.5703125" bestFit="1" customWidth="1"/>
    <col min="431" max="431" width="30.7109375" bestFit="1" customWidth="1"/>
    <col min="432" max="432" width="21.7109375" bestFit="1" customWidth="1"/>
    <col min="433" max="433" width="5.140625" bestFit="1" customWidth="1"/>
    <col min="434" max="435" width="24.7109375" bestFit="1" customWidth="1"/>
    <col min="436" max="436" width="46" bestFit="1" customWidth="1"/>
    <col min="437" max="437" width="5.140625" bestFit="1" customWidth="1"/>
    <col min="438" max="438" width="48.85546875" bestFit="1" customWidth="1"/>
    <col min="439" max="439" width="49" bestFit="1" customWidth="1"/>
    <col min="440" max="440" width="28.140625" bestFit="1" customWidth="1"/>
    <col min="441" max="445" width="5.140625" bestFit="1" customWidth="1"/>
    <col min="446" max="446" width="31" bestFit="1" customWidth="1"/>
    <col min="447" max="447" width="31.140625" bestFit="1" customWidth="1"/>
    <col min="448" max="448" width="24.28515625" bestFit="1" customWidth="1"/>
    <col min="449" max="453" width="5.140625" bestFit="1" customWidth="1"/>
    <col min="454" max="455" width="27.28515625" bestFit="1" customWidth="1"/>
    <col min="456" max="456" width="22.5703125" bestFit="1" customWidth="1"/>
    <col min="457" max="459" width="5.140625" bestFit="1" customWidth="1"/>
    <col min="460" max="460" width="25.42578125" bestFit="1" customWidth="1"/>
    <col min="461" max="461" width="25.5703125" bestFit="1" customWidth="1"/>
    <col min="462" max="462" width="39.28515625" bestFit="1" customWidth="1"/>
    <col min="463" max="467" width="5.140625" bestFit="1" customWidth="1"/>
    <col min="468" max="469" width="42.28515625" bestFit="1" customWidth="1"/>
  </cols>
  <sheetData>
    <row r="1" spans="1:351">
      <c r="B1" s="3" t="s">
        <v>0</v>
      </c>
    </row>
    <row r="2" spans="1:351">
      <c r="B2" t="s">
        <v>7</v>
      </c>
      <c r="H2" t="s">
        <v>17</v>
      </c>
      <c r="N2" t="s">
        <v>19</v>
      </c>
      <c r="T2" t="s">
        <v>20</v>
      </c>
      <c r="Z2" t="s">
        <v>21</v>
      </c>
      <c r="AF2" t="s">
        <v>23</v>
      </c>
      <c r="AL2" t="s">
        <v>24</v>
      </c>
      <c r="AR2" t="s">
        <v>25</v>
      </c>
      <c r="AX2" t="s">
        <v>26</v>
      </c>
      <c r="BD2" t="s">
        <v>27</v>
      </c>
      <c r="BJ2" t="s">
        <v>28</v>
      </c>
      <c r="BP2" t="s">
        <v>29</v>
      </c>
      <c r="BV2" t="s">
        <v>30</v>
      </c>
      <c r="CB2" t="s">
        <v>31</v>
      </c>
      <c r="CH2" t="s">
        <v>33</v>
      </c>
      <c r="CN2" t="s">
        <v>34</v>
      </c>
      <c r="CT2" t="s">
        <v>35</v>
      </c>
      <c r="CZ2" t="s">
        <v>37</v>
      </c>
      <c r="DF2" t="s">
        <v>38</v>
      </c>
      <c r="DL2" t="s">
        <v>39</v>
      </c>
      <c r="DR2" t="s">
        <v>40</v>
      </c>
      <c r="DX2" t="s">
        <v>41</v>
      </c>
      <c r="ED2" t="s">
        <v>43</v>
      </c>
      <c r="EJ2" t="s">
        <v>44</v>
      </c>
      <c r="EP2" t="s">
        <v>45</v>
      </c>
      <c r="EV2" t="s">
        <v>46</v>
      </c>
      <c r="FB2" t="s">
        <v>48</v>
      </c>
      <c r="FH2" t="s">
        <v>49</v>
      </c>
      <c r="FN2" t="s">
        <v>50</v>
      </c>
      <c r="FT2" t="s">
        <v>51</v>
      </c>
      <c r="FZ2" t="s">
        <v>52</v>
      </c>
      <c r="GF2" t="s">
        <v>53</v>
      </c>
      <c r="GL2" t="s">
        <v>54</v>
      </c>
      <c r="GR2" t="s">
        <v>55</v>
      </c>
      <c r="GX2" t="s">
        <v>56</v>
      </c>
      <c r="HD2" t="s">
        <v>57</v>
      </c>
      <c r="HJ2" t="s">
        <v>58</v>
      </c>
      <c r="HP2" t="s">
        <v>59</v>
      </c>
      <c r="HV2" t="s">
        <v>60</v>
      </c>
      <c r="IB2" t="s">
        <v>61</v>
      </c>
      <c r="IH2" t="s">
        <v>63</v>
      </c>
      <c r="IN2" t="s">
        <v>64</v>
      </c>
      <c r="IT2" t="s">
        <v>65</v>
      </c>
      <c r="IZ2" t="s">
        <v>67</v>
      </c>
      <c r="JF2" t="s">
        <v>68</v>
      </c>
      <c r="JL2" t="s">
        <v>69</v>
      </c>
      <c r="JR2" t="s">
        <v>70</v>
      </c>
      <c r="JX2" t="s">
        <v>117</v>
      </c>
      <c r="KD2" t="s">
        <v>118</v>
      </c>
      <c r="KJ2" t="s">
        <v>120</v>
      </c>
      <c r="KP2" t="s">
        <v>122</v>
      </c>
      <c r="KV2" t="s">
        <v>123</v>
      </c>
      <c r="LB2" t="s">
        <v>124</v>
      </c>
      <c r="LF2" t="s">
        <v>47</v>
      </c>
      <c r="LL2" t="s">
        <v>62</v>
      </c>
      <c r="LN2" t="s">
        <v>66</v>
      </c>
      <c r="LP2" t="s">
        <v>114</v>
      </c>
      <c r="LV2" t="s">
        <v>116</v>
      </c>
      <c r="MB2" t="s">
        <v>125</v>
      </c>
      <c r="MF2" t="s">
        <v>126</v>
      </c>
      <c r="MH2" t="s">
        <v>127</v>
      </c>
    </row>
    <row r="3" spans="1:351">
      <c r="B3" t="s">
        <v>4</v>
      </c>
      <c r="D3" t="s">
        <v>5</v>
      </c>
      <c r="F3" t="s">
        <v>6</v>
      </c>
      <c r="H3" t="s">
        <v>4</v>
      </c>
      <c r="J3" t="s">
        <v>5</v>
      </c>
      <c r="L3" t="s">
        <v>6</v>
      </c>
      <c r="N3" t="s">
        <v>4</v>
      </c>
      <c r="P3" t="s">
        <v>5</v>
      </c>
      <c r="R3" t="s">
        <v>6</v>
      </c>
      <c r="T3" t="s">
        <v>4</v>
      </c>
      <c r="V3" t="s">
        <v>5</v>
      </c>
      <c r="X3" t="s">
        <v>6</v>
      </c>
      <c r="Z3" t="s">
        <v>4</v>
      </c>
      <c r="AB3" t="s">
        <v>5</v>
      </c>
      <c r="AD3" t="s">
        <v>6</v>
      </c>
      <c r="AF3" t="s">
        <v>4</v>
      </c>
      <c r="AH3" t="s">
        <v>5</v>
      </c>
      <c r="AJ3" t="s">
        <v>6</v>
      </c>
      <c r="AL3" t="s">
        <v>4</v>
      </c>
      <c r="AN3" t="s">
        <v>5</v>
      </c>
      <c r="AP3" t="s">
        <v>6</v>
      </c>
      <c r="AR3" t="s">
        <v>4</v>
      </c>
      <c r="AT3" t="s">
        <v>5</v>
      </c>
      <c r="AV3" t="s">
        <v>6</v>
      </c>
      <c r="AX3" t="s">
        <v>4</v>
      </c>
      <c r="AZ3" t="s">
        <v>5</v>
      </c>
      <c r="BB3" t="s">
        <v>6</v>
      </c>
      <c r="BD3" t="s">
        <v>4</v>
      </c>
      <c r="BF3" t="s">
        <v>5</v>
      </c>
      <c r="BH3" t="s">
        <v>6</v>
      </c>
      <c r="BJ3" t="s">
        <v>4</v>
      </c>
      <c r="BL3" t="s">
        <v>5</v>
      </c>
      <c r="BN3" t="s">
        <v>6</v>
      </c>
      <c r="BP3" t="s">
        <v>4</v>
      </c>
      <c r="BR3" t="s">
        <v>5</v>
      </c>
      <c r="BT3" t="s">
        <v>6</v>
      </c>
      <c r="BV3" t="s">
        <v>4</v>
      </c>
      <c r="BX3" t="s">
        <v>5</v>
      </c>
      <c r="BZ3" t="s">
        <v>6</v>
      </c>
      <c r="CB3" t="s">
        <v>4</v>
      </c>
      <c r="CD3" t="s">
        <v>5</v>
      </c>
      <c r="CF3" t="s">
        <v>6</v>
      </c>
      <c r="CH3" t="s">
        <v>4</v>
      </c>
      <c r="CJ3" t="s">
        <v>5</v>
      </c>
      <c r="CL3" t="s">
        <v>6</v>
      </c>
      <c r="CN3" t="s">
        <v>4</v>
      </c>
      <c r="CP3" t="s">
        <v>5</v>
      </c>
      <c r="CR3" t="s">
        <v>6</v>
      </c>
      <c r="CT3" t="s">
        <v>4</v>
      </c>
      <c r="CV3" t="s">
        <v>5</v>
      </c>
      <c r="CX3" t="s">
        <v>6</v>
      </c>
      <c r="CZ3" t="s">
        <v>4</v>
      </c>
      <c r="DB3" t="s">
        <v>5</v>
      </c>
      <c r="DD3" t="s">
        <v>6</v>
      </c>
      <c r="DF3" t="s">
        <v>4</v>
      </c>
      <c r="DH3" t="s">
        <v>5</v>
      </c>
      <c r="DJ3" t="s">
        <v>6</v>
      </c>
      <c r="DL3" t="s">
        <v>4</v>
      </c>
      <c r="DN3" t="s">
        <v>5</v>
      </c>
      <c r="DP3" t="s">
        <v>6</v>
      </c>
      <c r="DR3" t="s">
        <v>4</v>
      </c>
      <c r="DT3" t="s">
        <v>5</v>
      </c>
      <c r="DV3" t="s">
        <v>6</v>
      </c>
      <c r="DX3" t="s">
        <v>4</v>
      </c>
      <c r="DZ3" t="s">
        <v>5</v>
      </c>
      <c r="EB3" t="s">
        <v>6</v>
      </c>
      <c r="ED3" t="s">
        <v>4</v>
      </c>
      <c r="EF3" t="s">
        <v>5</v>
      </c>
      <c r="EH3" t="s">
        <v>6</v>
      </c>
      <c r="EJ3" t="s">
        <v>4</v>
      </c>
      <c r="EL3" t="s">
        <v>5</v>
      </c>
      <c r="EN3" t="s">
        <v>6</v>
      </c>
      <c r="EP3" t="s">
        <v>4</v>
      </c>
      <c r="ER3" t="s">
        <v>5</v>
      </c>
      <c r="ET3" t="s">
        <v>6</v>
      </c>
      <c r="EV3" t="s">
        <v>4</v>
      </c>
      <c r="EX3" t="s">
        <v>5</v>
      </c>
      <c r="EZ3" t="s">
        <v>6</v>
      </c>
      <c r="FB3" t="s">
        <v>4</v>
      </c>
      <c r="FD3" t="s">
        <v>5</v>
      </c>
      <c r="FF3" t="s">
        <v>6</v>
      </c>
      <c r="FH3" t="s">
        <v>4</v>
      </c>
      <c r="FJ3" t="s">
        <v>5</v>
      </c>
      <c r="FL3" t="s">
        <v>6</v>
      </c>
      <c r="FN3" t="s">
        <v>4</v>
      </c>
      <c r="FP3" t="s">
        <v>5</v>
      </c>
      <c r="FR3" t="s">
        <v>6</v>
      </c>
      <c r="FT3" t="s">
        <v>4</v>
      </c>
      <c r="FV3" t="s">
        <v>5</v>
      </c>
      <c r="FX3" t="s">
        <v>6</v>
      </c>
      <c r="FZ3" t="s">
        <v>4</v>
      </c>
      <c r="GB3" t="s">
        <v>5</v>
      </c>
      <c r="GD3" t="s">
        <v>6</v>
      </c>
      <c r="GF3" t="s">
        <v>4</v>
      </c>
      <c r="GH3" t="s">
        <v>5</v>
      </c>
      <c r="GJ3" t="s">
        <v>6</v>
      </c>
      <c r="GL3" t="s">
        <v>4</v>
      </c>
      <c r="GN3" t="s">
        <v>5</v>
      </c>
      <c r="GP3" t="s">
        <v>6</v>
      </c>
      <c r="GR3" t="s">
        <v>4</v>
      </c>
      <c r="GT3" t="s">
        <v>5</v>
      </c>
      <c r="GV3" t="s">
        <v>6</v>
      </c>
      <c r="GX3" t="s">
        <v>4</v>
      </c>
      <c r="GZ3" t="s">
        <v>5</v>
      </c>
      <c r="HB3" t="s">
        <v>6</v>
      </c>
      <c r="HD3" t="s">
        <v>4</v>
      </c>
      <c r="HF3" t="s">
        <v>5</v>
      </c>
      <c r="HH3" t="s">
        <v>6</v>
      </c>
      <c r="HJ3" t="s">
        <v>4</v>
      </c>
      <c r="HL3" t="s">
        <v>5</v>
      </c>
      <c r="HN3" t="s">
        <v>6</v>
      </c>
      <c r="HP3" t="s">
        <v>4</v>
      </c>
      <c r="HR3" t="s">
        <v>5</v>
      </c>
      <c r="HT3" t="s">
        <v>6</v>
      </c>
      <c r="HV3" t="s">
        <v>4</v>
      </c>
      <c r="HX3" t="s">
        <v>5</v>
      </c>
      <c r="HZ3" t="s">
        <v>6</v>
      </c>
      <c r="IB3" t="s">
        <v>4</v>
      </c>
      <c r="ID3" t="s">
        <v>5</v>
      </c>
      <c r="IF3" t="s">
        <v>6</v>
      </c>
      <c r="IH3" t="s">
        <v>4</v>
      </c>
      <c r="IJ3" t="s">
        <v>5</v>
      </c>
      <c r="IL3" t="s">
        <v>6</v>
      </c>
      <c r="IN3" t="s">
        <v>4</v>
      </c>
      <c r="IP3" t="s">
        <v>5</v>
      </c>
      <c r="IR3" t="s">
        <v>6</v>
      </c>
      <c r="IT3" t="s">
        <v>4</v>
      </c>
      <c r="IV3" t="s">
        <v>5</v>
      </c>
      <c r="IX3" t="s">
        <v>6</v>
      </c>
      <c r="IZ3" t="s">
        <v>4</v>
      </c>
      <c r="JB3" t="s">
        <v>5</v>
      </c>
      <c r="JD3" t="s">
        <v>6</v>
      </c>
      <c r="JF3" t="s">
        <v>4</v>
      </c>
      <c r="JH3" t="s">
        <v>5</v>
      </c>
      <c r="JJ3" t="s">
        <v>6</v>
      </c>
      <c r="JL3" t="s">
        <v>4</v>
      </c>
      <c r="JN3" t="s">
        <v>5</v>
      </c>
      <c r="JP3" t="s">
        <v>6</v>
      </c>
      <c r="JR3" t="s">
        <v>4</v>
      </c>
      <c r="JT3" t="s">
        <v>5</v>
      </c>
      <c r="JV3" t="s">
        <v>6</v>
      </c>
      <c r="JX3" t="s">
        <v>4</v>
      </c>
      <c r="JZ3" t="s">
        <v>5</v>
      </c>
      <c r="KB3" t="s">
        <v>6</v>
      </c>
      <c r="KD3" t="s">
        <v>4</v>
      </c>
      <c r="KF3" t="s">
        <v>5</v>
      </c>
      <c r="KH3" t="s">
        <v>6</v>
      </c>
      <c r="KJ3" t="s">
        <v>4</v>
      </c>
      <c r="KL3" t="s">
        <v>5</v>
      </c>
      <c r="KN3" t="s">
        <v>6</v>
      </c>
      <c r="KP3" t="s">
        <v>4</v>
      </c>
      <c r="KR3" t="s">
        <v>5</v>
      </c>
      <c r="KT3" t="s">
        <v>6</v>
      </c>
      <c r="KV3" t="s">
        <v>4</v>
      </c>
      <c r="KX3" t="s">
        <v>5</v>
      </c>
      <c r="KZ3" t="s">
        <v>6</v>
      </c>
      <c r="LB3" t="s">
        <v>4</v>
      </c>
      <c r="LD3" t="s">
        <v>6</v>
      </c>
      <c r="LF3" t="s">
        <v>4</v>
      </c>
      <c r="LH3" t="s">
        <v>5</v>
      </c>
      <c r="LJ3" t="s">
        <v>6</v>
      </c>
      <c r="LL3" t="s">
        <v>6</v>
      </c>
      <c r="LN3" t="s">
        <v>6</v>
      </c>
      <c r="LP3" t="s">
        <v>4</v>
      </c>
      <c r="LR3" t="s">
        <v>5</v>
      </c>
      <c r="LT3" t="s">
        <v>6</v>
      </c>
      <c r="LV3" t="s">
        <v>4</v>
      </c>
      <c r="LX3" t="s">
        <v>5</v>
      </c>
      <c r="LZ3" t="s">
        <v>6</v>
      </c>
      <c r="MB3" t="s">
        <v>5</v>
      </c>
      <c r="MD3" t="s">
        <v>6</v>
      </c>
      <c r="MF3" t="s">
        <v>6</v>
      </c>
      <c r="MH3" t="s">
        <v>4</v>
      </c>
      <c r="MJ3" t="s">
        <v>5</v>
      </c>
      <c r="ML3" t="s">
        <v>6</v>
      </c>
    </row>
    <row r="4" spans="1:351">
      <c r="A4" s="3" t="s">
        <v>3</v>
      </c>
      <c r="B4" t="s">
        <v>2</v>
      </c>
      <c r="C4" t="s">
        <v>1</v>
      </c>
      <c r="D4" t="s">
        <v>2</v>
      </c>
      <c r="E4" t="s">
        <v>1</v>
      </c>
      <c r="F4" t="s">
        <v>2</v>
      </c>
      <c r="G4" t="s">
        <v>1</v>
      </c>
      <c r="H4" t="s">
        <v>2</v>
      </c>
      <c r="I4" t="s">
        <v>1</v>
      </c>
      <c r="J4" t="s">
        <v>2</v>
      </c>
      <c r="K4" t="s">
        <v>1</v>
      </c>
      <c r="L4" t="s">
        <v>2</v>
      </c>
      <c r="M4" t="s">
        <v>1</v>
      </c>
      <c r="N4" t="s">
        <v>2</v>
      </c>
      <c r="O4" t="s">
        <v>1</v>
      </c>
      <c r="P4" t="s">
        <v>2</v>
      </c>
      <c r="Q4" t="s">
        <v>1</v>
      </c>
      <c r="R4" t="s">
        <v>2</v>
      </c>
      <c r="S4" t="s">
        <v>1</v>
      </c>
      <c r="T4" t="s">
        <v>2</v>
      </c>
      <c r="U4" t="s">
        <v>1</v>
      </c>
      <c r="V4" t="s">
        <v>2</v>
      </c>
      <c r="W4" t="s">
        <v>1</v>
      </c>
      <c r="X4" t="s">
        <v>2</v>
      </c>
      <c r="Y4" t="s">
        <v>1</v>
      </c>
      <c r="Z4" t="s">
        <v>2</v>
      </c>
      <c r="AA4" t="s">
        <v>1</v>
      </c>
      <c r="AB4" t="s">
        <v>2</v>
      </c>
      <c r="AC4" t="s">
        <v>1</v>
      </c>
      <c r="AD4" t="s">
        <v>2</v>
      </c>
      <c r="AE4" t="s">
        <v>1</v>
      </c>
      <c r="AF4" t="s">
        <v>2</v>
      </c>
      <c r="AG4" t="s">
        <v>1</v>
      </c>
      <c r="AH4" t="s">
        <v>2</v>
      </c>
      <c r="AI4" t="s">
        <v>1</v>
      </c>
      <c r="AJ4" t="s">
        <v>2</v>
      </c>
      <c r="AK4" t="s">
        <v>1</v>
      </c>
      <c r="AL4" t="s">
        <v>2</v>
      </c>
      <c r="AM4" t="s">
        <v>1</v>
      </c>
      <c r="AN4" t="s">
        <v>2</v>
      </c>
      <c r="AO4" t="s">
        <v>1</v>
      </c>
      <c r="AP4" t="s">
        <v>2</v>
      </c>
      <c r="AQ4" t="s">
        <v>1</v>
      </c>
      <c r="AR4" t="s">
        <v>2</v>
      </c>
      <c r="AS4" t="s">
        <v>1</v>
      </c>
      <c r="AT4" t="s">
        <v>2</v>
      </c>
      <c r="AU4" t="s">
        <v>1</v>
      </c>
      <c r="AV4" t="s">
        <v>2</v>
      </c>
      <c r="AW4" t="s">
        <v>1</v>
      </c>
      <c r="AX4" t="s">
        <v>2</v>
      </c>
      <c r="AY4" t="s">
        <v>1</v>
      </c>
      <c r="AZ4" t="s">
        <v>2</v>
      </c>
      <c r="BA4" t="s">
        <v>1</v>
      </c>
      <c r="BB4" t="s">
        <v>2</v>
      </c>
      <c r="BC4" t="s">
        <v>1</v>
      </c>
      <c r="BD4" t="s">
        <v>2</v>
      </c>
      <c r="BE4" t="s">
        <v>1</v>
      </c>
      <c r="BF4" t="s">
        <v>2</v>
      </c>
      <c r="BG4" t="s">
        <v>1</v>
      </c>
      <c r="BH4" t="s">
        <v>2</v>
      </c>
      <c r="BI4" t="s">
        <v>1</v>
      </c>
      <c r="BJ4" t="s">
        <v>2</v>
      </c>
      <c r="BK4" t="s">
        <v>1</v>
      </c>
      <c r="BL4" t="s">
        <v>2</v>
      </c>
      <c r="BM4" t="s">
        <v>1</v>
      </c>
      <c r="BN4" t="s">
        <v>2</v>
      </c>
      <c r="BO4" t="s">
        <v>1</v>
      </c>
      <c r="BP4" t="s">
        <v>2</v>
      </c>
      <c r="BQ4" t="s">
        <v>1</v>
      </c>
      <c r="BR4" t="s">
        <v>2</v>
      </c>
      <c r="BS4" t="s">
        <v>1</v>
      </c>
      <c r="BT4" t="s">
        <v>2</v>
      </c>
      <c r="BU4" t="s">
        <v>1</v>
      </c>
      <c r="BV4" t="s">
        <v>2</v>
      </c>
      <c r="BW4" t="s">
        <v>1</v>
      </c>
      <c r="BX4" t="s">
        <v>2</v>
      </c>
      <c r="BY4" t="s">
        <v>1</v>
      </c>
      <c r="BZ4" t="s">
        <v>2</v>
      </c>
      <c r="CA4" t="s">
        <v>1</v>
      </c>
      <c r="CB4" t="s">
        <v>2</v>
      </c>
      <c r="CC4" t="s">
        <v>1</v>
      </c>
      <c r="CD4" t="s">
        <v>2</v>
      </c>
      <c r="CE4" t="s">
        <v>1</v>
      </c>
      <c r="CF4" t="s">
        <v>2</v>
      </c>
      <c r="CG4" t="s">
        <v>1</v>
      </c>
      <c r="CH4" t="s">
        <v>2</v>
      </c>
      <c r="CI4" t="s">
        <v>1</v>
      </c>
      <c r="CJ4" t="s">
        <v>2</v>
      </c>
      <c r="CK4" t="s">
        <v>1</v>
      </c>
      <c r="CL4" t="s">
        <v>2</v>
      </c>
      <c r="CM4" t="s">
        <v>1</v>
      </c>
      <c r="CN4" t="s">
        <v>2</v>
      </c>
      <c r="CO4" t="s">
        <v>1</v>
      </c>
      <c r="CP4" t="s">
        <v>2</v>
      </c>
      <c r="CQ4" t="s">
        <v>1</v>
      </c>
      <c r="CR4" t="s">
        <v>2</v>
      </c>
      <c r="CS4" t="s">
        <v>1</v>
      </c>
      <c r="CT4" t="s">
        <v>2</v>
      </c>
      <c r="CU4" t="s">
        <v>1</v>
      </c>
      <c r="CV4" t="s">
        <v>2</v>
      </c>
      <c r="CW4" t="s">
        <v>1</v>
      </c>
      <c r="CX4" t="s">
        <v>2</v>
      </c>
      <c r="CY4" t="s">
        <v>1</v>
      </c>
      <c r="CZ4" t="s">
        <v>2</v>
      </c>
      <c r="DA4" t="s">
        <v>1</v>
      </c>
      <c r="DB4" t="s">
        <v>2</v>
      </c>
      <c r="DC4" t="s">
        <v>1</v>
      </c>
      <c r="DD4" t="s">
        <v>2</v>
      </c>
      <c r="DE4" t="s">
        <v>1</v>
      </c>
      <c r="DF4" t="s">
        <v>2</v>
      </c>
      <c r="DG4" t="s">
        <v>1</v>
      </c>
      <c r="DH4" t="s">
        <v>2</v>
      </c>
      <c r="DI4" t="s">
        <v>1</v>
      </c>
      <c r="DJ4" t="s">
        <v>2</v>
      </c>
      <c r="DK4" t="s">
        <v>1</v>
      </c>
      <c r="DL4" t="s">
        <v>2</v>
      </c>
      <c r="DM4" t="s">
        <v>1</v>
      </c>
      <c r="DN4" t="s">
        <v>2</v>
      </c>
      <c r="DO4" t="s">
        <v>1</v>
      </c>
      <c r="DP4" t="s">
        <v>2</v>
      </c>
      <c r="DQ4" t="s">
        <v>1</v>
      </c>
      <c r="DR4" t="s">
        <v>2</v>
      </c>
      <c r="DS4" t="s">
        <v>1</v>
      </c>
      <c r="DT4" t="s">
        <v>2</v>
      </c>
      <c r="DU4" t="s">
        <v>1</v>
      </c>
      <c r="DV4" t="s">
        <v>2</v>
      </c>
      <c r="DW4" t="s">
        <v>1</v>
      </c>
      <c r="DX4" t="s">
        <v>2</v>
      </c>
      <c r="DY4" t="s">
        <v>1</v>
      </c>
      <c r="DZ4" t="s">
        <v>2</v>
      </c>
      <c r="EA4" t="s">
        <v>1</v>
      </c>
      <c r="EB4" t="s">
        <v>2</v>
      </c>
      <c r="EC4" t="s">
        <v>1</v>
      </c>
      <c r="ED4" t="s">
        <v>2</v>
      </c>
      <c r="EE4" t="s">
        <v>1</v>
      </c>
      <c r="EF4" t="s">
        <v>2</v>
      </c>
      <c r="EG4" t="s">
        <v>1</v>
      </c>
      <c r="EH4" t="s">
        <v>2</v>
      </c>
      <c r="EI4" t="s">
        <v>1</v>
      </c>
      <c r="EJ4" t="s">
        <v>2</v>
      </c>
      <c r="EK4" t="s">
        <v>1</v>
      </c>
      <c r="EL4" t="s">
        <v>2</v>
      </c>
      <c r="EM4" t="s">
        <v>1</v>
      </c>
      <c r="EN4" t="s">
        <v>2</v>
      </c>
      <c r="EO4" t="s">
        <v>1</v>
      </c>
      <c r="EP4" t="s">
        <v>2</v>
      </c>
      <c r="EQ4" t="s">
        <v>1</v>
      </c>
      <c r="ER4" t="s">
        <v>2</v>
      </c>
      <c r="ES4" t="s">
        <v>1</v>
      </c>
      <c r="ET4" t="s">
        <v>2</v>
      </c>
      <c r="EU4" t="s">
        <v>1</v>
      </c>
      <c r="EV4" t="s">
        <v>2</v>
      </c>
      <c r="EW4" t="s">
        <v>1</v>
      </c>
      <c r="EX4" t="s">
        <v>2</v>
      </c>
      <c r="EY4" t="s">
        <v>1</v>
      </c>
      <c r="EZ4" t="s">
        <v>2</v>
      </c>
      <c r="FA4" t="s">
        <v>1</v>
      </c>
      <c r="FB4" t="s">
        <v>2</v>
      </c>
      <c r="FC4" t="s">
        <v>1</v>
      </c>
      <c r="FD4" t="s">
        <v>2</v>
      </c>
      <c r="FE4" t="s">
        <v>1</v>
      </c>
      <c r="FF4" t="s">
        <v>2</v>
      </c>
      <c r="FG4" t="s">
        <v>1</v>
      </c>
      <c r="FH4" t="s">
        <v>2</v>
      </c>
      <c r="FI4" t="s">
        <v>1</v>
      </c>
      <c r="FJ4" t="s">
        <v>2</v>
      </c>
      <c r="FK4" t="s">
        <v>1</v>
      </c>
      <c r="FL4" t="s">
        <v>2</v>
      </c>
      <c r="FM4" t="s">
        <v>1</v>
      </c>
      <c r="FN4" t="s">
        <v>2</v>
      </c>
      <c r="FO4" t="s">
        <v>1</v>
      </c>
      <c r="FP4" t="s">
        <v>2</v>
      </c>
      <c r="FQ4" t="s">
        <v>1</v>
      </c>
      <c r="FR4" t="s">
        <v>2</v>
      </c>
      <c r="FS4" t="s">
        <v>1</v>
      </c>
      <c r="FT4" t="s">
        <v>2</v>
      </c>
      <c r="FU4" t="s">
        <v>1</v>
      </c>
      <c r="FV4" t="s">
        <v>2</v>
      </c>
      <c r="FW4" t="s">
        <v>1</v>
      </c>
      <c r="FX4" t="s">
        <v>2</v>
      </c>
      <c r="FY4" t="s">
        <v>1</v>
      </c>
      <c r="FZ4" t="s">
        <v>2</v>
      </c>
      <c r="GA4" t="s">
        <v>1</v>
      </c>
      <c r="GB4" t="s">
        <v>2</v>
      </c>
      <c r="GC4" t="s">
        <v>1</v>
      </c>
      <c r="GD4" t="s">
        <v>2</v>
      </c>
      <c r="GE4" t="s">
        <v>1</v>
      </c>
      <c r="GF4" t="s">
        <v>2</v>
      </c>
      <c r="GG4" t="s">
        <v>1</v>
      </c>
      <c r="GH4" t="s">
        <v>2</v>
      </c>
      <c r="GI4" t="s">
        <v>1</v>
      </c>
      <c r="GJ4" t="s">
        <v>2</v>
      </c>
      <c r="GK4" t="s">
        <v>1</v>
      </c>
      <c r="GL4" t="s">
        <v>2</v>
      </c>
      <c r="GM4" t="s">
        <v>1</v>
      </c>
      <c r="GN4" t="s">
        <v>2</v>
      </c>
      <c r="GO4" t="s">
        <v>1</v>
      </c>
      <c r="GP4" t="s">
        <v>2</v>
      </c>
      <c r="GQ4" t="s">
        <v>1</v>
      </c>
      <c r="GR4" t="s">
        <v>2</v>
      </c>
      <c r="GS4" t="s">
        <v>1</v>
      </c>
      <c r="GT4" t="s">
        <v>2</v>
      </c>
      <c r="GU4" t="s">
        <v>1</v>
      </c>
      <c r="GV4" t="s">
        <v>2</v>
      </c>
      <c r="GW4" t="s">
        <v>1</v>
      </c>
      <c r="GX4" t="s">
        <v>2</v>
      </c>
      <c r="GY4" t="s">
        <v>1</v>
      </c>
      <c r="GZ4" t="s">
        <v>2</v>
      </c>
      <c r="HA4" t="s">
        <v>1</v>
      </c>
      <c r="HB4" t="s">
        <v>2</v>
      </c>
      <c r="HC4" t="s">
        <v>1</v>
      </c>
      <c r="HD4" t="s">
        <v>2</v>
      </c>
      <c r="HE4" t="s">
        <v>1</v>
      </c>
      <c r="HF4" t="s">
        <v>2</v>
      </c>
      <c r="HG4" t="s">
        <v>1</v>
      </c>
      <c r="HH4" t="s">
        <v>2</v>
      </c>
      <c r="HI4" t="s">
        <v>1</v>
      </c>
      <c r="HJ4" t="s">
        <v>2</v>
      </c>
      <c r="HK4" t="s">
        <v>1</v>
      </c>
      <c r="HL4" t="s">
        <v>2</v>
      </c>
      <c r="HM4" t="s">
        <v>1</v>
      </c>
      <c r="HN4" t="s">
        <v>2</v>
      </c>
      <c r="HO4" t="s">
        <v>1</v>
      </c>
      <c r="HP4" t="s">
        <v>2</v>
      </c>
      <c r="HQ4" t="s">
        <v>1</v>
      </c>
      <c r="HR4" t="s">
        <v>2</v>
      </c>
      <c r="HS4" t="s">
        <v>1</v>
      </c>
      <c r="HT4" t="s">
        <v>2</v>
      </c>
      <c r="HU4" t="s">
        <v>1</v>
      </c>
      <c r="HV4" t="s">
        <v>2</v>
      </c>
      <c r="HW4" t="s">
        <v>1</v>
      </c>
      <c r="HX4" t="s">
        <v>2</v>
      </c>
      <c r="HY4" t="s">
        <v>1</v>
      </c>
      <c r="HZ4" t="s">
        <v>2</v>
      </c>
      <c r="IA4" t="s">
        <v>1</v>
      </c>
      <c r="IB4" t="s">
        <v>2</v>
      </c>
      <c r="IC4" t="s">
        <v>1</v>
      </c>
      <c r="ID4" t="s">
        <v>2</v>
      </c>
      <c r="IE4" t="s">
        <v>1</v>
      </c>
      <c r="IF4" t="s">
        <v>2</v>
      </c>
      <c r="IG4" t="s">
        <v>1</v>
      </c>
      <c r="IH4" t="s">
        <v>2</v>
      </c>
      <c r="II4" t="s">
        <v>1</v>
      </c>
      <c r="IJ4" t="s">
        <v>2</v>
      </c>
      <c r="IK4" t="s">
        <v>1</v>
      </c>
      <c r="IL4" t="s">
        <v>2</v>
      </c>
      <c r="IM4" t="s">
        <v>1</v>
      </c>
      <c r="IN4" t="s">
        <v>2</v>
      </c>
      <c r="IO4" t="s">
        <v>1</v>
      </c>
      <c r="IP4" t="s">
        <v>2</v>
      </c>
      <c r="IQ4" t="s">
        <v>1</v>
      </c>
      <c r="IR4" t="s">
        <v>2</v>
      </c>
      <c r="IS4" t="s">
        <v>1</v>
      </c>
      <c r="IT4" t="s">
        <v>2</v>
      </c>
      <c r="IU4" t="s">
        <v>1</v>
      </c>
      <c r="IV4" t="s">
        <v>2</v>
      </c>
      <c r="IW4" t="s">
        <v>1</v>
      </c>
      <c r="IX4" t="s">
        <v>2</v>
      </c>
      <c r="IY4" t="s">
        <v>1</v>
      </c>
      <c r="IZ4" t="s">
        <v>2</v>
      </c>
      <c r="JA4" t="s">
        <v>1</v>
      </c>
      <c r="JB4" t="s">
        <v>2</v>
      </c>
      <c r="JC4" t="s">
        <v>1</v>
      </c>
      <c r="JD4" t="s">
        <v>2</v>
      </c>
      <c r="JE4" t="s">
        <v>1</v>
      </c>
      <c r="JF4" t="s">
        <v>2</v>
      </c>
      <c r="JG4" t="s">
        <v>1</v>
      </c>
      <c r="JH4" t="s">
        <v>2</v>
      </c>
      <c r="JI4" t="s">
        <v>1</v>
      </c>
      <c r="JJ4" t="s">
        <v>2</v>
      </c>
      <c r="JK4" t="s">
        <v>1</v>
      </c>
      <c r="JL4" t="s">
        <v>2</v>
      </c>
      <c r="JM4" t="s">
        <v>1</v>
      </c>
      <c r="JN4" t="s">
        <v>2</v>
      </c>
      <c r="JO4" t="s">
        <v>1</v>
      </c>
      <c r="JP4" t="s">
        <v>2</v>
      </c>
      <c r="JQ4" t="s">
        <v>1</v>
      </c>
      <c r="JR4" t="s">
        <v>2</v>
      </c>
      <c r="JS4" t="s">
        <v>1</v>
      </c>
      <c r="JT4" t="s">
        <v>2</v>
      </c>
      <c r="JU4" t="s">
        <v>1</v>
      </c>
      <c r="JV4" t="s">
        <v>2</v>
      </c>
      <c r="JW4" t="s">
        <v>1</v>
      </c>
      <c r="JX4" t="s">
        <v>2</v>
      </c>
      <c r="JY4" t="s">
        <v>1</v>
      </c>
      <c r="JZ4" t="s">
        <v>2</v>
      </c>
      <c r="KA4" t="s">
        <v>1</v>
      </c>
      <c r="KB4" t="s">
        <v>2</v>
      </c>
      <c r="KC4" t="s">
        <v>1</v>
      </c>
      <c r="KD4" t="s">
        <v>2</v>
      </c>
      <c r="KE4" t="s">
        <v>1</v>
      </c>
      <c r="KF4" t="s">
        <v>2</v>
      </c>
      <c r="KG4" t="s">
        <v>1</v>
      </c>
      <c r="KH4" t="s">
        <v>2</v>
      </c>
      <c r="KI4" t="s">
        <v>1</v>
      </c>
      <c r="KJ4" t="s">
        <v>2</v>
      </c>
      <c r="KK4" t="s">
        <v>1</v>
      </c>
      <c r="KL4" t="s">
        <v>2</v>
      </c>
      <c r="KM4" t="s">
        <v>1</v>
      </c>
      <c r="KN4" t="s">
        <v>2</v>
      </c>
      <c r="KO4" t="s">
        <v>1</v>
      </c>
      <c r="KP4" t="s">
        <v>2</v>
      </c>
      <c r="KQ4" t="s">
        <v>1</v>
      </c>
      <c r="KR4" t="s">
        <v>2</v>
      </c>
      <c r="KS4" t="s">
        <v>1</v>
      </c>
      <c r="KT4" t="s">
        <v>2</v>
      </c>
      <c r="KU4" t="s">
        <v>1</v>
      </c>
      <c r="KV4" t="s">
        <v>2</v>
      </c>
      <c r="KW4" t="s">
        <v>1</v>
      </c>
      <c r="KX4" t="s">
        <v>2</v>
      </c>
      <c r="KY4" t="s">
        <v>1</v>
      </c>
      <c r="KZ4" t="s">
        <v>2</v>
      </c>
      <c r="LA4" t="s">
        <v>1</v>
      </c>
      <c r="LB4" t="s">
        <v>2</v>
      </c>
      <c r="LC4" t="s">
        <v>1</v>
      </c>
      <c r="LD4" t="s">
        <v>2</v>
      </c>
      <c r="LE4" t="s">
        <v>1</v>
      </c>
      <c r="LF4" t="s">
        <v>2</v>
      </c>
      <c r="LG4" t="s">
        <v>1</v>
      </c>
      <c r="LH4" t="s">
        <v>2</v>
      </c>
      <c r="LI4" t="s">
        <v>1</v>
      </c>
      <c r="LJ4" t="s">
        <v>2</v>
      </c>
      <c r="LK4" t="s">
        <v>1</v>
      </c>
      <c r="LL4" t="s">
        <v>2</v>
      </c>
      <c r="LM4" t="s">
        <v>1</v>
      </c>
      <c r="LN4" t="s">
        <v>2</v>
      </c>
      <c r="LO4" t="s">
        <v>1</v>
      </c>
      <c r="LP4" t="s">
        <v>2</v>
      </c>
      <c r="LQ4" t="s">
        <v>1</v>
      </c>
      <c r="LR4" t="s">
        <v>2</v>
      </c>
      <c r="LS4" t="s">
        <v>1</v>
      </c>
      <c r="LT4" t="s">
        <v>2</v>
      </c>
      <c r="LU4" t="s">
        <v>1</v>
      </c>
      <c r="LV4" t="s">
        <v>2</v>
      </c>
      <c r="LW4" t="s">
        <v>1</v>
      </c>
      <c r="LX4" t="s">
        <v>2</v>
      </c>
      <c r="LY4" t="s">
        <v>1</v>
      </c>
      <c r="LZ4" t="s">
        <v>2</v>
      </c>
      <c r="MA4" t="s">
        <v>1</v>
      </c>
      <c r="MB4" t="s">
        <v>2</v>
      </c>
      <c r="MC4" t="s">
        <v>1</v>
      </c>
      <c r="MD4" t="s">
        <v>2</v>
      </c>
      <c r="ME4" t="s">
        <v>1</v>
      </c>
      <c r="MF4" t="s">
        <v>2</v>
      </c>
      <c r="MG4" t="s">
        <v>1</v>
      </c>
      <c r="MH4" t="s">
        <v>2</v>
      </c>
      <c r="MI4" t="s">
        <v>1</v>
      </c>
      <c r="MJ4" t="s">
        <v>2</v>
      </c>
      <c r="MK4" t="s">
        <v>1</v>
      </c>
      <c r="ML4" t="s">
        <v>2</v>
      </c>
      <c r="MM4" t="s">
        <v>1</v>
      </c>
    </row>
    <row r="5" spans="1:351">
      <c r="A5" s="1" t="s">
        <v>71</v>
      </c>
      <c r="B5" s="2">
        <v>23876.523756788505</v>
      </c>
      <c r="C5" s="2">
        <v>23572.112310000019</v>
      </c>
      <c r="D5" s="2">
        <v>40422.468247274708</v>
      </c>
      <c r="E5" s="2">
        <v>40487.121090000015</v>
      </c>
      <c r="F5" s="2">
        <v>53483.466496647496</v>
      </c>
      <c r="G5" s="2">
        <v>44931.825070000014</v>
      </c>
      <c r="H5" s="2">
        <v>32379.635246559621</v>
      </c>
      <c r="I5" s="2">
        <v>34661.660620000017</v>
      </c>
      <c r="J5" s="2">
        <v>36410.604719965464</v>
      </c>
      <c r="K5" s="2">
        <v>37286.262170000016</v>
      </c>
      <c r="L5" s="2">
        <v>38135.604579621242</v>
      </c>
      <c r="M5" s="2">
        <v>28896.510300000002</v>
      </c>
      <c r="N5" s="2">
        <v>117938.77054062602</v>
      </c>
      <c r="O5" s="2">
        <v>111770.10506000012</v>
      </c>
      <c r="P5" s="2">
        <v>105457.51394020223</v>
      </c>
      <c r="Q5" s="2">
        <v>105493.39159000004</v>
      </c>
      <c r="R5" s="2">
        <v>78100.781291669031</v>
      </c>
      <c r="S5" s="2">
        <v>53397.872860000018</v>
      </c>
      <c r="T5" s="2">
        <v>9285.2134002645944</v>
      </c>
      <c r="U5" s="2">
        <v>7673.6775899999993</v>
      </c>
      <c r="V5" s="2">
        <v>7701.220967651182</v>
      </c>
      <c r="W5" s="2">
        <v>8296.8997000000036</v>
      </c>
      <c r="X5" s="2">
        <v>7904.6875470309205</v>
      </c>
      <c r="Y5" s="2">
        <v>5778.7350300000016</v>
      </c>
      <c r="Z5" s="2">
        <v>4404.4995437416246</v>
      </c>
      <c r="AA5" s="2">
        <v>4318.6697400000012</v>
      </c>
      <c r="AB5" s="2">
        <v>4506.7394287947191</v>
      </c>
      <c r="AC5" s="2">
        <v>4572.0049600000002</v>
      </c>
      <c r="AD5" s="2">
        <v>4101.3197246542932</v>
      </c>
      <c r="AE5" s="2">
        <v>2566.1812599999998</v>
      </c>
      <c r="AF5" s="2">
        <v>6302.2567939462206</v>
      </c>
      <c r="AG5" s="2">
        <v>6059.8486800000019</v>
      </c>
      <c r="AH5" s="2">
        <v>5919.0412339284294</v>
      </c>
      <c r="AI5" s="2">
        <v>6044.4959700000018</v>
      </c>
      <c r="AJ5" s="2">
        <v>6155.5380134474935</v>
      </c>
      <c r="AK5" s="2">
        <v>4093.5982199999999</v>
      </c>
      <c r="AL5" s="2">
        <v>22325.19416854157</v>
      </c>
      <c r="AM5" s="2">
        <v>20796.405230000018</v>
      </c>
      <c r="AN5" s="2">
        <v>21435.523930733398</v>
      </c>
      <c r="AO5" s="2">
        <v>22148.528050000004</v>
      </c>
      <c r="AP5" s="2">
        <v>21181.893864862621</v>
      </c>
      <c r="AQ5" s="2">
        <v>16170.986290000003</v>
      </c>
      <c r="AR5" s="2">
        <v>10855.316286658297</v>
      </c>
      <c r="AS5" s="2">
        <v>10001.385190000001</v>
      </c>
      <c r="AT5" s="2">
        <v>10567.962406988307</v>
      </c>
      <c r="AU5" s="2">
        <v>8682.3961200000012</v>
      </c>
      <c r="AV5" s="2">
        <v>8906.7899856814092</v>
      </c>
      <c r="AW5" s="2">
        <v>6068.4860600000011</v>
      </c>
      <c r="AX5" s="2">
        <v>3366.9724761451907</v>
      </c>
      <c r="AY5" s="2">
        <v>2553.1788300000012</v>
      </c>
      <c r="AZ5" s="2">
        <v>2460.073117063931</v>
      </c>
      <c r="BA5" s="2">
        <v>2250.1859599999998</v>
      </c>
      <c r="BB5" s="2">
        <v>2575.5677927823422</v>
      </c>
      <c r="BC5" s="2">
        <v>1833.6176</v>
      </c>
      <c r="BD5" s="2">
        <v>29995.399741348185</v>
      </c>
      <c r="BE5" s="2">
        <v>32546.941250000018</v>
      </c>
      <c r="BF5" s="2">
        <v>33122.165390377544</v>
      </c>
      <c r="BG5" s="2">
        <v>31650.226670000011</v>
      </c>
      <c r="BH5" s="2">
        <v>33764.757796734768</v>
      </c>
      <c r="BI5" s="2">
        <v>26886.490480000004</v>
      </c>
      <c r="BJ5" s="2">
        <v>3626.5329410946047</v>
      </c>
      <c r="BK5" s="2">
        <v>3401.4469699999954</v>
      </c>
      <c r="BL5" s="2">
        <v>3223.908290720648</v>
      </c>
      <c r="BM5" s="2">
        <v>3257.3713300000004</v>
      </c>
      <c r="BN5" s="2">
        <v>3307.1160889087846</v>
      </c>
      <c r="BO5" s="2">
        <v>2635.9625200000005</v>
      </c>
      <c r="BP5" s="2">
        <v>2897.7147471225289</v>
      </c>
      <c r="BQ5" s="2">
        <v>2675.3086299999995</v>
      </c>
      <c r="BR5" s="2">
        <v>3814.7378473169315</v>
      </c>
      <c r="BS5" s="2">
        <v>3395.2547200000022</v>
      </c>
      <c r="BT5" s="2">
        <v>3175.0590113507383</v>
      </c>
      <c r="BU5" s="2">
        <v>2393.3761199999999</v>
      </c>
      <c r="BV5" s="2">
        <v>1276.7626834297951</v>
      </c>
      <c r="BW5" s="2">
        <v>1238.785829999998</v>
      </c>
      <c r="BX5" s="2">
        <v>1397.5223443416739</v>
      </c>
      <c r="BY5" s="2">
        <v>1306.2209400000002</v>
      </c>
      <c r="BZ5" s="2">
        <v>1835.847428468649</v>
      </c>
      <c r="CA5" s="2">
        <v>889.48493000000008</v>
      </c>
      <c r="CB5" s="2">
        <v>25762.877933238211</v>
      </c>
      <c r="CC5" s="2">
        <v>22704.088860000007</v>
      </c>
      <c r="CD5" s="2">
        <v>26346.129770931617</v>
      </c>
      <c r="CE5" s="2">
        <v>26121.776170000012</v>
      </c>
      <c r="CF5" s="2">
        <v>28202.28397003841</v>
      </c>
      <c r="CG5" s="2">
        <v>20198.687360000011</v>
      </c>
      <c r="CH5" s="2">
        <v>4069.9439114626903</v>
      </c>
      <c r="CI5" s="2">
        <v>5162.1812000000027</v>
      </c>
      <c r="CJ5" s="2">
        <v>5254.4790856967402</v>
      </c>
      <c r="CK5" s="2">
        <v>6246.1736100000035</v>
      </c>
      <c r="CL5" s="2">
        <v>6296.6753674088304</v>
      </c>
      <c r="CM5" s="2">
        <v>3995.2613400000014</v>
      </c>
      <c r="CN5" s="2">
        <v>51667.94326508863</v>
      </c>
      <c r="CO5" s="2">
        <v>51609.305150000022</v>
      </c>
      <c r="CP5" s="2">
        <v>61717.031293134925</v>
      </c>
      <c r="CQ5" s="2">
        <v>61850.022320000033</v>
      </c>
      <c r="CR5" s="2">
        <v>62281.560850440212</v>
      </c>
      <c r="CS5" s="2">
        <v>46161.671550000006</v>
      </c>
      <c r="CT5" s="2">
        <v>145526.29952940199</v>
      </c>
      <c r="CU5" s="2">
        <v>151433.44656000004</v>
      </c>
      <c r="CV5" s="2">
        <v>166368.52707675059</v>
      </c>
      <c r="CW5" s="2">
        <v>166792.29347000009</v>
      </c>
      <c r="CX5" s="2">
        <v>189231.12674580308</v>
      </c>
      <c r="CY5" s="2">
        <v>148470.41271</v>
      </c>
      <c r="CZ5" s="2">
        <v>2651.5172677921901</v>
      </c>
      <c r="DA5" s="2">
        <v>2382.5447100000006</v>
      </c>
      <c r="DB5" s="2">
        <v>2390.472039599937</v>
      </c>
      <c r="DC5" s="2">
        <v>2101.7466599999998</v>
      </c>
      <c r="DD5" s="2">
        <v>2284.1239171825741</v>
      </c>
      <c r="DE5" s="2">
        <v>1648.0426599999989</v>
      </c>
      <c r="DF5" s="2">
        <v>1004.853081389375</v>
      </c>
      <c r="DG5" s="2">
        <v>582.44007999999792</v>
      </c>
      <c r="DH5" s="2">
        <v>799.04018947147995</v>
      </c>
      <c r="DI5" s="2">
        <v>545.49551999999994</v>
      </c>
      <c r="DJ5" s="2">
        <v>668.61019232655701</v>
      </c>
      <c r="DK5" s="2">
        <v>393.66744</v>
      </c>
      <c r="DL5" s="2">
        <v>17590.45782522377</v>
      </c>
      <c r="DM5" s="2">
        <v>17750.628770000014</v>
      </c>
      <c r="DN5" s="2">
        <v>20996.352534281632</v>
      </c>
      <c r="DO5" s="2">
        <v>21449.51416000001</v>
      </c>
      <c r="DP5" s="2">
        <v>21416.065522738147</v>
      </c>
      <c r="DQ5" s="2">
        <v>16600.84591</v>
      </c>
      <c r="DR5" s="2">
        <v>199969.47207707367</v>
      </c>
      <c r="DS5" s="2">
        <v>200203.93472000005</v>
      </c>
      <c r="DT5" s="2">
        <v>192505.33920790418</v>
      </c>
      <c r="DU5" s="2">
        <v>207718.03494000013</v>
      </c>
      <c r="DV5" s="2">
        <v>244183.67111732916</v>
      </c>
      <c r="DW5" s="2">
        <v>180108.27768999999</v>
      </c>
      <c r="DX5" s="2">
        <v>43520.362623726585</v>
      </c>
      <c r="DY5" s="2">
        <v>38788.165110000009</v>
      </c>
      <c r="DZ5" s="2">
        <v>41812.382230652191</v>
      </c>
      <c r="EA5" s="2">
        <v>36707.765070000016</v>
      </c>
      <c r="EB5" s="2">
        <v>37462.587934190982</v>
      </c>
      <c r="EC5" s="2">
        <v>24663.88223000001</v>
      </c>
      <c r="ED5" s="2">
        <v>249.99974177060599</v>
      </c>
      <c r="EE5" s="2">
        <v>276.32427000000001</v>
      </c>
      <c r="EF5" s="2">
        <v>275.76606941463501</v>
      </c>
      <c r="EG5" s="2">
        <v>294.83588000000003</v>
      </c>
      <c r="EH5" s="2">
        <v>305.37575845912698</v>
      </c>
      <c r="EI5" s="2">
        <v>235.8963</v>
      </c>
      <c r="EJ5" s="2">
        <v>949.37408677033795</v>
      </c>
      <c r="EK5" s="2">
        <v>1364.8294000000001</v>
      </c>
      <c r="EL5" s="2">
        <v>1192.7742109556161</v>
      </c>
      <c r="EM5" s="2">
        <v>1148.7544399999999</v>
      </c>
      <c r="EN5" s="2">
        <v>1293.2672434262302</v>
      </c>
      <c r="EO5" s="2">
        <v>1024.66535</v>
      </c>
      <c r="EP5" s="2">
        <v>658.83172433165407</v>
      </c>
      <c r="EQ5" s="2">
        <v>508.25792000000001</v>
      </c>
      <c r="ER5" s="2">
        <v>600.41387844266694</v>
      </c>
      <c r="ES5" s="2">
        <v>603.35126000000002</v>
      </c>
      <c r="ET5" s="2">
        <v>599.26240064180797</v>
      </c>
      <c r="EU5" s="2">
        <v>325.19761999999997</v>
      </c>
      <c r="EV5" s="2">
        <v>15.422640104956001</v>
      </c>
      <c r="EW5" s="2">
        <v>3.5531899999990002</v>
      </c>
      <c r="EX5" s="2">
        <v>3.471613634279</v>
      </c>
      <c r="EY5" s="2">
        <v>1.6068500000000001</v>
      </c>
      <c r="EZ5" s="2">
        <v>7</v>
      </c>
      <c r="FA5" s="2">
        <v>7.9141500000000002</v>
      </c>
      <c r="FB5" s="2">
        <v>148.28513525250202</v>
      </c>
      <c r="FC5" s="2">
        <v>143.63377999999997</v>
      </c>
      <c r="FD5" s="2">
        <v>144.05913413108601</v>
      </c>
      <c r="FE5" s="2">
        <v>145.99010000000001</v>
      </c>
      <c r="FF5" s="2">
        <v>187.64416680688697</v>
      </c>
      <c r="FG5" s="2">
        <v>132.82348999999999</v>
      </c>
      <c r="FH5" s="2">
        <v>2716.2425378017692</v>
      </c>
      <c r="FI5" s="2">
        <v>2573.1899600000011</v>
      </c>
      <c r="FJ5" s="2">
        <v>2475.9927976143099</v>
      </c>
      <c r="FK5" s="2">
        <v>2415.1981400000009</v>
      </c>
      <c r="FL5" s="2">
        <v>2372.6410353734736</v>
      </c>
      <c r="FM5" s="2">
        <v>1692.0015500000011</v>
      </c>
      <c r="FN5" s="2">
        <v>3010.5380421380478</v>
      </c>
      <c r="FO5" s="2">
        <v>2170.3891799999992</v>
      </c>
      <c r="FP5" s="2">
        <v>2256.4181957414021</v>
      </c>
      <c r="FQ5" s="2">
        <v>1959.98117</v>
      </c>
      <c r="FR5" s="2">
        <v>2160.5350720225429</v>
      </c>
      <c r="FS5" s="2">
        <v>1464.9568999999997</v>
      </c>
      <c r="FT5" s="2">
        <v>237701.15844912667</v>
      </c>
      <c r="FU5" s="2">
        <v>253016.68196000016</v>
      </c>
      <c r="FV5" s="2">
        <v>276463.24008019787</v>
      </c>
      <c r="FW5" s="2">
        <v>289971.18245000014</v>
      </c>
      <c r="FX5" s="2">
        <v>326335.6685151151</v>
      </c>
      <c r="FY5" s="2">
        <v>238092.4817</v>
      </c>
      <c r="FZ5" s="2">
        <v>20.047773080696</v>
      </c>
      <c r="GA5" s="2">
        <v>34.408139999997999</v>
      </c>
      <c r="GB5" s="2">
        <v>34.269809656737003</v>
      </c>
      <c r="GC5" s="2">
        <v>10.291</v>
      </c>
      <c r="GD5" s="2">
        <v>19.130477605907998</v>
      </c>
      <c r="GE5" s="2">
        <v>5.4471400000000001</v>
      </c>
      <c r="GF5" s="2">
        <v>11575.42214961498</v>
      </c>
      <c r="GG5" s="2">
        <v>11862.524670000004</v>
      </c>
      <c r="GH5" s="2">
        <v>13184.80318224785</v>
      </c>
      <c r="GI5" s="2">
        <v>12598.812550000006</v>
      </c>
      <c r="GJ5" s="2">
        <v>11869.017169451839</v>
      </c>
      <c r="GK5" s="2">
        <v>9024.3750400000008</v>
      </c>
      <c r="GL5" s="2">
        <v>291.99944385508098</v>
      </c>
      <c r="GM5" s="2">
        <v>198.51465999999996</v>
      </c>
      <c r="GN5" s="2">
        <v>198.66503300038099</v>
      </c>
      <c r="GO5" s="2">
        <v>140.34773999999999</v>
      </c>
      <c r="GP5" s="2">
        <v>190.34825217880399</v>
      </c>
      <c r="GQ5" s="2">
        <v>60.252340000000004</v>
      </c>
      <c r="GR5" s="2">
        <v>0</v>
      </c>
      <c r="GS5" s="2">
        <v>0.47911999999999999</v>
      </c>
      <c r="GT5" s="2">
        <v>0.47948292892299998</v>
      </c>
      <c r="GU5" s="2">
        <v>0</v>
      </c>
      <c r="GV5" s="2">
        <v>0</v>
      </c>
      <c r="GW5" s="2">
        <v>0.33857999999999999</v>
      </c>
      <c r="GX5" s="2">
        <v>292.22533541316807</v>
      </c>
      <c r="GY5" s="2">
        <v>206.62717000000001</v>
      </c>
      <c r="GZ5" s="2">
        <v>206.64481159169401</v>
      </c>
      <c r="HA5" s="2">
        <v>137.04434999999998</v>
      </c>
      <c r="HB5" s="2">
        <v>195.13087158028301</v>
      </c>
      <c r="HC5" s="2">
        <v>86.086550000000003</v>
      </c>
      <c r="HD5" s="2">
        <v>54.188132448730002</v>
      </c>
      <c r="HE5" s="2">
        <v>40.844390000000004</v>
      </c>
      <c r="HF5" s="2">
        <v>40.857189455970001</v>
      </c>
      <c r="HG5" s="2">
        <v>13.706059999999999</v>
      </c>
      <c r="HH5" s="2">
        <v>28.695716408865</v>
      </c>
      <c r="HI5" s="2">
        <v>7.7199499999999999</v>
      </c>
      <c r="HJ5" s="2">
        <v>0</v>
      </c>
      <c r="HK5" s="2">
        <v>0.56330000000000002</v>
      </c>
      <c r="HL5" s="2">
        <v>0.56372669448699997</v>
      </c>
      <c r="HM5" s="2">
        <v>0</v>
      </c>
      <c r="HN5" s="2">
        <v>1</v>
      </c>
      <c r="HO5" s="2">
        <v>0.75165000000000004</v>
      </c>
      <c r="HP5" s="2">
        <v>49.458271022384999</v>
      </c>
      <c r="HQ5" s="2">
        <v>58.353020000000001</v>
      </c>
      <c r="HR5" s="2">
        <v>56.910186602358998</v>
      </c>
      <c r="HS5" s="2">
        <v>59.827539999999992</v>
      </c>
      <c r="HT5" s="2">
        <v>59.392721637416003</v>
      </c>
      <c r="HU5" s="2">
        <v>27.378449999999997</v>
      </c>
      <c r="HV5" s="2">
        <v>79.537355494208995</v>
      </c>
      <c r="HW5" s="2">
        <v>66.58775</v>
      </c>
      <c r="HX5" s="2">
        <v>63.863423699294003</v>
      </c>
      <c r="HY5" s="2">
        <v>30.443549999999998</v>
      </c>
      <c r="HZ5" s="2">
        <v>24.869670559808998</v>
      </c>
      <c r="IA5" s="2">
        <v>11.233540000000001</v>
      </c>
      <c r="IB5" s="2">
        <v>95.961848658619004</v>
      </c>
      <c r="IC5" s="2">
        <v>109.81612000000001</v>
      </c>
      <c r="ID5" s="2">
        <v>104.169722580647</v>
      </c>
      <c r="IE5" s="2">
        <v>67.659489999999991</v>
      </c>
      <c r="IF5" s="2">
        <v>70.000708421113004</v>
      </c>
      <c r="IG5" s="2">
        <v>27.33276</v>
      </c>
      <c r="IH5" s="2">
        <v>922.51039294609802</v>
      </c>
      <c r="II5" s="2">
        <v>901.55295999999919</v>
      </c>
      <c r="IJ5" s="2">
        <v>893.80586841480806</v>
      </c>
      <c r="IK5" s="2">
        <v>917.9118299999999</v>
      </c>
      <c r="IL5" s="2">
        <v>910.58117658722699</v>
      </c>
      <c r="IM5" s="2">
        <v>676.11977999999999</v>
      </c>
      <c r="IN5" s="2">
        <v>926.30322298167505</v>
      </c>
      <c r="IO5" s="2">
        <v>-366.80894000000308</v>
      </c>
      <c r="IP5" s="2">
        <v>40.203173516318003</v>
      </c>
      <c r="IQ5" s="2">
        <v>-544.39222000000291</v>
      </c>
      <c r="IR5" s="2">
        <v>76.607109480421997</v>
      </c>
      <c r="IS5" s="2">
        <v>56.322859999999999</v>
      </c>
      <c r="IT5" s="2">
        <v>7908.7475143914762</v>
      </c>
      <c r="IU5" s="2">
        <v>8142.8021000000026</v>
      </c>
      <c r="IV5" s="2">
        <v>7914.8353796832816</v>
      </c>
      <c r="IW5" s="2">
        <v>8006.6597000000038</v>
      </c>
      <c r="IX5" s="2">
        <v>7733.9023882869569</v>
      </c>
      <c r="IY5" s="2">
        <v>5747.1150900000011</v>
      </c>
      <c r="IZ5" s="2">
        <v>0</v>
      </c>
      <c r="JA5" s="2">
        <v>0.77005000000000001</v>
      </c>
      <c r="JB5" s="2">
        <v>0.77063330568099997</v>
      </c>
      <c r="JC5" s="2">
        <v>0</v>
      </c>
      <c r="JD5" s="2">
        <v>0</v>
      </c>
      <c r="JE5" s="2">
        <v>0.40909000000000001</v>
      </c>
      <c r="JF5" s="2">
        <v>71.951522474911997</v>
      </c>
      <c r="JG5" s="2">
        <v>57.249229999999002</v>
      </c>
      <c r="JH5" s="2">
        <v>57.292595756887998</v>
      </c>
      <c r="JI5" s="2">
        <v>55.505649999999989</v>
      </c>
      <c r="JJ5" s="2">
        <v>54.521861176843004</v>
      </c>
      <c r="JK5" s="2">
        <v>44.757709999999996</v>
      </c>
      <c r="JL5" s="2">
        <v>7593.9190081377801</v>
      </c>
      <c r="JM5" s="2">
        <v>7492.7530600000027</v>
      </c>
      <c r="JN5" s="2">
        <v>7614.1855086365103</v>
      </c>
      <c r="JO5" s="2">
        <v>7775.2173500000008</v>
      </c>
      <c r="JP5" s="2">
        <v>8278.6965014616198</v>
      </c>
      <c r="JQ5" s="2">
        <v>6650.2516600000017</v>
      </c>
      <c r="JR5" s="2">
        <v>1879.164523784651</v>
      </c>
      <c r="JS5" s="2">
        <v>1798.1791099999969</v>
      </c>
      <c r="JT5" s="2">
        <v>1780.546586813974</v>
      </c>
      <c r="JU5" s="2">
        <v>1972.5050299999998</v>
      </c>
      <c r="JV5" s="2">
        <v>1913.636977021197</v>
      </c>
      <c r="JW5" s="2">
        <v>1429.5557399999998</v>
      </c>
      <c r="JX5" s="2">
        <v>0</v>
      </c>
      <c r="JY5" s="2">
        <v>355.75200000000103</v>
      </c>
      <c r="JZ5" s="2">
        <v>0</v>
      </c>
      <c r="KA5" s="2">
        <v>26.754749999999998</v>
      </c>
      <c r="KB5" s="2">
        <v>0</v>
      </c>
      <c r="KC5" s="2">
        <v>0.64559999999999995</v>
      </c>
      <c r="KD5" s="2">
        <v>0</v>
      </c>
      <c r="KE5" s="2">
        <v>627.35288999999909</v>
      </c>
      <c r="KF5" s="2">
        <v>0</v>
      </c>
      <c r="KG5" s="2">
        <v>670.78977000000009</v>
      </c>
      <c r="KH5" s="2">
        <v>581.99998166841101</v>
      </c>
      <c r="KI5" s="2">
        <v>0.39444999999999997</v>
      </c>
      <c r="KJ5" s="2">
        <v>-132487.74802098799</v>
      </c>
      <c r="KK5" s="2">
        <v>-86366.627250000092</v>
      </c>
      <c r="KL5" s="2">
        <v>-118805.280949283</v>
      </c>
      <c r="KM5" s="2">
        <v>-63792.622229999994</v>
      </c>
      <c r="KN5" s="2">
        <v>-200642.56901757701</v>
      </c>
      <c r="KO5" s="2">
        <v>-59910.255550000096</v>
      </c>
      <c r="KP5" s="2">
        <v>0</v>
      </c>
      <c r="KQ5" s="2">
        <v>0.26962000000000003</v>
      </c>
      <c r="KR5" s="2">
        <v>177.317231131119</v>
      </c>
      <c r="KS5" s="2">
        <v>0.10004</v>
      </c>
      <c r="KT5" s="2">
        <v>9.5690648983999996E-2</v>
      </c>
      <c r="KU5" s="2">
        <v>0</v>
      </c>
      <c r="KV5" s="2"/>
      <c r="KW5" s="2"/>
      <c r="KX5" s="2"/>
      <c r="KY5" s="2"/>
      <c r="KZ5" s="2"/>
      <c r="LA5" s="2"/>
      <c r="LB5" s="2">
        <v>1.6</v>
      </c>
      <c r="LC5" s="2">
        <v>-2.2204460492503131E-16</v>
      </c>
      <c r="LD5" s="2"/>
      <c r="LE5" s="2"/>
      <c r="LF5" s="2">
        <v>88.444601140076998</v>
      </c>
      <c r="LG5" s="2">
        <v>94.999159999998994</v>
      </c>
      <c r="LH5" s="2">
        <v>93.808699516832007</v>
      </c>
      <c r="LI5" s="2">
        <v>62.504670000000004</v>
      </c>
      <c r="LJ5" s="2">
        <v>60.981866140012002</v>
      </c>
      <c r="LK5" s="2">
        <v>19.488990000000001</v>
      </c>
      <c r="LL5" s="2">
        <v>0</v>
      </c>
      <c r="LM5" s="2">
        <v>8.2100000000000006E-2</v>
      </c>
      <c r="LN5" s="2">
        <v>0</v>
      </c>
      <c r="LO5" s="2">
        <v>0</v>
      </c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>
        <v>20</v>
      </c>
      <c r="MM5" s="2">
        <v>6.9828000000000001</v>
      </c>
    </row>
    <row r="6" spans="1:351">
      <c r="A6" s="1" t="s">
        <v>8</v>
      </c>
      <c r="B6" s="2">
        <v>4018.3857662556875</v>
      </c>
      <c r="C6" s="2">
        <v>3864.1915999999937</v>
      </c>
      <c r="D6" s="2">
        <v>3867.0107455058146</v>
      </c>
      <c r="E6" s="2">
        <v>3784.2588700000006</v>
      </c>
      <c r="F6" s="2">
        <v>3696.008273461819</v>
      </c>
      <c r="G6" s="2">
        <v>2741.2895000000003</v>
      </c>
      <c r="H6" s="2">
        <v>4064.5523715522859</v>
      </c>
      <c r="I6" s="2">
        <v>4435.65949</v>
      </c>
      <c r="J6" s="2">
        <v>4433.7819972624802</v>
      </c>
      <c r="K6" s="2">
        <v>4247.2655200000017</v>
      </c>
      <c r="L6" s="2">
        <v>4242.183409110552</v>
      </c>
      <c r="M6" s="2">
        <v>3035.9526499999997</v>
      </c>
      <c r="N6" s="2">
        <v>23559.283527682292</v>
      </c>
      <c r="O6" s="2">
        <v>21292.069620000013</v>
      </c>
      <c r="P6" s="2">
        <v>23436.260399547591</v>
      </c>
      <c r="Q6" s="2">
        <v>22211.292460000008</v>
      </c>
      <c r="R6" s="2">
        <v>20223.42273369012</v>
      </c>
      <c r="S6" s="2">
        <v>13983.04895</v>
      </c>
      <c r="T6" s="2">
        <v>4681.991063589182</v>
      </c>
      <c r="U6" s="2">
        <v>3935.5676499999981</v>
      </c>
      <c r="V6" s="2">
        <v>4554.5630558486291</v>
      </c>
      <c r="W6" s="2">
        <v>3993.33133</v>
      </c>
      <c r="X6" s="2">
        <v>3933.2867630989354</v>
      </c>
      <c r="Y6" s="2">
        <v>2583.0015199999998</v>
      </c>
      <c r="Z6" s="2">
        <v>3520.7911764056134</v>
      </c>
      <c r="AA6" s="2">
        <v>3516.1065499999995</v>
      </c>
      <c r="AB6" s="2">
        <v>3748.533804602193</v>
      </c>
      <c r="AC6" s="2">
        <v>3807.5625399999994</v>
      </c>
      <c r="AD6" s="2">
        <v>3349.1379666782213</v>
      </c>
      <c r="AE6" s="2">
        <v>2055.17</v>
      </c>
      <c r="AF6" s="2">
        <v>4625.9911524481686</v>
      </c>
      <c r="AG6" s="2">
        <v>4258.1758700000009</v>
      </c>
      <c r="AH6" s="2">
        <v>4201.0118969765608</v>
      </c>
      <c r="AI6" s="2">
        <v>4389.7611600000018</v>
      </c>
      <c r="AJ6" s="2">
        <v>4208.7050733002079</v>
      </c>
      <c r="AK6" s="2">
        <v>2918.8517600000005</v>
      </c>
      <c r="AL6" s="2">
        <v>15524.970200259615</v>
      </c>
      <c r="AM6" s="2">
        <v>14670.033590000012</v>
      </c>
      <c r="AN6" s="2">
        <v>15413.452356280011</v>
      </c>
      <c r="AO6" s="2">
        <v>14451.726280000004</v>
      </c>
      <c r="AP6" s="2">
        <v>14371.313798234076</v>
      </c>
      <c r="AQ6" s="2">
        <v>10724.626490000002</v>
      </c>
      <c r="AR6" s="2">
        <v>9993.3727709444593</v>
      </c>
      <c r="AS6" s="2">
        <v>8938.94643</v>
      </c>
      <c r="AT6" s="2">
        <v>9308.9286950236274</v>
      </c>
      <c r="AU6" s="2">
        <v>7419.1493000000009</v>
      </c>
      <c r="AV6" s="2">
        <v>7620.3498472790989</v>
      </c>
      <c r="AW6" s="2">
        <v>4971.4794200000015</v>
      </c>
      <c r="AX6" s="2">
        <v>2072.8250482043477</v>
      </c>
      <c r="AY6" s="2">
        <v>1767.8064300000001</v>
      </c>
      <c r="AZ6" s="2">
        <v>1743.0045547997959</v>
      </c>
      <c r="BA6" s="2">
        <v>1535.4266600000001</v>
      </c>
      <c r="BB6" s="2">
        <v>1757.2208803653259</v>
      </c>
      <c r="BC6" s="2">
        <v>1363.96885</v>
      </c>
      <c r="BD6" s="2">
        <v>8793.5156178940506</v>
      </c>
      <c r="BE6" s="2">
        <v>8704.042300000001</v>
      </c>
      <c r="BF6" s="2">
        <v>8417.2117733768446</v>
      </c>
      <c r="BG6" s="2">
        <v>6153.5302100000026</v>
      </c>
      <c r="BH6" s="2">
        <v>5989.1432817730129</v>
      </c>
      <c r="BI6" s="2">
        <v>5326.3186200000009</v>
      </c>
      <c r="BJ6" s="2">
        <v>2376.4969483629584</v>
      </c>
      <c r="BK6" s="2">
        <v>2269.677109999996</v>
      </c>
      <c r="BL6" s="2">
        <v>2248.006177983043</v>
      </c>
      <c r="BM6" s="2">
        <v>2173.6648499999997</v>
      </c>
      <c r="BN6" s="2">
        <v>2175.3960620166081</v>
      </c>
      <c r="BO6" s="2">
        <v>1596.5936799999999</v>
      </c>
      <c r="BP6" s="2">
        <v>2110.1990957320513</v>
      </c>
      <c r="BQ6" s="2">
        <v>2021.6927999999989</v>
      </c>
      <c r="BR6" s="2">
        <v>3262.7568757424028</v>
      </c>
      <c r="BS6" s="2">
        <v>2823.6842500000012</v>
      </c>
      <c r="BT6" s="2">
        <v>2577.8318573963847</v>
      </c>
      <c r="BU6" s="2">
        <v>1925.55213</v>
      </c>
      <c r="BV6" s="2">
        <v>760.35225850958204</v>
      </c>
      <c r="BW6" s="2">
        <v>785.69502999999713</v>
      </c>
      <c r="BX6" s="2">
        <v>887.66223898523594</v>
      </c>
      <c r="BY6" s="2">
        <v>773.54178999999999</v>
      </c>
      <c r="BZ6" s="2">
        <v>751.82776991226501</v>
      </c>
      <c r="CA6" s="2">
        <v>556.44966999999997</v>
      </c>
      <c r="CB6" s="2">
        <v>1834.3833730320969</v>
      </c>
      <c r="CC6" s="2">
        <v>1550.2600199999993</v>
      </c>
      <c r="CD6" s="2">
        <v>1555.0043268085301</v>
      </c>
      <c r="CE6" s="2">
        <v>1574.35304</v>
      </c>
      <c r="CF6" s="2">
        <v>1651.916741270333</v>
      </c>
      <c r="CG6" s="2">
        <v>1176.5030200000001</v>
      </c>
      <c r="CH6" s="2">
        <v>51.999900960494003</v>
      </c>
      <c r="CI6" s="2">
        <v>43.111309999999001</v>
      </c>
      <c r="CJ6" s="2">
        <v>43.143966414569</v>
      </c>
      <c r="CK6" s="2">
        <v>40.505009999999999</v>
      </c>
      <c r="CL6" s="2">
        <v>140.99999555884199</v>
      </c>
      <c r="CM6" s="2">
        <v>34.354430000000001</v>
      </c>
      <c r="CN6" s="2">
        <v>7398.1040229686059</v>
      </c>
      <c r="CO6" s="2">
        <v>7084.7127600000013</v>
      </c>
      <c r="CP6" s="2">
        <v>6982.908337087053</v>
      </c>
      <c r="CQ6" s="2">
        <v>5663.9827400000049</v>
      </c>
      <c r="CR6" s="2">
        <v>6252.9825892068202</v>
      </c>
      <c r="CS6" s="2">
        <v>3545.9413899999986</v>
      </c>
      <c r="CT6" s="2">
        <v>7619.4960627221581</v>
      </c>
      <c r="CU6" s="2">
        <v>9710.9031599999998</v>
      </c>
      <c r="CV6" s="2">
        <v>9692.027558323789</v>
      </c>
      <c r="CW6" s="2">
        <v>10629.20334</v>
      </c>
      <c r="CX6" s="2">
        <v>9675.7605680005945</v>
      </c>
      <c r="CY6" s="2">
        <v>7167.9879300000021</v>
      </c>
      <c r="CZ6" s="2">
        <v>2619.1501863361623</v>
      </c>
      <c r="DA6" s="2">
        <v>2348.4894200000008</v>
      </c>
      <c r="DB6" s="2">
        <v>2342.2682789743121</v>
      </c>
      <c r="DC6" s="2">
        <v>2073.8449499999997</v>
      </c>
      <c r="DD6" s="2">
        <v>2245.9180709338389</v>
      </c>
      <c r="DE6" s="2">
        <v>1632.0681799999991</v>
      </c>
      <c r="DF6" s="2">
        <v>1002.8653169644531</v>
      </c>
      <c r="DG6" s="2">
        <v>582.40260999999794</v>
      </c>
      <c r="DH6" s="2">
        <v>799.00226389419993</v>
      </c>
      <c r="DI6" s="2">
        <v>545.49551999999994</v>
      </c>
      <c r="DJ6" s="2">
        <v>668.61019232655701</v>
      </c>
      <c r="DK6" s="2">
        <v>393.66744</v>
      </c>
      <c r="DL6" s="2">
        <v>680.00844632585699</v>
      </c>
      <c r="DM6" s="2">
        <v>689.590409999999</v>
      </c>
      <c r="DN6" s="2">
        <v>686.11268162678107</v>
      </c>
      <c r="DO6" s="2">
        <v>682.28505999999993</v>
      </c>
      <c r="DP6" s="2">
        <v>660.00147740389593</v>
      </c>
      <c r="DQ6" s="2">
        <v>530.44745</v>
      </c>
      <c r="DR6" s="2">
        <v>61966.831770954021</v>
      </c>
      <c r="DS6" s="2">
        <v>62578.936100000014</v>
      </c>
      <c r="DT6" s="2">
        <v>31947.725689005423</v>
      </c>
      <c r="DU6" s="2">
        <v>32133.647820000027</v>
      </c>
      <c r="DV6" s="2">
        <v>31400.472106834706</v>
      </c>
      <c r="DW6" s="2">
        <v>23524.786320000014</v>
      </c>
      <c r="DX6" s="2">
        <v>208.736858692608</v>
      </c>
      <c r="DY6" s="2">
        <v>195.886699999998</v>
      </c>
      <c r="DZ6" s="2">
        <v>196.03508234522999</v>
      </c>
      <c r="EA6" s="2">
        <v>123.82053999999999</v>
      </c>
      <c r="EB6" s="2">
        <v>187.47868053791601</v>
      </c>
      <c r="EC6" s="2">
        <v>70.315619999999996</v>
      </c>
      <c r="ED6" s="2">
        <v>244.33301712349299</v>
      </c>
      <c r="EE6" s="2">
        <v>254.01763</v>
      </c>
      <c r="EF6" s="2">
        <v>254.21004598163501</v>
      </c>
      <c r="EG6" s="2">
        <v>249.32192000000001</v>
      </c>
      <c r="EH6" s="2">
        <v>255.99999193662001</v>
      </c>
      <c r="EI6" s="2">
        <v>195.77706000000001</v>
      </c>
      <c r="EJ6" s="2">
        <v>615.64879194825107</v>
      </c>
      <c r="EK6" s="2">
        <v>598.74151000000006</v>
      </c>
      <c r="EL6" s="2">
        <v>738.49206775067103</v>
      </c>
      <c r="EM6" s="2">
        <v>697.05243999999993</v>
      </c>
      <c r="EN6" s="2">
        <v>754.13254461074098</v>
      </c>
      <c r="EO6" s="2">
        <v>588.09629000000007</v>
      </c>
      <c r="EP6" s="2">
        <v>595.99893711183802</v>
      </c>
      <c r="EQ6" s="2">
        <v>465.56333000000001</v>
      </c>
      <c r="ER6" s="2">
        <v>556.088045407344</v>
      </c>
      <c r="ES6" s="2">
        <v>516.65332000000001</v>
      </c>
      <c r="ET6" s="2">
        <v>512.22083547060492</v>
      </c>
      <c r="EU6" s="2">
        <v>294.38454999999999</v>
      </c>
      <c r="EV6" s="2">
        <v>2.0734680508530001</v>
      </c>
      <c r="EW6" s="2">
        <v>1.6395899999990002</v>
      </c>
      <c r="EX6" s="2">
        <v>1.6408319741070001</v>
      </c>
      <c r="EY6" s="2">
        <v>1.6068500000000001</v>
      </c>
      <c r="EZ6" s="2">
        <v>7</v>
      </c>
      <c r="FA6" s="2">
        <v>2.9531499999999999</v>
      </c>
      <c r="FB6" s="2">
        <v>117.10822703865401</v>
      </c>
      <c r="FC6" s="2">
        <v>115.86833</v>
      </c>
      <c r="FD6" s="2">
        <v>115.95609917750599</v>
      </c>
      <c r="FE6" s="2">
        <v>118.01635999999999</v>
      </c>
      <c r="FF6" s="2">
        <v>160.86234101131998</v>
      </c>
      <c r="FG6" s="2">
        <v>112.07210000000001</v>
      </c>
      <c r="FH6" s="2">
        <v>1956.4422272586992</v>
      </c>
      <c r="FI6" s="2">
        <v>1841.3282299999998</v>
      </c>
      <c r="FJ6" s="2">
        <v>1828.248817867046</v>
      </c>
      <c r="FK6" s="2">
        <v>1790.5444000000011</v>
      </c>
      <c r="FL6" s="2">
        <v>1760.960463624024</v>
      </c>
      <c r="FM6" s="2">
        <v>1334.383070000001</v>
      </c>
      <c r="FN6" s="2">
        <v>1900.506640679667</v>
      </c>
      <c r="FO6" s="2">
        <v>1389.4138799999978</v>
      </c>
      <c r="FP6" s="2">
        <v>1344.003797810949</v>
      </c>
      <c r="FQ6" s="2">
        <v>1148.0625</v>
      </c>
      <c r="FR6" s="2">
        <v>1317.9739565846689</v>
      </c>
      <c r="FS6" s="2">
        <v>880.92286999999999</v>
      </c>
      <c r="FT6" s="2">
        <v>37652.510783752448</v>
      </c>
      <c r="FU6" s="2">
        <v>43291.497040000031</v>
      </c>
      <c r="FV6" s="2">
        <v>48395.178342267216</v>
      </c>
      <c r="FW6" s="2">
        <v>36243.331510000018</v>
      </c>
      <c r="FX6" s="2">
        <v>36185.638956733907</v>
      </c>
      <c r="FY6" s="2">
        <v>24172.013090000011</v>
      </c>
      <c r="FZ6" s="2">
        <v>20.047773080696</v>
      </c>
      <c r="GA6" s="2">
        <v>31.847499999998</v>
      </c>
      <c r="GB6" s="2">
        <v>31.871621862297999</v>
      </c>
      <c r="GC6" s="2">
        <v>10.291</v>
      </c>
      <c r="GD6" s="2">
        <v>19.130477605907998</v>
      </c>
      <c r="GE6" s="2">
        <v>5.4471400000000001</v>
      </c>
      <c r="GF6" s="2">
        <v>308.99941147678101</v>
      </c>
      <c r="GG6" s="2">
        <v>285.72475999999898</v>
      </c>
      <c r="GH6" s="2">
        <v>284.94118300308401</v>
      </c>
      <c r="GI6" s="2">
        <v>282.91119000000003</v>
      </c>
      <c r="GJ6" s="2">
        <v>273.56582976451398</v>
      </c>
      <c r="GK6" s="2">
        <v>213.6103</v>
      </c>
      <c r="GL6" s="2">
        <v>291.99944385508098</v>
      </c>
      <c r="GM6" s="2">
        <v>198.51465999999996</v>
      </c>
      <c r="GN6" s="2">
        <v>198.66503300038099</v>
      </c>
      <c r="GO6" s="2">
        <v>140.34773999999999</v>
      </c>
      <c r="GP6" s="2">
        <v>190.34825217880399</v>
      </c>
      <c r="GQ6" s="2">
        <v>60.252340000000004</v>
      </c>
      <c r="GR6" s="2">
        <v>0</v>
      </c>
      <c r="GS6" s="2">
        <v>0.47911999999999999</v>
      </c>
      <c r="GT6" s="2">
        <v>0.47948292892299998</v>
      </c>
      <c r="GU6" s="2">
        <v>0</v>
      </c>
      <c r="GV6" s="2">
        <v>0</v>
      </c>
      <c r="GW6" s="2">
        <v>0.33857999999999999</v>
      </c>
      <c r="GX6" s="2">
        <v>292.22533541316807</v>
      </c>
      <c r="GY6" s="2">
        <v>204.3305</v>
      </c>
      <c r="GZ6" s="2">
        <v>204.48527844484801</v>
      </c>
      <c r="HA6" s="2">
        <v>138.76254999999998</v>
      </c>
      <c r="HB6" s="2">
        <v>195.13087158028301</v>
      </c>
      <c r="HC6" s="2">
        <v>86.086550000000003</v>
      </c>
      <c r="HD6" s="2">
        <v>53.283357985510001</v>
      </c>
      <c r="HE6" s="2">
        <v>39.94012</v>
      </c>
      <c r="HF6" s="2">
        <v>39.970374267769998</v>
      </c>
      <c r="HG6" s="2">
        <v>13.706059999999999</v>
      </c>
      <c r="HH6" s="2">
        <v>28.695716408865</v>
      </c>
      <c r="HI6" s="2">
        <v>6.3647499999999999</v>
      </c>
      <c r="HJ6" s="2">
        <v>0</v>
      </c>
      <c r="HK6" s="2">
        <v>0.56330000000000002</v>
      </c>
      <c r="HL6" s="2">
        <v>0.56372669448699997</v>
      </c>
      <c r="HM6" s="2">
        <v>0</v>
      </c>
      <c r="HN6" s="2">
        <v>1</v>
      </c>
      <c r="HO6" s="2">
        <v>0.75165000000000004</v>
      </c>
      <c r="HP6" s="2">
        <v>45.249227044198001</v>
      </c>
      <c r="HQ6" s="2">
        <v>45.33455</v>
      </c>
      <c r="HR6" s="2">
        <v>45.368890498098999</v>
      </c>
      <c r="HS6" s="2">
        <v>36.247630000000001</v>
      </c>
      <c r="HT6" s="2">
        <v>35.391383570933002</v>
      </c>
      <c r="HU6" s="2">
        <v>21.586670000000002</v>
      </c>
      <c r="HV6" s="2">
        <v>76.169931414855995</v>
      </c>
      <c r="HW6" s="2">
        <v>23.119910000000001</v>
      </c>
      <c r="HX6" s="2">
        <v>23.137423115832998</v>
      </c>
      <c r="HY6" s="2">
        <v>17.845890000000001</v>
      </c>
      <c r="HZ6" s="2">
        <v>22.000049246795999</v>
      </c>
      <c r="IA6" s="2">
        <v>10.81954</v>
      </c>
      <c r="IB6" s="2">
        <v>90.922730069018002</v>
      </c>
      <c r="IC6" s="2">
        <v>108.46248999999902</v>
      </c>
      <c r="ID6" s="2">
        <v>102.81140457513101</v>
      </c>
      <c r="IE6" s="2">
        <v>63.240629999999996</v>
      </c>
      <c r="IF6" s="2">
        <v>66.000147740388996</v>
      </c>
      <c r="IG6" s="2">
        <v>26.050620000000002</v>
      </c>
      <c r="IH6" s="2">
        <v>739.99857537841297</v>
      </c>
      <c r="II6" s="2">
        <v>701.34277999999892</v>
      </c>
      <c r="IJ6" s="2">
        <v>701.87404060374706</v>
      </c>
      <c r="IK6" s="2">
        <v>722.58897999999999</v>
      </c>
      <c r="IL6" s="2">
        <v>699.16601100907792</v>
      </c>
      <c r="IM6" s="2">
        <v>529.78953000000013</v>
      </c>
      <c r="IN6" s="2">
        <v>925.75123579529702</v>
      </c>
      <c r="IO6" s="2">
        <v>440.57683999999801</v>
      </c>
      <c r="IP6" s="2">
        <v>36.000102362733998</v>
      </c>
      <c r="IQ6" s="2">
        <v>92.181709999999995</v>
      </c>
      <c r="IR6" s="2">
        <v>76.521910423639</v>
      </c>
      <c r="IS6" s="2">
        <v>56.322859999999999</v>
      </c>
      <c r="IT6" s="2">
        <v>5719.8765648224371</v>
      </c>
      <c r="IU6" s="2">
        <v>5701.3209300000008</v>
      </c>
      <c r="IV6" s="2">
        <v>5729.8757698964309</v>
      </c>
      <c r="IW6" s="2">
        <v>5875.4904700000016</v>
      </c>
      <c r="IX6" s="2">
        <v>5665.954132474686</v>
      </c>
      <c r="IY6" s="2">
        <v>4149.337880000001</v>
      </c>
      <c r="IZ6" s="2">
        <v>0</v>
      </c>
      <c r="JA6" s="2">
        <v>0.77005000000000001</v>
      </c>
      <c r="JB6" s="2">
        <v>0.77063330568099997</v>
      </c>
      <c r="JC6" s="2">
        <v>0</v>
      </c>
      <c r="JD6" s="2">
        <v>0</v>
      </c>
      <c r="JE6" s="2">
        <v>0.40909000000000001</v>
      </c>
      <c r="JF6" s="2">
        <v>71.951522474911997</v>
      </c>
      <c r="JG6" s="2">
        <v>57.249229999999002</v>
      </c>
      <c r="JH6" s="2">
        <v>57.292595756887998</v>
      </c>
      <c r="JI6" s="2">
        <v>55.505649999999989</v>
      </c>
      <c r="JJ6" s="2">
        <v>54.521861176843004</v>
      </c>
      <c r="JK6" s="2">
        <v>44.757709999999996</v>
      </c>
      <c r="JL6" s="2">
        <v>3995.9980111987302</v>
      </c>
      <c r="JM6" s="2">
        <v>3482.0260000000003</v>
      </c>
      <c r="JN6" s="2">
        <v>3514.8277298511198</v>
      </c>
      <c r="JO6" s="2">
        <v>3317.3073700000009</v>
      </c>
      <c r="JP6" s="2">
        <v>3569.3113916345701</v>
      </c>
      <c r="JQ6" s="2">
        <v>2614.787690000001</v>
      </c>
      <c r="JR6" s="2">
        <v>1477.7473485600269</v>
      </c>
      <c r="JS6" s="2">
        <v>1454.9801799999968</v>
      </c>
      <c r="JT6" s="2">
        <v>1460.082306155517</v>
      </c>
      <c r="JU6" s="2">
        <v>1516.9663200000002</v>
      </c>
      <c r="JV6" s="2">
        <v>1460.4379654200779</v>
      </c>
      <c r="JW6" s="2">
        <v>1129.16227</v>
      </c>
      <c r="JX6" s="2">
        <v>0</v>
      </c>
      <c r="JY6" s="2">
        <v>1.0000056338554941E-12</v>
      </c>
      <c r="JZ6" s="2"/>
      <c r="KA6" s="2"/>
      <c r="KB6" s="2">
        <v>0</v>
      </c>
      <c r="KC6" s="2">
        <v>0.64559999999999995</v>
      </c>
      <c r="KD6" s="2">
        <v>0</v>
      </c>
      <c r="KE6" s="2">
        <v>287.83952999999906</v>
      </c>
      <c r="KF6" s="2">
        <v>0</v>
      </c>
      <c r="KG6" s="2">
        <v>326.90207999999996</v>
      </c>
      <c r="KH6" s="2">
        <v>294.99999070821502</v>
      </c>
      <c r="KI6" s="2">
        <v>0.39444999999999997</v>
      </c>
      <c r="KJ6" s="2">
        <v>-5696.0540409032201</v>
      </c>
      <c r="KK6" s="2">
        <v>166.08891000000099</v>
      </c>
      <c r="KL6" s="2">
        <v>-17520.9340235727</v>
      </c>
      <c r="KM6" s="2">
        <v>-166.08891000000099</v>
      </c>
      <c r="KN6" s="2">
        <v>-1689.9817351598199</v>
      </c>
      <c r="KO6" s="2">
        <v>0</v>
      </c>
      <c r="KP6" s="2">
        <v>0</v>
      </c>
      <c r="KQ6" s="2">
        <v>0.26962000000000003</v>
      </c>
      <c r="KR6" s="2">
        <v>0</v>
      </c>
      <c r="KS6" s="2">
        <v>0.10004</v>
      </c>
      <c r="KT6" s="2">
        <v>9.5690648983999996E-2</v>
      </c>
      <c r="KU6" s="2">
        <v>0</v>
      </c>
      <c r="KV6" s="2"/>
      <c r="KW6" s="2"/>
      <c r="KX6" s="2"/>
      <c r="KY6" s="2"/>
      <c r="KZ6" s="2"/>
      <c r="LA6" s="2"/>
      <c r="LB6" s="2">
        <v>0</v>
      </c>
      <c r="LC6" s="2">
        <v>9.999778782798785E-13</v>
      </c>
      <c r="LD6" s="2"/>
      <c r="LE6" s="2"/>
      <c r="LF6" s="2">
        <v>85.999838105546999</v>
      </c>
      <c r="LG6" s="2">
        <v>88.754489999998981</v>
      </c>
      <c r="LH6" s="2">
        <v>87.821719923201996</v>
      </c>
      <c r="LI6" s="2">
        <v>59.789429999999996</v>
      </c>
      <c r="LJ6" s="2">
        <v>59.304480578319996</v>
      </c>
      <c r="LK6" s="2">
        <v>19.488990000000001</v>
      </c>
      <c r="LL6" s="2">
        <v>0</v>
      </c>
      <c r="LM6" s="2">
        <v>8.2100000000000006E-2</v>
      </c>
      <c r="LN6" s="2">
        <v>0</v>
      </c>
      <c r="LO6" s="2">
        <v>0</v>
      </c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>
        <v>20</v>
      </c>
      <c r="MM6" s="2">
        <v>6.9828000000000001</v>
      </c>
    </row>
    <row r="7" spans="1:351">
      <c r="A7" s="1" t="s">
        <v>128</v>
      </c>
      <c r="B7" s="2"/>
      <c r="C7" s="2"/>
      <c r="D7" s="2"/>
      <c r="E7" s="2"/>
      <c r="F7" s="2">
        <v>79</v>
      </c>
      <c r="G7" s="2">
        <v>59.18929</v>
      </c>
      <c r="H7" s="2"/>
      <c r="I7" s="2"/>
      <c r="J7" s="2"/>
      <c r="K7" s="2"/>
      <c r="L7" s="2">
        <v>1421</v>
      </c>
      <c r="M7" s="2">
        <v>1209.97937</v>
      </c>
      <c r="N7" s="2"/>
      <c r="O7" s="2"/>
      <c r="P7" s="2"/>
      <c r="Q7" s="2"/>
      <c r="R7" s="2">
        <v>164</v>
      </c>
      <c r="S7" s="2">
        <v>123.38302</v>
      </c>
      <c r="T7" s="2"/>
      <c r="U7" s="2"/>
      <c r="V7" s="2"/>
      <c r="W7" s="2"/>
      <c r="X7" s="2">
        <v>1309</v>
      </c>
      <c r="Y7" s="2">
        <v>1105.2256600000001</v>
      </c>
      <c r="Z7" s="2"/>
      <c r="AA7" s="2"/>
      <c r="AB7" s="2"/>
      <c r="AC7" s="2"/>
      <c r="AD7" s="2">
        <v>85</v>
      </c>
      <c r="AE7" s="2">
        <v>63.956530000000001</v>
      </c>
      <c r="AF7" s="2"/>
      <c r="AG7" s="2"/>
      <c r="AH7" s="2"/>
      <c r="AI7" s="2"/>
      <c r="AJ7" s="2">
        <v>176</v>
      </c>
      <c r="AK7" s="2">
        <v>132.26077000000001</v>
      </c>
      <c r="AL7" s="2"/>
      <c r="AM7" s="2"/>
      <c r="AN7" s="2"/>
      <c r="AO7" s="2"/>
      <c r="AP7" s="2">
        <v>1096</v>
      </c>
      <c r="AQ7" s="2">
        <v>821.95670000000007</v>
      </c>
      <c r="AR7" s="2"/>
      <c r="AS7" s="2"/>
      <c r="AT7" s="2"/>
      <c r="AU7" s="2"/>
      <c r="AV7" s="2">
        <v>15</v>
      </c>
      <c r="AW7" s="2">
        <v>11.643369999999999</v>
      </c>
      <c r="AX7" s="2"/>
      <c r="AY7" s="2"/>
      <c r="AZ7" s="2"/>
      <c r="BA7" s="2"/>
      <c r="BB7" s="2">
        <v>125</v>
      </c>
      <c r="BC7" s="2">
        <v>93.934790000000007</v>
      </c>
      <c r="BD7" s="2"/>
      <c r="BE7" s="2"/>
      <c r="BF7" s="2"/>
      <c r="BG7" s="2"/>
      <c r="BH7" s="2">
        <v>373</v>
      </c>
      <c r="BI7" s="2">
        <v>279.34492999999998</v>
      </c>
      <c r="BJ7" s="2"/>
      <c r="BK7" s="2"/>
      <c r="BL7" s="2"/>
      <c r="BM7" s="2"/>
      <c r="BN7" s="2">
        <v>3</v>
      </c>
      <c r="BO7" s="2">
        <v>2.2965800000000001</v>
      </c>
      <c r="BP7" s="2"/>
      <c r="BQ7" s="2"/>
      <c r="BR7" s="2"/>
      <c r="BS7" s="2"/>
      <c r="BT7" s="2">
        <v>69</v>
      </c>
      <c r="BU7" s="2">
        <v>51.392940000000003</v>
      </c>
      <c r="BV7" s="2"/>
      <c r="BW7" s="2"/>
      <c r="BX7" s="2"/>
      <c r="BY7" s="2"/>
      <c r="BZ7" s="2">
        <v>28</v>
      </c>
      <c r="CA7" s="2">
        <v>20.669219999999999</v>
      </c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>
        <v>211</v>
      </c>
      <c r="CS7" s="2">
        <v>158.92552000000001</v>
      </c>
      <c r="CT7" s="2"/>
      <c r="CU7" s="2"/>
      <c r="CV7" s="2"/>
      <c r="CW7" s="2"/>
      <c r="CX7" s="2">
        <v>176</v>
      </c>
      <c r="CY7" s="2">
        <v>154.75484</v>
      </c>
      <c r="CZ7" s="2"/>
      <c r="DA7" s="2"/>
      <c r="DB7" s="2"/>
      <c r="DC7" s="2"/>
      <c r="DD7" s="2">
        <v>2</v>
      </c>
      <c r="DE7" s="2">
        <v>1.68058</v>
      </c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>
        <v>135</v>
      </c>
      <c r="DW7" s="2">
        <v>101.7102</v>
      </c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>
        <v>2</v>
      </c>
      <c r="EO7" s="2">
        <v>1.8372599999999999</v>
      </c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>
        <v>45</v>
      </c>
      <c r="FM7" s="2">
        <v>33.866129999999998</v>
      </c>
      <c r="FN7" s="2"/>
      <c r="FO7" s="2"/>
      <c r="FP7" s="2"/>
      <c r="FQ7" s="2"/>
      <c r="FR7" s="2">
        <v>41</v>
      </c>
      <c r="FS7" s="2">
        <v>52.438029999999998</v>
      </c>
      <c r="FT7" s="2"/>
      <c r="FU7" s="2"/>
      <c r="FV7" s="2"/>
      <c r="FW7" s="2"/>
      <c r="FX7" s="2">
        <v>695</v>
      </c>
      <c r="FY7" s="2">
        <v>804.68999000000008</v>
      </c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>
        <v>358</v>
      </c>
      <c r="IY7" s="2">
        <v>312.76374999999996</v>
      </c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>
        <v>1564</v>
      </c>
      <c r="JQ7" s="2">
        <v>1172.3761</v>
      </c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</row>
    <row r="8" spans="1:351">
      <c r="A8" s="1" t="s">
        <v>119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>
        <v>0</v>
      </c>
      <c r="KE8" s="2">
        <v>259.23815999999999</v>
      </c>
      <c r="KF8" s="2">
        <v>0</v>
      </c>
      <c r="KG8" s="2">
        <v>314.21699999999998</v>
      </c>
      <c r="KH8" s="2">
        <v>286.99999096019599</v>
      </c>
      <c r="KI8" s="2">
        <v>0</v>
      </c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</row>
    <row r="9" spans="1:351">
      <c r="A9" s="1" t="s">
        <v>129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>
        <v>0</v>
      </c>
      <c r="BC9" s="2">
        <v>12.408810000000001</v>
      </c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</row>
    <row r="10" spans="1:351">
      <c r="A10" s="1" t="s">
        <v>42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>
        <v>39180.000000000051</v>
      </c>
      <c r="DY10" s="2">
        <v>34959.392990000008</v>
      </c>
      <c r="DZ10" s="2">
        <v>35999.906493505841</v>
      </c>
      <c r="EA10" s="2">
        <v>31030.722050000011</v>
      </c>
      <c r="EB10" s="2">
        <v>30130.43383357305</v>
      </c>
      <c r="EC10" s="2">
        <v>20667.157500000001</v>
      </c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>
        <v>2500</v>
      </c>
      <c r="KM10" s="2">
        <v>0</v>
      </c>
      <c r="KN10" s="2">
        <v>2869.5651270069502</v>
      </c>
      <c r="KO10" s="2">
        <v>0</v>
      </c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</row>
    <row r="11" spans="1:351">
      <c r="A11" s="1" t="s">
        <v>130</v>
      </c>
      <c r="B11" s="2">
        <v>284.00771202209398</v>
      </c>
      <c r="C11" s="2">
        <v>273.76471999999904</v>
      </c>
      <c r="D11" s="2">
        <v>275.35571143851502</v>
      </c>
      <c r="E11" s="2">
        <v>255.65116999999998</v>
      </c>
      <c r="F11" s="2">
        <v>164.05115080564599</v>
      </c>
      <c r="G11" s="2">
        <v>35.333099999999995</v>
      </c>
      <c r="H11" s="2">
        <v>1528.2930621436021</v>
      </c>
      <c r="I11" s="2">
        <v>1562.9751799999997</v>
      </c>
      <c r="J11" s="2">
        <v>1575.640071845798</v>
      </c>
      <c r="K11" s="2">
        <v>1549.5926000000009</v>
      </c>
      <c r="L11" s="2">
        <v>73</v>
      </c>
      <c r="M11" s="2">
        <v>78.736330000000066</v>
      </c>
      <c r="N11" s="2">
        <v>560.01540464087498</v>
      </c>
      <c r="O11" s="2">
        <v>243.36449000000002</v>
      </c>
      <c r="P11" s="2">
        <v>243.00089983406798</v>
      </c>
      <c r="Q11" s="2">
        <v>246.61578</v>
      </c>
      <c r="R11" s="2">
        <v>69</v>
      </c>
      <c r="S11" s="2">
        <v>157.16501</v>
      </c>
      <c r="T11" s="2">
        <v>1489.0409598397541</v>
      </c>
      <c r="U11" s="2">
        <v>1285.745089999999</v>
      </c>
      <c r="V11" s="2">
        <v>1391.586466066404</v>
      </c>
      <c r="W11" s="2">
        <v>1478.8598500000001</v>
      </c>
      <c r="X11" s="2">
        <v>193</v>
      </c>
      <c r="Y11" s="2">
        <v>144.94861000000009</v>
      </c>
      <c r="Z11" s="2">
        <v>87.945242627796006</v>
      </c>
      <c r="AA11" s="2">
        <v>101.24538999999899</v>
      </c>
      <c r="AB11" s="2">
        <v>101.09412788221999</v>
      </c>
      <c r="AC11" s="2">
        <v>103.27812999999999</v>
      </c>
      <c r="AD11" s="2">
        <v>12</v>
      </c>
      <c r="AE11" s="2">
        <v>7.164850000000003</v>
      </c>
      <c r="AF11" s="2">
        <v>474.01218474721895</v>
      </c>
      <c r="AG11" s="2">
        <v>445.72645999999997</v>
      </c>
      <c r="AH11" s="2">
        <v>445.060538042563</v>
      </c>
      <c r="AI11" s="2">
        <v>371.85485</v>
      </c>
      <c r="AJ11" s="2">
        <v>169</v>
      </c>
      <c r="AK11" s="2">
        <v>129.14261000000002</v>
      </c>
      <c r="AL11" s="2">
        <v>1950.0510003646111</v>
      </c>
      <c r="AM11" s="2">
        <v>1778.5910500000023</v>
      </c>
      <c r="AN11" s="2">
        <v>1640.933808530657</v>
      </c>
      <c r="AO11" s="2">
        <v>1426.4311699999998</v>
      </c>
      <c r="AP11" s="2">
        <v>223</v>
      </c>
      <c r="AQ11" s="2">
        <v>353.89191000000005</v>
      </c>
      <c r="AR11" s="2">
        <v>16.023960531829999</v>
      </c>
      <c r="AS11" s="2">
        <v>18.449140000000003</v>
      </c>
      <c r="AT11" s="2">
        <v>20.421576710570999</v>
      </c>
      <c r="AU11" s="2">
        <v>10.910780000000001</v>
      </c>
      <c r="AV11" s="2">
        <v>2</v>
      </c>
      <c r="AW11" s="2">
        <v>1.2410000000000003</v>
      </c>
      <c r="AX11" s="2">
        <v>353.278649212434</v>
      </c>
      <c r="AY11" s="2">
        <v>190.74820999999901</v>
      </c>
      <c r="AZ11" s="2">
        <v>227.46322933858602</v>
      </c>
      <c r="BA11" s="2">
        <v>118.41521999999901</v>
      </c>
      <c r="BB11" s="2">
        <v>57.692740704506001</v>
      </c>
      <c r="BC11" s="2">
        <v>13.488079999999991</v>
      </c>
      <c r="BD11" s="2">
        <v>1285.6623097964211</v>
      </c>
      <c r="BE11" s="2">
        <v>1303.792489999996</v>
      </c>
      <c r="BF11" s="2">
        <v>1341.844604637681</v>
      </c>
      <c r="BG11" s="2">
        <v>1059.3718800000001</v>
      </c>
      <c r="BH11" s="2">
        <v>873.71844853426296</v>
      </c>
      <c r="BI11" s="2">
        <v>395.92473000000007</v>
      </c>
      <c r="BJ11" s="2">
        <v>42.332043057694001</v>
      </c>
      <c r="BK11" s="2">
        <v>48.861070000000005</v>
      </c>
      <c r="BL11" s="2">
        <v>48.788070835048003</v>
      </c>
      <c r="BM11" s="2">
        <v>59.113340000000001</v>
      </c>
      <c r="BN11" s="2">
        <v>50.060503372920998</v>
      </c>
      <c r="BO11" s="2">
        <v>34.917809999999996</v>
      </c>
      <c r="BP11" s="2">
        <v>60.584367186462998</v>
      </c>
      <c r="BQ11" s="2">
        <v>85.636039999998999</v>
      </c>
      <c r="BR11" s="2">
        <v>85.508098483168993</v>
      </c>
      <c r="BS11" s="2">
        <v>80.197620000000001</v>
      </c>
      <c r="BT11" s="2">
        <v>13</v>
      </c>
      <c r="BU11" s="2">
        <v>5.9604399999999984</v>
      </c>
      <c r="BV11" s="2">
        <v>78.918250919326994</v>
      </c>
      <c r="BW11" s="2">
        <v>34.624960000000002</v>
      </c>
      <c r="BX11" s="2">
        <v>144.99999999999901</v>
      </c>
      <c r="BY11" s="2">
        <v>103.92053</v>
      </c>
      <c r="BZ11" s="2">
        <v>603</v>
      </c>
      <c r="CA11" s="2">
        <v>96.464820000000003</v>
      </c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>
        <v>242.00610683977399</v>
      </c>
      <c r="CO11" s="2">
        <v>232.65827999999797</v>
      </c>
      <c r="CP11" s="2">
        <v>243.31068507096799</v>
      </c>
      <c r="CQ11" s="2">
        <v>325.23500000000001</v>
      </c>
      <c r="CR11" s="2">
        <v>83</v>
      </c>
      <c r="CS11" s="2">
        <v>83.360399999999998</v>
      </c>
      <c r="CT11" s="2">
        <v>137.42484553657999</v>
      </c>
      <c r="CU11" s="2">
        <v>466.90870000000001</v>
      </c>
      <c r="CV11" s="2">
        <v>466.21113146110702</v>
      </c>
      <c r="CW11" s="2">
        <v>536.50610000000006</v>
      </c>
      <c r="CX11" s="2">
        <v>270</v>
      </c>
      <c r="CY11" s="2">
        <v>181.98088999999999</v>
      </c>
      <c r="CZ11" s="2">
        <v>7.888908373105</v>
      </c>
      <c r="DA11" s="2">
        <v>5.3337899999990004</v>
      </c>
      <c r="DB11" s="2">
        <v>13.325821238447</v>
      </c>
      <c r="DC11" s="2">
        <v>10.51815</v>
      </c>
      <c r="DD11" s="2">
        <v>9.1570100466589999</v>
      </c>
      <c r="DE11" s="2">
        <v>2.9150700000000001</v>
      </c>
      <c r="DF11" s="2"/>
      <c r="DG11" s="2"/>
      <c r="DH11" s="2"/>
      <c r="DI11" s="2"/>
      <c r="DJ11" s="2"/>
      <c r="DK11" s="2"/>
      <c r="DL11" s="2">
        <v>0</v>
      </c>
      <c r="DM11" s="2">
        <v>0.35659999999999997</v>
      </c>
      <c r="DN11" s="2">
        <v>0.35606723429800002</v>
      </c>
      <c r="DO11" s="2">
        <v>1.37564</v>
      </c>
      <c r="DP11" s="2">
        <v>0</v>
      </c>
      <c r="DQ11" s="2">
        <v>2.28199</v>
      </c>
      <c r="DR11" s="2">
        <v>318.42113976574899</v>
      </c>
      <c r="DS11" s="2">
        <v>283.63287999999898</v>
      </c>
      <c r="DT11" s="2">
        <v>307.90797077200295</v>
      </c>
      <c r="DU11" s="2">
        <v>280.76718</v>
      </c>
      <c r="DV11" s="2">
        <v>147</v>
      </c>
      <c r="DW11" s="2">
        <v>178.16938999999999</v>
      </c>
      <c r="DX11" s="2">
        <v>103.66775782872899</v>
      </c>
      <c r="DY11" s="2">
        <v>0</v>
      </c>
      <c r="DZ11" s="2">
        <v>13.999999999999</v>
      </c>
      <c r="EA11" s="2">
        <v>0</v>
      </c>
      <c r="EB11" s="2"/>
      <c r="EC11" s="2"/>
      <c r="ED11" s="2"/>
      <c r="EE11" s="2"/>
      <c r="EF11" s="2"/>
      <c r="EG11" s="2"/>
      <c r="EH11" s="2"/>
      <c r="EI11" s="2"/>
      <c r="EJ11" s="2">
        <v>15.491485606792001</v>
      </c>
      <c r="EK11" s="2">
        <v>35.77026</v>
      </c>
      <c r="EL11" s="2">
        <v>97.716818699797003</v>
      </c>
      <c r="EM11" s="2">
        <v>105.09923000000001</v>
      </c>
      <c r="EN11" s="2">
        <v>100</v>
      </c>
      <c r="EO11" s="2">
        <v>45.412590000000002</v>
      </c>
      <c r="EP11" s="2">
        <v>0.83338376519299995</v>
      </c>
      <c r="EQ11" s="2">
        <v>5.9475899999999999</v>
      </c>
      <c r="ER11" s="2">
        <v>5.9387042121220004</v>
      </c>
      <c r="ES11" s="2">
        <v>8.8534199999999998</v>
      </c>
      <c r="ET11" s="2">
        <v>9.5650033724460002</v>
      </c>
      <c r="EU11" s="2">
        <v>1.89934</v>
      </c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>
        <v>183.75249637707</v>
      </c>
      <c r="FI11" s="2">
        <v>186.04150999999902</v>
      </c>
      <c r="FJ11" s="2">
        <v>183.76356121835599</v>
      </c>
      <c r="FK11" s="2">
        <v>114.59348</v>
      </c>
      <c r="FL11" s="2">
        <v>128</v>
      </c>
      <c r="FM11" s="2">
        <v>84.217079999999996</v>
      </c>
      <c r="FN11" s="2">
        <v>75.002063121544012</v>
      </c>
      <c r="FO11" s="2">
        <v>46.105519999999999</v>
      </c>
      <c r="FP11" s="2">
        <v>60.981773432116</v>
      </c>
      <c r="FQ11" s="2">
        <v>51.707299999999989</v>
      </c>
      <c r="FR11" s="2">
        <v>13</v>
      </c>
      <c r="FS11" s="2">
        <v>1.5267899999999965</v>
      </c>
      <c r="FT11" s="2">
        <v>556.64526380545203</v>
      </c>
      <c r="FU11" s="2">
        <v>543.01000999999906</v>
      </c>
      <c r="FV11" s="2">
        <v>852.19874497264095</v>
      </c>
      <c r="FW11" s="2">
        <v>724.93811000000005</v>
      </c>
      <c r="FX11" s="2">
        <v>28</v>
      </c>
      <c r="FY11" s="2">
        <v>48.793899999999937</v>
      </c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>
        <v>0.51699195034599998</v>
      </c>
      <c r="IO11" s="2">
        <v>4.2093600000000002</v>
      </c>
      <c r="IP11" s="2">
        <v>4.203071153582</v>
      </c>
      <c r="IQ11" s="2">
        <v>0</v>
      </c>
      <c r="IR11" s="2"/>
      <c r="IS11" s="2"/>
      <c r="IT11" s="2">
        <v>694.71708620451295</v>
      </c>
      <c r="IU11" s="2">
        <v>683.27869999999905</v>
      </c>
      <c r="IV11" s="2">
        <v>643.25787146453899</v>
      </c>
      <c r="IW11" s="2">
        <v>482.41125000000011</v>
      </c>
      <c r="IX11" s="2">
        <v>199</v>
      </c>
      <c r="IY11" s="2">
        <v>95.52381999999993</v>
      </c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>
        <v>1439.5347154585399</v>
      </c>
      <c r="JM11" s="2">
        <v>1543.9013900000009</v>
      </c>
      <c r="JN11" s="2">
        <v>1571.5947783716099</v>
      </c>
      <c r="JO11" s="2">
        <v>1628.4934900000003</v>
      </c>
      <c r="JP11" s="2">
        <v>291</v>
      </c>
      <c r="JQ11" s="2">
        <v>242.26265000000001</v>
      </c>
      <c r="JR11" s="2">
        <v>5.7001567972369998</v>
      </c>
      <c r="JS11" s="2">
        <v>2.9670000000000001</v>
      </c>
      <c r="JT11" s="2">
        <v>2.9625672578920001</v>
      </c>
      <c r="JU11" s="2">
        <v>0.40572000000000003</v>
      </c>
      <c r="JV11" s="2">
        <v>0.38807131682599999</v>
      </c>
      <c r="JW11" s="2">
        <v>0</v>
      </c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>
        <v>-1103.9707252926501</v>
      </c>
      <c r="KK11" s="2">
        <v>0</v>
      </c>
      <c r="KL11" s="2">
        <v>-409</v>
      </c>
      <c r="KM11" s="2">
        <v>0</v>
      </c>
      <c r="KN11" s="2">
        <v>-421.99999782666703</v>
      </c>
      <c r="KO11" s="2">
        <v>0</v>
      </c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</row>
    <row r="12" spans="1:351">
      <c r="A12" s="1" t="s">
        <v>22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>
        <v>0</v>
      </c>
      <c r="AA12" s="2">
        <v>17.068079999999998</v>
      </c>
      <c r="AB12" s="2">
        <v>16.627919785736999</v>
      </c>
      <c r="AC12" s="2">
        <v>0</v>
      </c>
      <c r="AD12" s="2"/>
      <c r="AE12" s="2"/>
      <c r="AF12" s="2">
        <v>19.992697012707001</v>
      </c>
      <c r="AG12" s="2">
        <v>7.6840799999999998</v>
      </c>
      <c r="AH12" s="2">
        <v>7.4859190879800002</v>
      </c>
      <c r="AI12" s="2">
        <v>0</v>
      </c>
      <c r="AJ12" s="2">
        <v>7.6481479072500003</v>
      </c>
      <c r="AK12" s="2">
        <v>0</v>
      </c>
      <c r="AL12" s="2">
        <v>122.955086628153</v>
      </c>
      <c r="AM12" s="2">
        <v>20.297070000000001</v>
      </c>
      <c r="AN12" s="2">
        <v>109.773638970844</v>
      </c>
      <c r="AO12" s="2">
        <v>40.94</v>
      </c>
      <c r="AP12" s="2">
        <v>19.120369768124998</v>
      </c>
      <c r="AQ12" s="2">
        <v>0</v>
      </c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>
        <v>887.89476020413304</v>
      </c>
      <c r="BE12" s="2">
        <v>898.61012000000005</v>
      </c>
      <c r="BF12" s="2">
        <v>875.43631117334598</v>
      </c>
      <c r="BG12" s="2">
        <v>1190.8481900000002</v>
      </c>
      <c r="BH12" s="2">
        <v>859</v>
      </c>
      <c r="BI12" s="2">
        <v>822.73757999999998</v>
      </c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>
        <v>0</v>
      </c>
      <c r="CI12" s="2">
        <v>454.04574999999994</v>
      </c>
      <c r="CJ12" s="2">
        <v>442.336590293391</v>
      </c>
      <c r="CK12" s="2">
        <v>294.97906999999998</v>
      </c>
      <c r="CL12" s="2">
        <v>338.430544895813</v>
      </c>
      <c r="CM12" s="2">
        <v>86.104700000000008</v>
      </c>
      <c r="CN12" s="2">
        <v>0</v>
      </c>
      <c r="CO12" s="2">
        <v>0</v>
      </c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>
        <v>279.19676833722201</v>
      </c>
      <c r="FU12" s="2">
        <v>114.93887000000001</v>
      </c>
      <c r="FV12" s="2">
        <v>111.974768727545</v>
      </c>
      <c r="FW12" s="2">
        <v>6.7259799999999998</v>
      </c>
      <c r="FX12" s="2">
        <v>14.340277326093</v>
      </c>
      <c r="FY12" s="2">
        <v>53.499980000000001</v>
      </c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>
        <v>35.972185115971001</v>
      </c>
      <c r="IU12" s="2">
        <v>0</v>
      </c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>
        <v>63.626758242942003</v>
      </c>
      <c r="JM12" s="2">
        <v>27.062760000000001</v>
      </c>
      <c r="JN12" s="2">
        <v>26.364851961125002</v>
      </c>
      <c r="JO12" s="2">
        <v>0</v>
      </c>
      <c r="JP12" s="2"/>
      <c r="JQ12" s="2"/>
      <c r="JR12" s="2">
        <v>16.944947890239</v>
      </c>
      <c r="JS12" s="2">
        <v>0</v>
      </c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>
        <v>-242.973104466595</v>
      </c>
      <c r="KK12" s="2">
        <v>0</v>
      </c>
      <c r="KL12" s="2">
        <v>-90</v>
      </c>
      <c r="KM12" s="2">
        <v>0</v>
      </c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</row>
    <row r="13" spans="1:351">
      <c r="A13" s="1" t="s">
        <v>9</v>
      </c>
      <c r="B13" s="2">
        <v>15.999508594644</v>
      </c>
      <c r="C13" s="2">
        <v>205.99851999999998</v>
      </c>
      <c r="D13" s="2">
        <v>205.00180003702098</v>
      </c>
      <c r="E13" s="2">
        <v>67.639499999999998</v>
      </c>
      <c r="F13" s="2">
        <v>76.521382518478006</v>
      </c>
      <c r="G13" s="2">
        <v>19.791800000000002</v>
      </c>
      <c r="H13" s="2">
        <v>512.98424431578997</v>
      </c>
      <c r="I13" s="2">
        <v>1956.8537599999991</v>
      </c>
      <c r="J13" s="2">
        <v>1955.0171662067232</v>
      </c>
      <c r="K13" s="2">
        <v>2501.60322</v>
      </c>
      <c r="L13" s="2">
        <v>2021.1210157693199</v>
      </c>
      <c r="M13" s="2">
        <v>1704.2145700000001</v>
      </c>
      <c r="N13" s="2">
        <v>756.97675038411899</v>
      </c>
      <c r="O13" s="2">
        <v>750.96642000000008</v>
      </c>
      <c r="P13" s="2">
        <v>600.00526840103805</v>
      </c>
      <c r="Q13" s="2">
        <v>676.96001999999999</v>
      </c>
      <c r="R13" s="2">
        <v>718.34447839221696</v>
      </c>
      <c r="S13" s="2">
        <v>488.29279999999994</v>
      </c>
      <c r="T13" s="2">
        <v>63.998034378577003</v>
      </c>
      <c r="U13" s="2">
        <v>136.77269999999999</v>
      </c>
      <c r="V13" s="2">
        <v>136.00119417090201</v>
      </c>
      <c r="W13" s="2">
        <v>227.9512</v>
      </c>
      <c r="X13" s="2">
        <v>131.04286756289201</v>
      </c>
      <c r="Y13" s="2">
        <v>232.25726</v>
      </c>
      <c r="Z13" s="2">
        <v>26.145507013484</v>
      </c>
      <c r="AA13" s="2">
        <v>2.81508</v>
      </c>
      <c r="AB13" s="2">
        <v>3.000026342005</v>
      </c>
      <c r="AC13" s="2">
        <v>0</v>
      </c>
      <c r="AD13" s="2">
        <v>0</v>
      </c>
      <c r="AE13" s="2">
        <v>5.3811999999999998</v>
      </c>
      <c r="AF13" s="2">
        <v>100.99689800369299</v>
      </c>
      <c r="AG13" s="2">
        <v>435.69243999999992</v>
      </c>
      <c r="AH13" s="2">
        <v>435.00381959075298</v>
      </c>
      <c r="AI13" s="2">
        <v>334.59685999999999</v>
      </c>
      <c r="AJ13" s="2">
        <v>292.69428813318098</v>
      </c>
      <c r="AK13" s="2">
        <v>382.80043000000001</v>
      </c>
      <c r="AL13" s="2">
        <v>801.97536830655702</v>
      </c>
      <c r="AM13" s="2">
        <v>879.97077999999897</v>
      </c>
      <c r="AN13" s="2">
        <v>880.00772698819105</v>
      </c>
      <c r="AO13" s="2">
        <v>1101.8914799999998</v>
      </c>
      <c r="AP13" s="2">
        <v>937.386935851364</v>
      </c>
      <c r="AQ13" s="2">
        <v>999.69924000000003</v>
      </c>
      <c r="AR13" s="2">
        <v>85.997358696212999</v>
      </c>
      <c r="AS13" s="2">
        <v>56.052399999999992</v>
      </c>
      <c r="AT13" s="2">
        <v>55.906377864377987</v>
      </c>
      <c r="AU13" s="2">
        <v>145.73257999999998</v>
      </c>
      <c r="AV13" s="2">
        <v>149.216695911031</v>
      </c>
      <c r="AW13" s="2">
        <v>404.13470000000001</v>
      </c>
      <c r="AX13" s="2">
        <v>50.998433645429003</v>
      </c>
      <c r="AY13" s="2">
        <v>28.543990000000001</v>
      </c>
      <c r="AZ13" s="2">
        <v>29.000254639383002</v>
      </c>
      <c r="BA13" s="2">
        <v>20.892779999999998</v>
      </c>
      <c r="BB13" s="2">
        <v>25.825966599986</v>
      </c>
      <c r="BC13" s="2">
        <v>18.688140000000001</v>
      </c>
      <c r="BD13" s="2">
        <v>1879.9422598707301</v>
      </c>
      <c r="BE13" s="2">
        <v>2649.9493399999974</v>
      </c>
      <c r="BF13" s="2">
        <v>2650.0232687712537</v>
      </c>
      <c r="BG13" s="2">
        <v>3083.9114100000011</v>
      </c>
      <c r="BH13" s="2">
        <v>3108.6811648131993</v>
      </c>
      <c r="BI13" s="2">
        <v>2169.6298200000001</v>
      </c>
      <c r="BJ13" s="2">
        <v>28.999109327791999</v>
      </c>
      <c r="BK13" s="2">
        <v>24.351959999999998</v>
      </c>
      <c r="BL13" s="2">
        <v>24.407225389780997</v>
      </c>
      <c r="BM13" s="2">
        <v>11.26032</v>
      </c>
      <c r="BN13" s="2">
        <v>22.956414755543001</v>
      </c>
      <c r="BO13" s="2">
        <v>144.04978</v>
      </c>
      <c r="BP13" s="2">
        <v>0</v>
      </c>
      <c r="BQ13" s="2">
        <v>20.910119999999999</v>
      </c>
      <c r="BR13" s="2">
        <v>20.000175613368</v>
      </c>
      <c r="BS13" s="2">
        <v>79.668390000000002</v>
      </c>
      <c r="BT13" s="2">
        <v>77.477899799959005</v>
      </c>
      <c r="BU13" s="2">
        <v>72.503999999999991</v>
      </c>
      <c r="BV13" s="2">
        <v>3.0065358477520001</v>
      </c>
      <c r="BW13" s="2">
        <v>0</v>
      </c>
      <c r="BX13" s="2">
        <v>0</v>
      </c>
      <c r="BY13" s="2">
        <v>15.36816</v>
      </c>
      <c r="BZ13" s="2">
        <v>16.260793785175998</v>
      </c>
      <c r="CA13" s="2">
        <v>14.80932</v>
      </c>
      <c r="CB13" s="2"/>
      <c r="CC13" s="2"/>
      <c r="CD13" s="2"/>
      <c r="CE13" s="2"/>
      <c r="CF13" s="2"/>
      <c r="CG13" s="2"/>
      <c r="CH13" s="2">
        <v>1822.94401050231</v>
      </c>
      <c r="CI13" s="2">
        <v>2482.0689000000011</v>
      </c>
      <c r="CJ13" s="2">
        <v>2481.0217848382999</v>
      </c>
      <c r="CK13" s="2">
        <v>3628.1269500000021</v>
      </c>
      <c r="CL13" s="2">
        <v>3426.2449022648798</v>
      </c>
      <c r="CM13" s="2">
        <v>2111.7011000000011</v>
      </c>
      <c r="CN13" s="2">
        <v>20.999355030471001</v>
      </c>
      <c r="CO13" s="2">
        <v>65.207999999999998</v>
      </c>
      <c r="CP13" s="2">
        <v>64.000561962776999</v>
      </c>
      <c r="CQ13" s="2">
        <v>76.81801999999999</v>
      </c>
      <c r="CR13" s="2">
        <v>62.173623296263003</v>
      </c>
      <c r="CS13" s="2">
        <v>6.4350000000000005</v>
      </c>
      <c r="CT13" s="2">
        <v>4921.9637397382958</v>
      </c>
      <c r="CU13" s="2">
        <v>6994.8861600000018</v>
      </c>
      <c r="CV13" s="2">
        <v>6992.0613944334436</v>
      </c>
      <c r="CW13" s="2">
        <v>7529.7478200000023</v>
      </c>
      <c r="CX13" s="2">
        <v>7418.7480351665145</v>
      </c>
      <c r="CY13" s="2">
        <v>6182.6532400000015</v>
      </c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>
        <v>120</v>
      </c>
      <c r="DQ13" s="2">
        <v>116.94580000000001</v>
      </c>
      <c r="DR13" s="2">
        <v>0</v>
      </c>
      <c r="DS13" s="2">
        <v>9.8527799999999992</v>
      </c>
      <c r="DT13" s="2">
        <v>10.000087806683</v>
      </c>
      <c r="DU13" s="2">
        <v>49.263899999999992</v>
      </c>
      <c r="DV13" s="2">
        <v>47.825864074049001</v>
      </c>
      <c r="DW13" s="2">
        <v>8.6107999999999993</v>
      </c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>
        <v>0</v>
      </c>
      <c r="EK13" s="2">
        <v>1.40754</v>
      </c>
      <c r="EL13" s="2">
        <v>1.4070134381499999</v>
      </c>
      <c r="EM13" s="2">
        <v>34.085999999999999</v>
      </c>
      <c r="EN13" s="2">
        <v>34.434622133315003</v>
      </c>
      <c r="EO13" s="2">
        <v>30.992599999999999</v>
      </c>
      <c r="EP13" s="2">
        <v>2.9999078614950001</v>
      </c>
      <c r="EQ13" s="2">
        <v>0</v>
      </c>
      <c r="ER13" s="2">
        <v>0</v>
      </c>
      <c r="ES13" s="2">
        <v>12.42</v>
      </c>
      <c r="ET13" s="2">
        <v>13.391241940733</v>
      </c>
      <c r="EU13" s="2">
        <v>0</v>
      </c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>
        <v>0</v>
      </c>
      <c r="FK13" s="2">
        <v>15.482939999999999</v>
      </c>
      <c r="FL13" s="2">
        <v>17.217311066657</v>
      </c>
      <c r="FM13" s="2">
        <v>0</v>
      </c>
      <c r="FN13" s="2">
        <v>32.998986476452998</v>
      </c>
      <c r="FO13" s="2">
        <v>34.754660000000001</v>
      </c>
      <c r="FP13" s="2">
        <v>35.000307323393002</v>
      </c>
      <c r="FQ13" s="2">
        <v>93.948359999999994</v>
      </c>
      <c r="FR13" s="2">
        <v>119.56466018512199</v>
      </c>
      <c r="FS13" s="2">
        <v>77.119900000000001</v>
      </c>
      <c r="FT13" s="2">
        <v>10766.88063930343</v>
      </c>
      <c r="FU13" s="2">
        <v>14230.762980000007</v>
      </c>
      <c r="FV13" s="2">
        <v>18380.126266011597</v>
      </c>
      <c r="FW13" s="2">
        <v>24711.185140000009</v>
      </c>
      <c r="FX13" s="2">
        <v>24400.999231427588</v>
      </c>
      <c r="FY13" s="2">
        <v>12298.50087</v>
      </c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>
        <v>0</v>
      </c>
      <c r="GM13" s="2">
        <v>0</v>
      </c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>
        <v>387.98808342013001</v>
      </c>
      <c r="IU13" s="2">
        <v>560.79842999999892</v>
      </c>
      <c r="IV13" s="2">
        <v>560.00491717430305</v>
      </c>
      <c r="IW13" s="2">
        <v>692.47546</v>
      </c>
      <c r="IX13" s="2">
        <v>632.25792305893003</v>
      </c>
      <c r="IY13" s="2">
        <v>519.86635000000001</v>
      </c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>
        <v>149.79259747347399</v>
      </c>
      <c r="JM13" s="2">
        <v>360.54920999999996</v>
      </c>
      <c r="JN13" s="2">
        <v>360.00316104062398</v>
      </c>
      <c r="JO13" s="2">
        <v>463.75307999999995</v>
      </c>
      <c r="JP13" s="2">
        <v>460.084812392353</v>
      </c>
      <c r="JQ13" s="2">
        <v>809.75509999999997</v>
      </c>
      <c r="JR13" s="2">
        <v>33.408374820581002</v>
      </c>
      <c r="JS13" s="2">
        <v>23.052320000000002</v>
      </c>
      <c r="JT13" s="2">
        <v>23.000201955373001</v>
      </c>
      <c r="JU13" s="2">
        <v>182.62425999999897</v>
      </c>
      <c r="JV13" s="2">
        <v>181.73828348138699</v>
      </c>
      <c r="JW13" s="2">
        <v>65.876800000000003</v>
      </c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>
        <v>1701.0042969885501</v>
      </c>
      <c r="KK13" s="2">
        <v>0</v>
      </c>
      <c r="KL13" s="2">
        <v>-4000</v>
      </c>
      <c r="KM13" s="2">
        <v>0</v>
      </c>
      <c r="KN13" s="2">
        <v>-6939.9998030771503</v>
      </c>
      <c r="KO13" s="2">
        <v>0</v>
      </c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</row>
    <row r="14" spans="1:351">
      <c r="A14" s="1" t="s">
        <v>10</v>
      </c>
      <c r="B14" s="2">
        <v>4626.8334772145836</v>
      </c>
      <c r="C14" s="2">
        <v>4354.0014800000026</v>
      </c>
      <c r="D14" s="2">
        <v>4734.1819295355226</v>
      </c>
      <c r="E14" s="2">
        <v>4597.7248300000019</v>
      </c>
      <c r="F14" s="2">
        <v>4786.9130467921723</v>
      </c>
      <c r="G14" s="2">
        <v>3828.6117799999997</v>
      </c>
      <c r="H14" s="2">
        <v>42.998664867830001</v>
      </c>
      <c r="I14" s="2">
        <v>40.988490000000006</v>
      </c>
      <c r="J14" s="2">
        <v>48.388326176397001</v>
      </c>
      <c r="K14" s="2">
        <v>47.856869999999994</v>
      </c>
      <c r="L14" s="2">
        <v>48.783562321213999</v>
      </c>
      <c r="M14" s="2">
        <v>35.632470000000005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>
        <v>170.99676693312799</v>
      </c>
      <c r="AA14" s="2">
        <v>167.2921</v>
      </c>
      <c r="AB14" s="2">
        <v>156.67874919007599</v>
      </c>
      <c r="AC14" s="2">
        <v>151.62291000000002</v>
      </c>
      <c r="AD14" s="2">
        <v>149.80000000000001</v>
      </c>
      <c r="AE14" s="2">
        <v>92.292519999999996</v>
      </c>
      <c r="AF14" s="2">
        <v>1.8384578718090001</v>
      </c>
      <c r="AG14" s="2">
        <v>7.9175700000000004</v>
      </c>
      <c r="AH14" s="2">
        <v>7.4152632684080002</v>
      </c>
      <c r="AI14" s="2">
        <v>18.505330000000001</v>
      </c>
      <c r="AJ14" s="2">
        <v>17.217727878074999</v>
      </c>
      <c r="AK14" s="2">
        <v>9.6101299999999998</v>
      </c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>
        <v>258.57150583100901</v>
      </c>
      <c r="BQ14" s="2">
        <v>147.15292999999903</v>
      </c>
      <c r="BR14" s="2">
        <v>137.81724906349299</v>
      </c>
      <c r="BS14" s="2">
        <v>141.10614999999999</v>
      </c>
      <c r="BT14" s="2">
        <v>141.56798477528901</v>
      </c>
      <c r="BU14" s="2">
        <v>99.244030000000009</v>
      </c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>
        <v>0</v>
      </c>
      <c r="DU14" s="2">
        <v>0.59559999999999991</v>
      </c>
      <c r="DV14" s="2">
        <v>0.56971548467599997</v>
      </c>
      <c r="DW14" s="2">
        <v>2.08935</v>
      </c>
      <c r="DX14" s="2">
        <v>4027.8334290350799</v>
      </c>
      <c r="DY14" s="2">
        <v>3632.3648199999989</v>
      </c>
      <c r="DZ14" s="2">
        <v>3601.91372510983</v>
      </c>
      <c r="EA14" s="2">
        <v>3608.395660000001</v>
      </c>
      <c r="EB14" s="2">
        <v>4274.15487875491</v>
      </c>
      <c r="EC14" s="2">
        <v>2951.2729000000008</v>
      </c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>
        <v>0</v>
      </c>
      <c r="GA14" s="2">
        <v>2.5606400000000002</v>
      </c>
      <c r="GB14" s="2">
        <v>2.398187794439</v>
      </c>
      <c r="GC14" s="2">
        <v>0</v>
      </c>
      <c r="GD14" s="2"/>
      <c r="GE14" s="2"/>
      <c r="GF14" s="2">
        <v>11235.31872129029</v>
      </c>
      <c r="GG14" s="2">
        <v>11088.315110000005</v>
      </c>
      <c r="GH14" s="2">
        <v>12431.51391495915</v>
      </c>
      <c r="GI14" s="2">
        <v>12284.387960000005</v>
      </c>
      <c r="GJ14" s="2">
        <v>11562.6608105655</v>
      </c>
      <c r="GK14" s="2">
        <v>8788.8371800000023</v>
      </c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>
        <v>0</v>
      </c>
      <c r="GY14" s="2">
        <v>2.1833300000000002</v>
      </c>
      <c r="GZ14" s="2">
        <v>2.044815107642</v>
      </c>
      <c r="HA14" s="2">
        <v>0</v>
      </c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>
        <v>3.3674240793529999</v>
      </c>
      <c r="HW14" s="2">
        <v>42.681820000000002</v>
      </c>
      <c r="HX14" s="2">
        <v>39.973998597399003</v>
      </c>
      <c r="HY14" s="2">
        <v>12.597660000000001</v>
      </c>
      <c r="HZ14" s="2">
        <v>2.8696213130119999</v>
      </c>
      <c r="IA14" s="2">
        <v>0</v>
      </c>
      <c r="IB14" s="2">
        <v>0.25673452133300001</v>
      </c>
      <c r="IC14" s="2">
        <v>0</v>
      </c>
      <c r="ID14" s="2"/>
      <c r="IE14" s="2"/>
      <c r="IF14" s="2"/>
      <c r="IG14" s="2"/>
      <c r="IH14" s="2">
        <v>0</v>
      </c>
      <c r="II14" s="2">
        <v>6.1598899999999999</v>
      </c>
      <c r="IJ14" s="2">
        <v>5.7690940597219997</v>
      </c>
      <c r="IK14" s="2">
        <v>0</v>
      </c>
      <c r="IL14" s="2"/>
      <c r="IM14" s="2"/>
      <c r="IN14" s="2"/>
      <c r="IO14" s="2"/>
      <c r="IP14" s="2">
        <v>0</v>
      </c>
      <c r="IQ14" s="2">
        <v>8.9069999999999996E-2</v>
      </c>
      <c r="IR14" s="2">
        <v>8.5199056782999993E-2</v>
      </c>
      <c r="IS14" s="2">
        <v>0</v>
      </c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>
        <v>0</v>
      </c>
      <c r="JY14" s="2">
        <v>355.75200000000001</v>
      </c>
      <c r="JZ14" s="2">
        <v>0</v>
      </c>
      <c r="KA14" s="2">
        <v>26.754749999999998</v>
      </c>
      <c r="KB14" s="2"/>
      <c r="KC14" s="2"/>
      <c r="KD14" s="2">
        <v>0</v>
      </c>
      <c r="KE14" s="2">
        <v>80.275200000000012</v>
      </c>
      <c r="KF14" s="2">
        <v>0</v>
      </c>
      <c r="KG14" s="2">
        <v>29.67069</v>
      </c>
      <c r="KH14" s="2"/>
      <c r="KI14" s="2"/>
      <c r="KJ14" s="2">
        <v>250.59748875352599</v>
      </c>
      <c r="KK14" s="2">
        <v>0</v>
      </c>
      <c r="KL14" s="2">
        <v>531.61191440979906</v>
      </c>
      <c r="KM14" s="2">
        <v>0</v>
      </c>
      <c r="KN14" s="2">
        <v>-1139</v>
      </c>
      <c r="KO14" s="2">
        <v>0</v>
      </c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</row>
    <row r="15" spans="1:351">
      <c r="A15" s="1" t="s">
        <v>36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>
        <v>2843.6799961063798</v>
      </c>
      <c r="CU15" s="2">
        <v>3791.6018999999997</v>
      </c>
      <c r="CV15" s="2">
        <v>3799.99999999993</v>
      </c>
      <c r="CW15" s="2">
        <v>3080.8842200000022</v>
      </c>
      <c r="CX15" s="2">
        <v>2957.4</v>
      </c>
      <c r="CY15" s="2">
        <v>1973.8788200000001</v>
      </c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>
        <v>956.00840262941097</v>
      </c>
      <c r="KK15" s="2">
        <v>0</v>
      </c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</row>
    <row r="16" spans="1:351">
      <c r="A16" s="1" t="s">
        <v>11</v>
      </c>
      <c r="B16" s="2">
        <v>0</v>
      </c>
      <c r="C16" s="2">
        <v>42.105559999999997</v>
      </c>
      <c r="D16" s="2">
        <v>39.999999999998998</v>
      </c>
      <c r="E16" s="2">
        <v>0</v>
      </c>
      <c r="F16" s="2"/>
      <c r="G16" s="2"/>
      <c r="H16" s="2">
        <v>47.999500675179</v>
      </c>
      <c r="I16" s="2">
        <v>0</v>
      </c>
      <c r="J16" s="2">
        <v>0</v>
      </c>
      <c r="K16" s="2">
        <v>345.64084000000003</v>
      </c>
      <c r="L16" s="2">
        <v>104.999996692754</v>
      </c>
      <c r="M16" s="2">
        <v>0</v>
      </c>
      <c r="N16" s="2"/>
      <c r="O16" s="2"/>
      <c r="P16" s="2"/>
      <c r="Q16" s="2"/>
      <c r="R16" s="2"/>
      <c r="S16" s="2"/>
      <c r="T16" s="2">
        <v>51.999459064779003</v>
      </c>
      <c r="U16" s="2">
        <v>40.013910000000003</v>
      </c>
      <c r="V16" s="2">
        <v>39.999999999998998</v>
      </c>
      <c r="W16" s="2">
        <v>239.41782000000001</v>
      </c>
      <c r="X16" s="2">
        <v>37.999998803091998</v>
      </c>
      <c r="Y16" s="2">
        <v>364.39881000000003</v>
      </c>
      <c r="Z16" s="2"/>
      <c r="AA16" s="2"/>
      <c r="AB16" s="2"/>
      <c r="AC16" s="2"/>
      <c r="AD16" s="2"/>
      <c r="AE16" s="2"/>
      <c r="AF16" s="2">
        <v>45.999521480380999</v>
      </c>
      <c r="AG16" s="2">
        <v>0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>
        <v>4.9999479869960002</v>
      </c>
      <c r="AS16" s="2">
        <v>87.039000000000001</v>
      </c>
      <c r="AT16" s="2">
        <v>84.999999999997996</v>
      </c>
      <c r="AU16" s="2">
        <v>0</v>
      </c>
      <c r="AV16" s="2"/>
      <c r="AW16" s="2"/>
      <c r="AX16" s="2"/>
      <c r="AY16" s="2"/>
      <c r="AZ16" s="2"/>
      <c r="BA16" s="2"/>
      <c r="BB16" s="2"/>
      <c r="BC16" s="2"/>
      <c r="BD16" s="2">
        <v>2876.9872006638543</v>
      </c>
      <c r="BE16" s="2">
        <v>3335.4885600000021</v>
      </c>
      <c r="BF16" s="2">
        <v>3334.9999999999368</v>
      </c>
      <c r="BG16" s="2">
        <v>2539.2418000000007</v>
      </c>
      <c r="BH16" s="2">
        <v>2520.9999205946056</v>
      </c>
      <c r="BI16" s="2">
        <v>2304.3166100000003</v>
      </c>
      <c r="BJ16" s="2">
        <v>56.999407051775997</v>
      </c>
      <c r="BK16" s="2">
        <v>0</v>
      </c>
      <c r="BL16" s="2">
        <v>0</v>
      </c>
      <c r="BM16" s="2">
        <v>13.300990000000001</v>
      </c>
      <c r="BN16" s="2">
        <v>13.999999559033</v>
      </c>
      <c r="BO16" s="2">
        <v>150.12020999999999</v>
      </c>
      <c r="BP16" s="2"/>
      <c r="BQ16" s="2"/>
      <c r="BR16" s="2">
        <v>0</v>
      </c>
      <c r="BS16" s="2">
        <v>4.4459900000000001</v>
      </c>
      <c r="BT16" s="2">
        <v>0</v>
      </c>
      <c r="BU16" s="2">
        <v>25.515599999999999</v>
      </c>
      <c r="BV16" s="2">
        <v>15.855169322175</v>
      </c>
      <c r="BW16" s="2">
        <v>0</v>
      </c>
      <c r="BX16" s="2">
        <v>0</v>
      </c>
      <c r="BY16" s="2">
        <v>48.79495</v>
      </c>
      <c r="BZ16" s="2">
        <v>50.999998393623002</v>
      </c>
      <c r="CA16" s="2">
        <v>0</v>
      </c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>
        <v>0</v>
      </c>
      <c r="DU16" s="2">
        <v>8.8550000000000004</v>
      </c>
      <c r="DV16" s="2">
        <v>9.9999996850239992</v>
      </c>
      <c r="DW16" s="2">
        <v>0</v>
      </c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>
        <v>39.999583895983001</v>
      </c>
      <c r="EK16" s="2">
        <v>442.20069000000001</v>
      </c>
      <c r="EL16" s="2">
        <v>50</v>
      </c>
      <c r="EM16" s="2">
        <v>13.33797</v>
      </c>
      <c r="EN16" s="2">
        <v>18.999999401545999</v>
      </c>
      <c r="EO16" s="2">
        <v>90.292699999999996</v>
      </c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>
        <v>149.99843960993999</v>
      </c>
      <c r="FO16" s="2">
        <v>0</v>
      </c>
      <c r="FP16" s="2"/>
      <c r="FQ16" s="2"/>
      <c r="FR16" s="2"/>
      <c r="FS16" s="2"/>
      <c r="FT16" s="2">
        <v>11348.491902740523</v>
      </c>
      <c r="FU16" s="2">
        <v>9944.3104000000112</v>
      </c>
      <c r="FV16" s="2">
        <v>9944.9999999998272</v>
      </c>
      <c r="FW16" s="2">
        <v>10437.544110000003</v>
      </c>
      <c r="FX16" s="2">
        <v>10397.9996724882</v>
      </c>
      <c r="FY16" s="2">
        <v>8067.2526899999993</v>
      </c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>
        <v>67.663492218779993</v>
      </c>
      <c r="JM16" s="2">
        <v>17.746980000000001</v>
      </c>
      <c r="JN16" s="2">
        <v>17.999999999999002</v>
      </c>
      <c r="JO16" s="2">
        <v>66.504949999999994</v>
      </c>
      <c r="JP16" s="2">
        <v>64.999997952656997</v>
      </c>
      <c r="JQ16" s="2">
        <v>383.87332000000004</v>
      </c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>
        <v>1171.0063752896399</v>
      </c>
      <c r="KK16" s="2">
        <v>0</v>
      </c>
      <c r="KL16" s="2">
        <v>387</v>
      </c>
      <c r="KM16" s="2">
        <v>0</v>
      </c>
      <c r="KN16" s="2">
        <v>-885.99997209314699</v>
      </c>
      <c r="KO16" s="2">
        <v>0</v>
      </c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</row>
    <row r="17" spans="1:351">
      <c r="A17" s="1" t="s">
        <v>12</v>
      </c>
      <c r="B17" s="2">
        <v>170.97015229174599</v>
      </c>
      <c r="C17" s="2">
        <v>294.85537999999997</v>
      </c>
      <c r="D17" s="2">
        <v>295.01030785911399</v>
      </c>
      <c r="E17" s="2">
        <v>131.36437000000001</v>
      </c>
      <c r="F17" s="2">
        <v>215.180981043701</v>
      </c>
      <c r="G17" s="2">
        <v>173.16701</v>
      </c>
      <c r="H17" s="2"/>
      <c r="I17" s="2"/>
      <c r="J17" s="2"/>
      <c r="K17" s="2"/>
      <c r="L17" s="2"/>
      <c r="M17" s="2"/>
      <c r="N17" s="2">
        <v>28.283698701349</v>
      </c>
      <c r="O17" s="2">
        <v>20.84703</v>
      </c>
      <c r="P17" s="2">
        <v>23.000803663591999</v>
      </c>
      <c r="Q17" s="2">
        <v>5.2334199999999997</v>
      </c>
      <c r="R17" s="2"/>
      <c r="S17" s="2"/>
      <c r="T17" s="2"/>
      <c r="U17" s="2"/>
      <c r="V17" s="2"/>
      <c r="W17" s="2"/>
      <c r="X17" s="2"/>
      <c r="Y17" s="2"/>
      <c r="Z17" s="2">
        <v>98.885238517537005</v>
      </c>
      <c r="AA17" s="2">
        <v>81.353809999999001</v>
      </c>
      <c r="AB17" s="2">
        <v>90.003144770576995</v>
      </c>
      <c r="AC17" s="2">
        <v>101.83173000000001</v>
      </c>
      <c r="AD17" s="2">
        <v>77.465153175731999</v>
      </c>
      <c r="AE17" s="2">
        <v>55.165770000000002</v>
      </c>
      <c r="AF17" s="2"/>
      <c r="AG17" s="2"/>
      <c r="AH17" s="2"/>
      <c r="AI17" s="2"/>
      <c r="AJ17" s="2"/>
      <c r="AK17" s="2"/>
      <c r="AL17" s="2">
        <v>77.155502903682006</v>
      </c>
      <c r="AM17" s="2">
        <v>43.56156</v>
      </c>
      <c r="AN17" s="2">
        <v>57.001991688032</v>
      </c>
      <c r="AO17" s="2">
        <v>76.530100000000004</v>
      </c>
      <c r="AP17" s="2">
        <v>42.079836292990002</v>
      </c>
      <c r="AQ17" s="2">
        <v>32.468809999999998</v>
      </c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>
        <v>26.99234636229</v>
      </c>
      <c r="BE17" s="2">
        <v>25.704059999999998</v>
      </c>
      <c r="BF17" s="2">
        <v>25.875117666116001</v>
      </c>
      <c r="BG17" s="2">
        <v>35.319230000000005</v>
      </c>
      <c r="BH17" s="2">
        <v>24.865357809492998</v>
      </c>
      <c r="BI17" s="2">
        <v>4.9912900000000002</v>
      </c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>
        <v>0</v>
      </c>
      <c r="CQ17" s="2">
        <v>4.9686700000000004</v>
      </c>
      <c r="CR17" s="2"/>
      <c r="CS17" s="2"/>
      <c r="CT17" s="2">
        <v>3100</v>
      </c>
      <c r="CU17" s="2">
        <v>3110.0038999999997</v>
      </c>
      <c r="CV17" s="2">
        <v>3109.1086343525049</v>
      </c>
      <c r="CW17" s="2">
        <v>2553.133780000001</v>
      </c>
      <c r="CX17" s="2">
        <v>2467.4085826344331</v>
      </c>
      <c r="CY17" s="2">
        <v>1587.433</v>
      </c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>
        <v>21.999999307052999</v>
      </c>
      <c r="IY17" s="2">
        <v>43.291759999999996</v>
      </c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>
        <v>-283.26585719461502</v>
      </c>
      <c r="KK17" s="2">
        <v>0</v>
      </c>
      <c r="KL17" s="2"/>
      <c r="KM17" s="2"/>
      <c r="KN17" s="2">
        <v>-21.999999307052999</v>
      </c>
      <c r="KO17" s="2">
        <v>0</v>
      </c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</row>
    <row r="18" spans="1:351">
      <c r="A18" s="1" t="s">
        <v>13</v>
      </c>
      <c r="B18" s="2">
        <v>687.58516753113702</v>
      </c>
      <c r="C18" s="2">
        <v>769.86040000000003</v>
      </c>
      <c r="D18" s="2">
        <v>592.02021721179392</v>
      </c>
      <c r="E18" s="2">
        <v>505.02259999999995</v>
      </c>
      <c r="F18" s="2">
        <v>584.41769861041303</v>
      </c>
      <c r="G18" s="2">
        <v>265.75504999999998</v>
      </c>
      <c r="H18" s="2">
        <v>1735.4134907559921</v>
      </c>
      <c r="I18" s="2">
        <v>1927.6943900000001</v>
      </c>
      <c r="J18" s="2">
        <v>1682.9437285665952</v>
      </c>
      <c r="K18" s="2">
        <v>1660.7953900000002</v>
      </c>
      <c r="L18" s="2">
        <v>1580.1277219384701</v>
      </c>
      <c r="M18" s="2">
        <v>793.87861999999996</v>
      </c>
      <c r="N18" s="2">
        <v>1110.017552262156</v>
      </c>
      <c r="O18" s="2">
        <v>902.86085000000003</v>
      </c>
      <c r="P18" s="2">
        <v>910.50287113439504</v>
      </c>
      <c r="Q18" s="2">
        <v>1019.96614</v>
      </c>
      <c r="R18" s="2">
        <v>959.363259748357</v>
      </c>
      <c r="S18" s="2">
        <v>524.26289000000008</v>
      </c>
      <c r="T18" s="2">
        <v>2611.0412873481887</v>
      </c>
      <c r="U18" s="2">
        <v>1841.3358999999982</v>
      </c>
      <c r="V18" s="2">
        <v>1218.320216446182</v>
      </c>
      <c r="W18" s="2">
        <v>1742.4291099999998</v>
      </c>
      <c r="X18" s="2">
        <v>1665.2556682172381</v>
      </c>
      <c r="Y18" s="2">
        <v>991.55268000000012</v>
      </c>
      <c r="Z18" s="2">
        <v>209.00345214831802</v>
      </c>
      <c r="AA18" s="2">
        <v>149.879519999998</v>
      </c>
      <c r="AB18" s="2">
        <v>119.98846452737901</v>
      </c>
      <c r="AC18" s="2">
        <v>122.03337999999998</v>
      </c>
      <c r="AD18" s="2">
        <v>123.63081984739399</v>
      </c>
      <c r="AE18" s="2">
        <v>82.511709999999994</v>
      </c>
      <c r="AF18" s="2">
        <v>606.0088868210189</v>
      </c>
      <c r="AG18" s="2">
        <v>554.212869999997</v>
      </c>
      <c r="AH18" s="2">
        <v>504.35004290439701</v>
      </c>
      <c r="AI18" s="2">
        <v>622.39345000000003</v>
      </c>
      <c r="AJ18" s="2">
        <v>577.72224216152301</v>
      </c>
      <c r="AK18" s="2">
        <v>212.96299000000002</v>
      </c>
      <c r="AL18" s="2">
        <v>1725.0256010021899</v>
      </c>
      <c r="AM18" s="2">
        <v>1823.7484600000012</v>
      </c>
      <c r="AN18" s="2">
        <v>1462.87186012498</v>
      </c>
      <c r="AO18" s="2">
        <v>1855.5075100000013</v>
      </c>
      <c r="AP18" s="2">
        <v>1744.64465182553</v>
      </c>
      <c r="AQ18" s="2">
        <v>1096.2636</v>
      </c>
      <c r="AR18" s="2">
        <v>383.90348833823703</v>
      </c>
      <c r="AS18" s="2">
        <v>428.56089999999796</v>
      </c>
      <c r="AT18" s="2">
        <v>332.59144715135301</v>
      </c>
      <c r="AU18" s="2">
        <v>304.44484999999997</v>
      </c>
      <c r="AV18" s="2">
        <v>314.68645309791503</v>
      </c>
      <c r="AW18" s="2">
        <v>181.00754999999998</v>
      </c>
      <c r="AX18" s="2">
        <v>247.89090505725</v>
      </c>
      <c r="AY18" s="2">
        <v>153.97034999999801</v>
      </c>
      <c r="AZ18" s="2">
        <v>171.44073677431902</v>
      </c>
      <c r="BA18" s="2">
        <v>132.61711</v>
      </c>
      <c r="BB18" s="2">
        <v>147.300041875619</v>
      </c>
      <c r="BC18" s="2">
        <v>102.18516</v>
      </c>
      <c r="BD18" s="2">
        <v>1464.3591618432401</v>
      </c>
      <c r="BE18" s="2">
        <v>1533.0014699999961</v>
      </c>
      <c r="BF18" s="2">
        <v>1027.0054788207792</v>
      </c>
      <c r="BG18" s="2">
        <v>919.04059999999993</v>
      </c>
      <c r="BH18" s="2">
        <v>988.05807310074795</v>
      </c>
      <c r="BI18" s="2">
        <v>580.23757000000001</v>
      </c>
      <c r="BJ18" s="2">
        <v>853.60866666666709</v>
      </c>
      <c r="BK18" s="2">
        <v>809.44442999999694</v>
      </c>
      <c r="BL18" s="2">
        <v>664.09942932295496</v>
      </c>
      <c r="BM18" s="2">
        <v>750.23397</v>
      </c>
      <c r="BN18" s="2">
        <v>793.41089578613207</v>
      </c>
      <c r="BO18" s="2">
        <v>501.83109999999999</v>
      </c>
      <c r="BP18" s="2">
        <v>358.005660999866</v>
      </c>
      <c r="BQ18" s="2">
        <v>289.98197999999996</v>
      </c>
      <c r="BR18" s="2">
        <v>205.80496725568398</v>
      </c>
      <c r="BS18" s="2">
        <v>167.64049</v>
      </c>
      <c r="BT18" s="2">
        <v>191.29875568262301</v>
      </c>
      <c r="BU18" s="2">
        <v>139.34993</v>
      </c>
      <c r="BV18" s="2">
        <v>267.43213671432994</v>
      </c>
      <c r="BW18" s="2">
        <v>271.26047999999997</v>
      </c>
      <c r="BX18" s="2">
        <v>221.33897952602601</v>
      </c>
      <c r="BY18" s="2">
        <v>216.86865000000003</v>
      </c>
      <c r="BZ18" s="2">
        <v>229.55850681914802</v>
      </c>
      <c r="CA18" s="2">
        <v>105.16600000000001</v>
      </c>
      <c r="CB18" s="2">
        <v>115.665455883535</v>
      </c>
      <c r="CC18" s="2">
        <v>117.709789999999</v>
      </c>
      <c r="CD18" s="2">
        <v>107.853714257455</v>
      </c>
      <c r="CE18" s="2">
        <v>82.864760000000004</v>
      </c>
      <c r="CF18" s="2">
        <v>112.86626585274701</v>
      </c>
      <c r="CG18" s="2">
        <v>51.45008</v>
      </c>
      <c r="CH18" s="2"/>
      <c r="CI18" s="2"/>
      <c r="CJ18" s="2"/>
      <c r="CK18" s="2"/>
      <c r="CL18" s="2"/>
      <c r="CM18" s="2"/>
      <c r="CN18" s="2">
        <v>1391.2363035419548</v>
      </c>
      <c r="CO18" s="2">
        <v>1491.8329399999989</v>
      </c>
      <c r="CP18" s="2">
        <v>1162.368802072853</v>
      </c>
      <c r="CQ18" s="2">
        <v>1341.1204900000012</v>
      </c>
      <c r="CR18" s="2">
        <v>1283.614650630403</v>
      </c>
      <c r="CS18" s="2">
        <v>888.42687000000001</v>
      </c>
      <c r="CT18" s="2">
        <v>796.01258702763607</v>
      </c>
      <c r="CU18" s="2">
        <v>400.81431999999899</v>
      </c>
      <c r="CV18" s="2">
        <v>292.91120292251799</v>
      </c>
      <c r="CW18" s="2">
        <v>437.30804999999998</v>
      </c>
      <c r="CX18" s="2">
        <v>412.24881849605305</v>
      </c>
      <c r="CY18" s="2">
        <v>257.8784</v>
      </c>
      <c r="CZ18" s="2">
        <v>19.411630356728001</v>
      </c>
      <c r="DA18" s="2">
        <v>24.240269999999001</v>
      </c>
      <c r="DB18" s="2">
        <v>30.534994213823001</v>
      </c>
      <c r="DC18" s="2">
        <v>13.902049999999999</v>
      </c>
      <c r="DD18" s="2">
        <v>22.955850681912999</v>
      </c>
      <c r="DE18" s="2">
        <v>6.4737</v>
      </c>
      <c r="DF18" s="2">
        <v>1.000010671733</v>
      </c>
      <c r="DG18" s="2">
        <v>3.7470000000000003E-2</v>
      </c>
      <c r="DH18" s="2">
        <v>3.7925577279999997E-2</v>
      </c>
      <c r="DI18" s="2">
        <v>0</v>
      </c>
      <c r="DJ18" s="2"/>
      <c r="DK18" s="2"/>
      <c r="DL18" s="2">
        <v>140.67355502600898</v>
      </c>
      <c r="DM18" s="2">
        <v>131.24084000000002</v>
      </c>
      <c r="DN18" s="2">
        <v>134.699554435256</v>
      </c>
      <c r="DO18" s="2">
        <v>142.92893000000001</v>
      </c>
      <c r="DP18" s="2">
        <v>144.43056054037999</v>
      </c>
      <c r="DQ18" s="2">
        <v>100.87509999999898</v>
      </c>
      <c r="DR18" s="2">
        <v>321.00507592446098</v>
      </c>
      <c r="DS18" s="2">
        <v>276.20186999999902</v>
      </c>
      <c r="DT18" s="2">
        <v>174.151949771099</v>
      </c>
      <c r="DU18" s="2">
        <v>213.51495</v>
      </c>
      <c r="DV18" s="2">
        <v>219.037075256604</v>
      </c>
      <c r="DW18" s="2">
        <v>112.56275000000001</v>
      </c>
      <c r="DX18" s="2">
        <v>2.3095754031999999E-2</v>
      </c>
      <c r="DY18" s="2">
        <v>0.52059999999999995</v>
      </c>
      <c r="DZ18" s="2">
        <v>0.52692969128300005</v>
      </c>
      <c r="EA18" s="2">
        <v>0.77957999999999994</v>
      </c>
      <c r="EB18" s="2">
        <v>0.95649377841299998</v>
      </c>
      <c r="EC18" s="2">
        <v>0</v>
      </c>
      <c r="ED18" s="2">
        <v>5.6667246471119999</v>
      </c>
      <c r="EE18" s="2">
        <v>3.8744400000000003</v>
      </c>
      <c r="EF18" s="2">
        <v>3.9215472014869999</v>
      </c>
      <c r="EG18" s="2">
        <v>1.69896</v>
      </c>
      <c r="EH18" s="2">
        <v>1.2833468323720001</v>
      </c>
      <c r="EI18" s="2">
        <v>1.45109</v>
      </c>
      <c r="EJ18" s="2">
        <v>177.00279887423503</v>
      </c>
      <c r="EK18" s="2">
        <v>187.058259999999</v>
      </c>
      <c r="EL18" s="2">
        <v>212.45952417745701</v>
      </c>
      <c r="EM18" s="2">
        <v>196.83912999999998</v>
      </c>
      <c r="EN18" s="2">
        <v>274.86305093721097</v>
      </c>
      <c r="EO18" s="2">
        <v>130.29004</v>
      </c>
      <c r="EP18" s="2">
        <v>54.000853893833998</v>
      </c>
      <c r="EQ18" s="2">
        <v>35.358710000000002</v>
      </c>
      <c r="ER18" s="2">
        <v>34.996635487151998</v>
      </c>
      <c r="ES18" s="2">
        <v>57.755479999999999</v>
      </c>
      <c r="ET18" s="2">
        <v>56.433132926374</v>
      </c>
      <c r="EU18" s="2">
        <v>23.405600000000003</v>
      </c>
      <c r="EV18" s="2"/>
      <c r="EW18" s="2"/>
      <c r="EX18" s="2"/>
      <c r="EY18" s="2"/>
      <c r="EZ18" s="2"/>
      <c r="FA18" s="2"/>
      <c r="FB18" s="2">
        <v>26.612816874229001</v>
      </c>
      <c r="FC18" s="2">
        <v>27.765449999999998</v>
      </c>
      <c r="FD18" s="2">
        <v>28.10303495358</v>
      </c>
      <c r="FE18" s="2">
        <v>27.973739999999999</v>
      </c>
      <c r="FF18" s="2">
        <v>26.781825795566</v>
      </c>
      <c r="FG18" s="2">
        <v>20.751389999999997</v>
      </c>
      <c r="FH18" s="2">
        <v>465.004886170276</v>
      </c>
      <c r="FI18" s="2">
        <v>453.86636999999894</v>
      </c>
      <c r="FJ18" s="2">
        <v>377.76185447391799</v>
      </c>
      <c r="FK18" s="2">
        <v>347.46800000000002</v>
      </c>
      <c r="FL18" s="2">
        <v>329.99035355252602</v>
      </c>
      <c r="FM18" s="2">
        <v>171.29803000000001</v>
      </c>
      <c r="FN18" s="2">
        <v>808.012776781821</v>
      </c>
      <c r="FO18" s="2">
        <v>659.88916999999992</v>
      </c>
      <c r="FP18" s="2">
        <v>776.77385116009305</v>
      </c>
      <c r="FQ18" s="2">
        <v>643.37861000000009</v>
      </c>
      <c r="FR18" s="2">
        <v>639.64584090005803</v>
      </c>
      <c r="FS18" s="2">
        <v>435.75815</v>
      </c>
      <c r="FT18" s="2">
        <v>7248.2176375863455</v>
      </c>
      <c r="FU18" s="2">
        <v>6989.0652800000025</v>
      </c>
      <c r="FV18" s="2">
        <v>6584.7371113359641</v>
      </c>
      <c r="FW18" s="2">
        <v>6373.201140000001</v>
      </c>
      <c r="FX18" s="2">
        <v>6358.3467135839664</v>
      </c>
      <c r="FY18" s="2">
        <v>3337.7960100000009</v>
      </c>
      <c r="FZ18" s="2"/>
      <c r="GA18" s="2"/>
      <c r="GB18" s="2"/>
      <c r="GC18" s="2"/>
      <c r="GD18" s="2"/>
      <c r="GE18" s="2"/>
      <c r="GF18" s="2">
        <v>0</v>
      </c>
      <c r="GG18" s="2">
        <v>7.8060000000000004E-2</v>
      </c>
      <c r="GH18" s="2">
        <v>1.079009088938</v>
      </c>
      <c r="GI18" s="2">
        <v>0.31612000000000001</v>
      </c>
      <c r="GJ18" s="2">
        <v>0.30236681323100001</v>
      </c>
      <c r="GK18" s="2">
        <v>3.8129999999999997E-2</v>
      </c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>
        <v>0</v>
      </c>
      <c r="GY18" s="2">
        <v>0.11334</v>
      </c>
      <c r="GZ18" s="2">
        <v>0.11471803920400001</v>
      </c>
      <c r="HA18" s="2">
        <v>0</v>
      </c>
      <c r="HB18" s="2"/>
      <c r="HC18" s="2"/>
      <c r="HD18" s="2">
        <v>0</v>
      </c>
      <c r="HE18" s="2">
        <v>7.2099999999999997E-2</v>
      </c>
      <c r="HF18" s="2">
        <v>7.2976624550999999E-2</v>
      </c>
      <c r="HG18" s="2">
        <v>0</v>
      </c>
      <c r="HH18" s="2"/>
      <c r="HI18" s="2"/>
      <c r="HJ18" s="2"/>
      <c r="HK18" s="2"/>
      <c r="HL18" s="2"/>
      <c r="HM18" s="2"/>
      <c r="HN18" s="2"/>
      <c r="HO18" s="2"/>
      <c r="HP18" s="2">
        <v>4.2090439781870002</v>
      </c>
      <c r="HQ18" s="2">
        <v>10.36131</v>
      </c>
      <c r="HR18" s="2">
        <v>8.9991348395529993</v>
      </c>
      <c r="HS18" s="2">
        <v>22.694190000000003</v>
      </c>
      <c r="HT18" s="2">
        <v>22.955850681914001</v>
      </c>
      <c r="HU18" s="2">
        <v>4.8479800000000006</v>
      </c>
      <c r="HV18" s="2"/>
      <c r="HW18" s="2"/>
      <c r="HX18" s="2"/>
      <c r="HY18" s="2"/>
      <c r="HZ18" s="2"/>
      <c r="IA18" s="2"/>
      <c r="IB18" s="2">
        <v>0.72133673464799997</v>
      </c>
      <c r="IC18" s="2">
        <v>0.32338</v>
      </c>
      <c r="ID18" s="2">
        <v>0.32731180093500001</v>
      </c>
      <c r="IE18" s="2">
        <v>2.99899</v>
      </c>
      <c r="IF18" s="2">
        <v>2.868515276523</v>
      </c>
      <c r="IG18" s="2">
        <v>0.83039999999999992</v>
      </c>
      <c r="IH18" s="2">
        <v>24</v>
      </c>
      <c r="II18" s="2">
        <v>9.2123999999990005</v>
      </c>
      <c r="IJ18" s="2">
        <v>9.3244085439410007</v>
      </c>
      <c r="IK18" s="2">
        <v>8.9146900000000002</v>
      </c>
      <c r="IL18" s="2">
        <v>17.999999433043001</v>
      </c>
      <c r="IM18" s="2">
        <v>14.437059999999997</v>
      </c>
      <c r="IN18" s="2">
        <v>0</v>
      </c>
      <c r="IO18" s="2">
        <v>4.9335399999990006</v>
      </c>
      <c r="IP18" s="2"/>
      <c r="IQ18" s="2"/>
      <c r="IR18" s="2"/>
      <c r="IS18" s="2"/>
      <c r="IT18" s="2">
        <v>738.56958331220289</v>
      </c>
      <c r="IU18" s="2">
        <v>673.6260299999999</v>
      </c>
      <c r="IV18" s="2">
        <v>510.67756220487195</v>
      </c>
      <c r="IW18" s="2">
        <v>669.19658000000004</v>
      </c>
      <c r="IX18" s="2">
        <v>549.02742880913001</v>
      </c>
      <c r="IY18" s="2">
        <v>361.14973000000003</v>
      </c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>
        <v>1497.3038787042201</v>
      </c>
      <c r="JM18" s="2">
        <v>1496.9118700000008</v>
      </c>
      <c r="JN18" s="2">
        <v>974.99072414135105</v>
      </c>
      <c r="JO18" s="2">
        <v>1247.4133600000002</v>
      </c>
      <c r="JP18" s="2">
        <v>1242.1399438272001</v>
      </c>
      <c r="JQ18" s="2">
        <v>875.43944999999894</v>
      </c>
      <c r="JR18" s="2">
        <v>50.474656584266</v>
      </c>
      <c r="JS18" s="2">
        <v>48.590490000000003</v>
      </c>
      <c r="JT18" s="2">
        <v>37.536610202653996</v>
      </c>
      <c r="JU18" s="2">
        <v>33.740789999999997</v>
      </c>
      <c r="JV18" s="2">
        <v>32.520788466044998</v>
      </c>
      <c r="JW18" s="2">
        <v>20.086870000000001</v>
      </c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>
        <v>-1256.20984829791</v>
      </c>
      <c r="KK18" s="2">
        <v>0</v>
      </c>
      <c r="KL18" s="2">
        <v>-3778</v>
      </c>
      <c r="KM18" s="2">
        <v>0</v>
      </c>
      <c r="KN18" s="2">
        <v>-644.999986550534</v>
      </c>
      <c r="KO18" s="2">
        <v>0</v>
      </c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>
        <v>0.39764808784900002</v>
      </c>
      <c r="LG18" s="2">
        <v>0.22676999999999997</v>
      </c>
      <c r="LH18" s="2">
        <v>0.229527172669</v>
      </c>
      <c r="LI18" s="2">
        <v>0</v>
      </c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</row>
    <row r="19" spans="1:351">
      <c r="A19" s="1" t="s">
        <v>14</v>
      </c>
      <c r="B19" s="2">
        <v>24.956558557104</v>
      </c>
      <c r="C19" s="2">
        <v>38.757669999999003</v>
      </c>
      <c r="D19" s="2">
        <v>28.501932387764999</v>
      </c>
      <c r="E19" s="2">
        <v>100.75474</v>
      </c>
      <c r="F19" s="2">
        <v>37.304411291785996</v>
      </c>
      <c r="G19" s="2">
        <v>12.619429999999999</v>
      </c>
      <c r="H19" s="2">
        <v>493.05989132000803</v>
      </c>
      <c r="I19" s="2">
        <v>748.89092000000005</v>
      </c>
      <c r="J19" s="2">
        <v>597.54797067875506</v>
      </c>
      <c r="K19" s="2">
        <v>286.86932999999999</v>
      </c>
      <c r="L19" s="2">
        <v>333.82665489316798</v>
      </c>
      <c r="M19" s="2">
        <v>1.9242299999999943</v>
      </c>
      <c r="N19" s="2">
        <v>244.93344326530601</v>
      </c>
      <c r="O19" s="2">
        <v>82.503010000000003</v>
      </c>
      <c r="P19" s="2">
        <v>80.505458147898992</v>
      </c>
      <c r="Q19" s="2">
        <v>139.74970999999999</v>
      </c>
      <c r="R19" s="2">
        <v>127.217607738656</v>
      </c>
      <c r="S19" s="2">
        <v>51.878790000000009</v>
      </c>
      <c r="T19" s="2">
        <v>48.989405254474995</v>
      </c>
      <c r="U19" s="2">
        <v>127.208799999999</v>
      </c>
      <c r="V19" s="2">
        <v>67.004542806326</v>
      </c>
      <c r="W19" s="2">
        <v>299.93214</v>
      </c>
      <c r="X19" s="2">
        <v>312.78314083113298</v>
      </c>
      <c r="Y19" s="2">
        <v>142.07702999999998</v>
      </c>
      <c r="Z19" s="2">
        <v>5.0619691700330005</v>
      </c>
      <c r="AA19" s="2">
        <v>3.2977599999999998</v>
      </c>
      <c r="AB19" s="2">
        <v>3.3029938297359998</v>
      </c>
      <c r="AC19" s="2">
        <v>1.9377599999999999</v>
      </c>
      <c r="AD19" s="2">
        <v>14.68577942758</v>
      </c>
      <c r="AE19" s="2">
        <v>4.2217900000000004</v>
      </c>
      <c r="AF19" s="2">
        <v>103.972833985837</v>
      </c>
      <c r="AG19" s="2">
        <v>70.61878999999999</v>
      </c>
      <c r="AH19" s="2">
        <v>51.003457957054003</v>
      </c>
      <c r="AI19" s="2">
        <v>24.277089999999998</v>
      </c>
      <c r="AJ19" s="2">
        <v>20.086990695577001</v>
      </c>
      <c r="AK19" s="2">
        <v>4.2183299999999999</v>
      </c>
      <c r="AL19" s="2">
        <v>1339.68541755602</v>
      </c>
      <c r="AM19" s="2">
        <v>917.60031000000004</v>
      </c>
      <c r="AN19" s="2">
        <v>1237.5567850790901</v>
      </c>
      <c r="AO19" s="2">
        <v>2468.774730000001</v>
      </c>
      <c r="AP19" s="2">
        <v>2025.91649015396</v>
      </c>
      <c r="AQ19" s="2">
        <v>1588.4257400000001</v>
      </c>
      <c r="AR19" s="2">
        <v>4.5851847048929999</v>
      </c>
      <c r="AS19" s="2">
        <v>6.24038</v>
      </c>
      <c r="AT19" s="2">
        <v>5.1143102383840002</v>
      </c>
      <c r="AU19" s="2">
        <v>3.2264400000000002</v>
      </c>
      <c r="AV19" s="2">
        <v>5.7391401987349999</v>
      </c>
      <c r="AW19" s="2">
        <v>0.44491999999999998</v>
      </c>
      <c r="AX19" s="2">
        <v>26.92859979544</v>
      </c>
      <c r="AY19" s="2">
        <v>17.018969999998998</v>
      </c>
      <c r="AZ19" s="2">
        <v>8.5005763261750005</v>
      </c>
      <c r="BA19" s="2">
        <v>8.4018800000000002</v>
      </c>
      <c r="BB19" s="2">
        <v>6.6956635651909995</v>
      </c>
      <c r="BC19" s="2">
        <v>7.1210599999999991</v>
      </c>
      <c r="BD19" s="2">
        <v>2449.5051708792962</v>
      </c>
      <c r="BE19" s="2">
        <v>3737.8394500000031</v>
      </c>
      <c r="BF19" s="2">
        <v>4281.4676229168454</v>
      </c>
      <c r="BG19" s="2">
        <v>2594.757090000001</v>
      </c>
      <c r="BH19" s="2">
        <v>3498.0059511298437</v>
      </c>
      <c r="BI19" s="2">
        <v>1319.35841</v>
      </c>
      <c r="BJ19" s="2">
        <v>9.9113280505489989</v>
      </c>
      <c r="BK19" s="2">
        <v>6.1578300000000006</v>
      </c>
      <c r="BL19" s="2">
        <v>6.1676030076680002</v>
      </c>
      <c r="BM19" s="2">
        <v>9.2246099999999984</v>
      </c>
      <c r="BN19" s="2">
        <v>5.7391401987349999</v>
      </c>
      <c r="BO19" s="2">
        <v>6.3153800000000002</v>
      </c>
      <c r="BP19" s="2">
        <v>7.9983700391500001</v>
      </c>
      <c r="BQ19" s="2">
        <v>7.6582100000000004</v>
      </c>
      <c r="BR19" s="2">
        <v>5.0003390153970004</v>
      </c>
      <c r="BS19" s="2">
        <v>3.5183300000000006</v>
      </c>
      <c r="BT19" s="2">
        <v>7.652186931648</v>
      </c>
      <c r="BU19" s="2">
        <v>5.7047499999999998</v>
      </c>
      <c r="BV19" s="2">
        <v>1.682624426659</v>
      </c>
      <c r="BW19" s="2">
        <v>6.59931</v>
      </c>
      <c r="BX19" s="2">
        <v>9.0003390153969995</v>
      </c>
      <c r="BY19" s="2">
        <v>7.8511600000000001</v>
      </c>
      <c r="BZ19" s="2">
        <v>6.6956635651919996</v>
      </c>
      <c r="CA19" s="2">
        <v>0.9789000000000001</v>
      </c>
      <c r="CB19" s="2">
        <v>586.43299668403199</v>
      </c>
      <c r="CC19" s="2">
        <v>747.51409999999987</v>
      </c>
      <c r="CD19" s="2">
        <v>23.001762880066</v>
      </c>
      <c r="CE19" s="2">
        <v>21.839919999999999</v>
      </c>
      <c r="CF19" s="2">
        <v>28.695700993681001</v>
      </c>
      <c r="CG19" s="2">
        <v>1.0784400000000001</v>
      </c>
      <c r="CH19" s="2"/>
      <c r="CI19" s="2"/>
      <c r="CJ19" s="2"/>
      <c r="CK19" s="2"/>
      <c r="CL19" s="2"/>
      <c r="CM19" s="2"/>
      <c r="CN19" s="2">
        <v>392.23052237553395</v>
      </c>
      <c r="CO19" s="2">
        <v>225.58909000000003</v>
      </c>
      <c r="CP19" s="2">
        <v>294.03562039728598</v>
      </c>
      <c r="CQ19" s="2">
        <v>727.06130999999993</v>
      </c>
      <c r="CR19" s="2">
        <v>216.17428081907002</v>
      </c>
      <c r="CS19" s="2">
        <v>330.01688999999999</v>
      </c>
      <c r="CT19" s="2">
        <v>2.132852536228</v>
      </c>
      <c r="CU19" s="2">
        <v>26.1144</v>
      </c>
      <c r="CV19" s="2">
        <v>13.35753345645</v>
      </c>
      <c r="CW19" s="2">
        <v>45.169800000000002</v>
      </c>
      <c r="CX19" s="2">
        <v>24.869607527853997</v>
      </c>
      <c r="CY19" s="2">
        <v>85.641000000000005</v>
      </c>
      <c r="CZ19" s="2">
        <v>3.6965092555600001</v>
      </c>
      <c r="DA19" s="2">
        <v>1.240529999999</v>
      </c>
      <c r="DB19" s="2">
        <v>1.2424988281740001</v>
      </c>
      <c r="DC19" s="2">
        <v>1.7841100000000001</v>
      </c>
      <c r="DD19" s="2">
        <v>0.95652336645500002</v>
      </c>
      <c r="DE19" s="2">
        <v>2.0186299999999999</v>
      </c>
      <c r="DF19" s="2"/>
      <c r="DG19" s="2"/>
      <c r="DH19" s="2"/>
      <c r="DI19" s="2"/>
      <c r="DJ19" s="2"/>
      <c r="DK19" s="2"/>
      <c r="DL19" s="2">
        <v>39.989133594335001</v>
      </c>
      <c r="DM19" s="2">
        <v>38.993249999999996</v>
      </c>
      <c r="DN19" s="2">
        <v>41.05513565311</v>
      </c>
      <c r="DO19" s="2">
        <v>38.389540000000004</v>
      </c>
      <c r="DP19" s="2">
        <v>37.304411291786003</v>
      </c>
      <c r="DQ19" s="2">
        <v>21.483749999999997</v>
      </c>
      <c r="DR19" s="2">
        <v>8.9978267188660013</v>
      </c>
      <c r="DS19" s="2">
        <v>9.6082999999999998</v>
      </c>
      <c r="DT19" s="2">
        <v>6.5004407200159999</v>
      </c>
      <c r="DU19" s="2">
        <v>51.897609999998998</v>
      </c>
      <c r="DV19" s="2">
        <v>54.521831887996001</v>
      </c>
      <c r="DW19" s="2">
        <v>8.9178500000000014</v>
      </c>
      <c r="DX19" s="2">
        <v>0.101482416112</v>
      </c>
      <c r="DY19" s="2">
        <v>0</v>
      </c>
      <c r="DZ19" s="2">
        <v>0</v>
      </c>
      <c r="EA19" s="2">
        <v>0.20302000000000001</v>
      </c>
      <c r="EB19" s="2"/>
      <c r="EC19" s="2"/>
      <c r="ED19" s="2"/>
      <c r="EE19" s="2"/>
      <c r="EF19" s="2"/>
      <c r="EG19" s="2"/>
      <c r="EH19" s="2">
        <v>0</v>
      </c>
      <c r="EI19" s="2">
        <v>0.10105</v>
      </c>
      <c r="EJ19" s="2">
        <v>3.9934664777890001</v>
      </c>
      <c r="EK19" s="2">
        <v>4.849589999999</v>
      </c>
      <c r="EL19" s="2">
        <v>2.0001356061590001</v>
      </c>
      <c r="EM19" s="2">
        <v>8.4386700000000001</v>
      </c>
      <c r="EN19" s="2">
        <v>12.652186963146001</v>
      </c>
      <c r="EO19" s="2">
        <v>64.612070000000003</v>
      </c>
      <c r="EP19" s="2">
        <v>4.9986416992910003</v>
      </c>
      <c r="EQ19" s="2">
        <v>1.3882899999999998</v>
      </c>
      <c r="ER19" s="2">
        <v>3.3904933360479999</v>
      </c>
      <c r="ES19" s="2">
        <v>7.6690399999999999</v>
      </c>
      <c r="ET19" s="2">
        <v>7.652186931648</v>
      </c>
      <c r="EU19" s="2">
        <v>5.0941299999999998</v>
      </c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>
        <v>72.147744008809994</v>
      </c>
      <c r="FI19" s="2">
        <v>57.758929999999992</v>
      </c>
      <c r="FJ19" s="2">
        <v>53.503559661673997</v>
      </c>
      <c r="FK19" s="2">
        <v>111.58926</v>
      </c>
      <c r="FL19" s="2">
        <v>55.478355254451998</v>
      </c>
      <c r="FM19" s="2">
        <v>44.277809999999995</v>
      </c>
      <c r="FN19" s="2">
        <v>22.993751816743</v>
      </c>
      <c r="FO19" s="2">
        <v>26.154549999999002</v>
      </c>
      <c r="FP19" s="2">
        <v>26.196059528149</v>
      </c>
      <c r="FQ19" s="2">
        <v>5.8068999999999997</v>
      </c>
      <c r="FR19" s="2">
        <v>10.065471733022001</v>
      </c>
      <c r="FS19" s="2">
        <v>3.5291600000000001</v>
      </c>
      <c r="FT19" s="2">
        <v>12620.459300606781</v>
      </c>
      <c r="FU19" s="2">
        <v>13327.73939000001</v>
      </c>
      <c r="FV19" s="2">
        <v>18582.603820562708</v>
      </c>
      <c r="FW19" s="2">
        <v>19640.326110000002</v>
      </c>
      <c r="FX19" s="2">
        <v>19574.999383434941</v>
      </c>
      <c r="FY19" s="2">
        <v>9028.5679400000026</v>
      </c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>
        <v>0</v>
      </c>
      <c r="HE19" s="2">
        <v>0.39415</v>
      </c>
      <c r="HF19" s="2">
        <v>0.39477555006699999</v>
      </c>
      <c r="HG19" s="2">
        <v>0</v>
      </c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>
        <v>0.26849276580999998</v>
      </c>
      <c r="IC19" s="2">
        <v>1.0302500000000001</v>
      </c>
      <c r="ID19" s="2">
        <v>1.031006204581</v>
      </c>
      <c r="IE19" s="2">
        <v>1.41987</v>
      </c>
      <c r="IF19" s="2">
        <v>1.1320454042000001</v>
      </c>
      <c r="IG19" s="2">
        <v>0.45174000000000003</v>
      </c>
      <c r="IH19" s="2"/>
      <c r="II19" s="2"/>
      <c r="IJ19" s="2"/>
      <c r="IK19" s="2"/>
      <c r="IL19" s="2"/>
      <c r="IM19" s="2"/>
      <c r="IN19" s="2">
        <v>3.4655236031999999E-2</v>
      </c>
      <c r="IO19" s="2">
        <v>1.46651</v>
      </c>
      <c r="IP19" s="2"/>
      <c r="IQ19" s="2"/>
      <c r="IR19" s="2"/>
      <c r="IS19" s="2"/>
      <c r="IT19" s="2">
        <v>54.985058692210998</v>
      </c>
      <c r="IU19" s="2">
        <v>232.15168000000006</v>
      </c>
      <c r="IV19" s="2">
        <v>192.01417084361699</v>
      </c>
      <c r="IW19" s="2">
        <v>15.553779999999998</v>
      </c>
      <c r="IX19" s="2">
        <v>30.608747726593002</v>
      </c>
      <c r="IY19" s="2">
        <v>53.170739999999995</v>
      </c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>
        <v>252.331954000873</v>
      </c>
      <c r="JM19" s="2">
        <v>421.2133</v>
      </c>
      <c r="JN19" s="2">
        <v>1011.2663656533</v>
      </c>
      <c r="JO19" s="2">
        <v>903.78742000000011</v>
      </c>
      <c r="JP19" s="2">
        <v>936.61017227702405</v>
      </c>
      <c r="JQ19" s="2">
        <v>439.82870000000099</v>
      </c>
      <c r="JR19" s="2">
        <v>0.104486810417</v>
      </c>
      <c r="JS19" s="2">
        <v>0</v>
      </c>
      <c r="JT19" s="2">
        <v>0</v>
      </c>
      <c r="JU19" s="2">
        <v>0.18895999999999999</v>
      </c>
      <c r="JV19" s="2">
        <v>0.180744655325</v>
      </c>
      <c r="JW19" s="2">
        <v>0</v>
      </c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>
        <v>831.19724398651795</v>
      </c>
      <c r="KK19" s="2">
        <v>0</v>
      </c>
      <c r="KL19" s="2">
        <v>-7632.7272756818202</v>
      </c>
      <c r="KM19" s="2">
        <v>0</v>
      </c>
      <c r="KN19" s="2">
        <v>-1474.99996721102</v>
      </c>
      <c r="KO19" s="2">
        <v>0</v>
      </c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</row>
    <row r="20" spans="1:351">
      <c r="A20" s="1" t="s">
        <v>32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>
        <v>0</v>
      </c>
      <c r="CC20" s="2">
        <v>345.59213</v>
      </c>
      <c r="CD20" s="2">
        <v>399.99999999999301</v>
      </c>
      <c r="CE20" s="2">
        <v>199.77035999999995</v>
      </c>
      <c r="CF20" s="2">
        <v>204.804681049149</v>
      </c>
      <c r="CG20" s="2">
        <v>132.23114999999999</v>
      </c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>
        <v>109.99999999999299</v>
      </c>
      <c r="DM20" s="2">
        <v>109.68978999999899</v>
      </c>
      <c r="DN20" s="2">
        <v>199.99999999999599</v>
      </c>
      <c r="DO20" s="2">
        <v>172.57925</v>
      </c>
      <c r="DP20" s="2">
        <v>162.69530737549201</v>
      </c>
      <c r="DQ20" s="2">
        <v>127.66417</v>
      </c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</row>
    <row r="21" spans="1:351">
      <c r="A21" s="1" t="s">
        <v>15</v>
      </c>
      <c r="B21" s="2">
        <v>13906.166666666701</v>
      </c>
      <c r="C21" s="2">
        <v>13589.575560000018</v>
      </c>
      <c r="D21" s="2">
        <v>30252.3999999997</v>
      </c>
      <c r="E21" s="2">
        <v>30897.433540000009</v>
      </c>
      <c r="F21" s="2">
        <v>43695.610343514803</v>
      </c>
      <c r="G21" s="2">
        <v>37689.880320000011</v>
      </c>
      <c r="H21" s="2">
        <v>23806.749999998901</v>
      </c>
      <c r="I21" s="2">
        <v>23843.01213000001</v>
      </c>
      <c r="J21" s="2">
        <v>25977.999999999502</v>
      </c>
      <c r="K21" s="2">
        <v>26486.070210000009</v>
      </c>
      <c r="L21" s="2">
        <v>26848.5116742877</v>
      </c>
      <c r="M21" s="2">
        <v>20654.449679999998</v>
      </c>
      <c r="N21" s="2">
        <v>91517.999999994994</v>
      </c>
      <c r="O21" s="2">
        <v>88318.368660000095</v>
      </c>
      <c r="P21" s="2">
        <v>80011.999999998705</v>
      </c>
      <c r="Q21" s="2">
        <v>80523.381870000027</v>
      </c>
      <c r="R21" s="2">
        <v>52237.4</v>
      </c>
      <c r="S21" s="2">
        <v>37957.082250000014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>
        <v>0</v>
      </c>
      <c r="AS21" s="2">
        <v>0</v>
      </c>
      <c r="AT21" s="2"/>
      <c r="AU21" s="2"/>
      <c r="AV21" s="2"/>
      <c r="AW21" s="2"/>
      <c r="AX21" s="2">
        <v>47.999999999997002</v>
      </c>
      <c r="AY21" s="2">
        <v>101.73084</v>
      </c>
      <c r="AZ21" s="2"/>
      <c r="BA21" s="2"/>
      <c r="BB21" s="2"/>
      <c r="BC21" s="2"/>
      <c r="BD21" s="2">
        <v>9922.4999999995198</v>
      </c>
      <c r="BE21" s="2">
        <v>9961.217760000005</v>
      </c>
      <c r="BF21" s="2">
        <v>10788.199999999901</v>
      </c>
      <c r="BG21" s="2">
        <v>10787.310540000008</v>
      </c>
      <c r="BH21" s="2">
        <v>13090.6003928437</v>
      </c>
      <c r="BI21" s="2">
        <v>8775.5207399999999</v>
      </c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>
        <v>23169.999999998701</v>
      </c>
      <c r="CC21" s="2">
        <v>19891.752160000007</v>
      </c>
      <c r="CD21" s="2">
        <v>24211.2278075916</v>
      </c>
      <c r="CE21" s="2">
        <v>24198.32923000001</v>
      </c>
      <c r="CF21" s="2">
        <v>26157.999135951501</v>
      </c>
      <c r="CG21" s="2">
        <v>18776.842740000011</v>
      </c>
      <c r="CH21" s="2">
        <v>2194.9999999998799</v>
      </c>
      <c r="CI21" s="2">
        <v>2182.955240000002</v>
      </c>
      <c r="CJ21" s="2">
        <v>2287.97674415048</v>
      </c>
      <c r="CK21" s="2">
        <v>2282.5625800000007</v>
      </c>
      <c r="CL21" s="2">
        <v>2390.9999246892899</v>
      </c>
      <c r="CM21" s="2">
        <v>1763.1011100000001</v>
      </c>
      <c r="CN21" s="2">
        <v>42069.833333331298</v>
      </c>
      <c r="CO21" s="2">
        <v>42336.414330000021</v>
      </c>
      <c r="CP21" s="2">
        <v>52804.999999999403</v>
      </c>
      <c r="CQ21" s="2">
        <v>53543.097310000026</v>
      </c>
      <c r="CR21" s="2">
        <v>54000.110288033902</v>
      </c>
      <c r="CS21" s="2">
        <v>40956.143160000007</v>
      </c>
      <c r="CT21" s="2">
        <v>126091.666666661</v>
      </c>
      <c r="CU21" s="2">
        <v>126928.81922000003</v>
      </c>
      <c r="CV21" s="2">
        <v>141999.601744721</v>
      </c>
      <c r="CW21" s="2">
        <v>141977.1617600001</v>
      </c>
      <c r="CX21" s="2">
        <v>165826.031940399</v>
      </c>
      <c r="CY21" s="2">
        <v>130875.51934000001</v>
      </c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>
        <v>16602.999999999101</v>
      </c>
      <c r="DM21" s="2">
        <v>16751.356320000014</v>
      </c>
      <c r="DN21" s="2">
        <v>19905.9999999996</v>
      </c>
      <c r="DO21" s="2">
        <v>20318.86525000001</v>
      </c>
      <c r="DP21" s="2">
        <v>20251.905245513</v>
      </c>
      <c r="DQ21" s="2">
        <v>15480.456900000001</v>
      </c>
      <c r="DR21" s="2">
        <v>137272.99999999299</v>
      </c>
      <c r="DS21" s="2">
        <v>136983.97836000004</v>
      </c>
      <c r="DT21" s="2">
        <v>159999.99999999799</v>
      </c>
      <c r="DU21" s="2">
        <v>166512.97672000012</v>
      </c>
      <c r="DV21" s="2">
        <v>205000.41667259799</v>
      </c>
      <c r="DW21" s="2">
        <v>152253.19144999998</v>
      </c>
      <c r="DX21" s="2"/>
      <c r="DY21" s="2"/>
      <c r="DZ21" s="2">
        <v>2000</v>
      </c>
      <c r="EA21" s="2">
        <v>1943.8442200000025</v>
      </c>
      <c r="EB21" s="2">
        <v>2869.5640475467198</v>
      </c>
      <c r="EC21" s="2">
        <v>974.72220999999979</v>
      </c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>
        <v>157157.49999999299</v>
      </c>
      <c r="FU21" s="2">
        <v>164514.0038500001</v>
      </c>
      <c r="FV21" s="2">
        <v>173552.72222077701</v>
      </c>
      <c r="FW21" s="2">
        <v>176393.9797600001</v>
      </c>
      <c r="FX21" s="2">
        <v>210302.994505437</v>
      </c>
      <c r="FY21" s="2">
        <v>161570.85697999998</v>
      </c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>
        <v>3.4000000000000002E-4</v>
      </c>
      <c r="IO21" s="2">
        <v>0</v>
      </c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>
        <v>-18815</v>
      </c>
      <c r="KK21" s="2">
        <v>0</v>
      </c>
      <c r="KL21" s="2">
        <v>-68793.231564438305</v>
      </c>
      <c r="KM21" s="2">
        <v>0</v>
      </c>
      <c r="KN21" s="2">
        <v>-129194.152683359</v>
      </c>
      <c r="KO21" s="2">
        <v>0</v>
      </c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</row>
    <row r="22" spans="1:351">
      <c r="A22" s="1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>
        <v>1300</v>
      </c>
      <c r="M22" s="2">
        <v>1263.7614000000001</v>
      </c>
      <c r="N22" s="2"/>
      <c r="O22" s="2"/>
      <c r="P22" s="2">
        <v>0</v>
      </c>
      <c r="Q22" s="2">
        <v>513.83006999999998</v>
      </c>
      <c r="R22" s="2">
        <v>3443.1191296453298</v>
      </c>
      <c r="S22" s="2">
        <v>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>
        <v>400</v>
      </c>
      <c r="AK22" s="2">
        <v>105.82962000000001</v>
      </c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>
        <v>0</v>
      </c>
      <c r="BG22" s="2">
        <v>2903.6028000000001</v>
      </c>
      <c r="BH22" s="2">
        <v>2041.4</v>
      </c>
      <c r="BI22" s="2">
        <v>4631.7922600000002</v>
      </c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>
        <v>0</v>
      </c>
      <c r="CS22" s="2">
        <v>62.288939999999997</v>
      </c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>
        <v>0</v>
      </c>
      <c r="DO22" s="2">
        <v>57.302819999999997</v>
      </c>
      <c r="DP22" s="2">
        <v>0</v>
      </c>
      <c r="DQ22" s="2">
        <v>209.37616</v>
      </c>
      <c r="DR22" s="2"/>
      <c r="DS22" s="2"/>
      <c r="DT22" s="2">
        <v>0</v>
      </c>
      <c r="DU22" s="2">
        <v>8384.6052300000028</v>
      </c>
      <c r="DV22" s="2">
        <v>7087.279835511732</v>
      </c>
      <c r="DW22" s="2">
        <v>3872.8047300000026</v>
      </c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>
        <v>0</v>
      </c>
      <c r="FW22" s="2">
        <v>15377.514769999998</v>
      </c>
      <c r="FX22" s="2">
        <v>18312.529556840029</v>
      </c>
      <c r="FY22" s="2">
        <v>18658.687140000002</v>
      </c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>
        <v>-3708</v>
      </c>
      <c r="KO22" s="2">
        <v>0</v>
      </c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</row>
    <row r="23" spans="1:351">
      <c r="A23" s="1" t="s">
        <v>16</v>
      </c>
      <c r="B23" s="2">
        <v>141.61874765479999</v>
      </c>
      <c r="C23" s="2">
        <v>139.001419999999</v>
      </c>
      <c r="D23" s="2">
        <v>132.985603299464</v>
      </c>
      <c r="E23" s="2">
        <v>147.27146999999999</v>
      </c>
      <c r="F23" s="2">
        <v>148.459208608675</v>
      </c>
      <c r="G23" s="2">
        <v>106.18778999999999</v>
      </c>
      <c r="H23" s="2">
        <v>147.584020930039</v>
      </c>
      <c r="I23" s="2">
        <v>145.58625999999902</v>
      </c>
      <c r="J23" s="2">
        <v>139.28545922921199</v>
      </c>
      <c r="K23" s="2">
        <v>160.56819000000002</v>
      </c>
      <c r="L23" s="2">
        <v>162.05054460805999</v>
      </c>
      <c r="M23" s="2">
        <v>117.98098</v>
      </c>
      <c r="N23" s="2">
        <v>161.26016369494701</v>
      </c>
      <c r="O23" s="2">
        <v>159.124979999998</v>
      </c>
      <c r="P23" s="2">
        <v>152.238239474929</v>
      </c>
      <c r="Q23" s="2">
        <v>156.36211999999998</v>
      </c>
      <c r="R23" s="2">
        <v>158.91408245435599</v>
      </c>
      <c r="S23" s="2">
        <v>112.75915000000001</v>
      </c>
      <c r="T23" s="2">
        <v>338.15319078963103</v>
      </c>
      <c r="U23" s="2">
        <v>307.03353999999797</v>
      </c>
      <c r="V23" s="2">
        <v>293.74549231274102</v>
      </c>
      <c r="W23" s="2">
        <v>314.97825</v>
      </c>
      <c r="X23" s="2">
        <v>322.31910851762302</v>
      </c>
      <c r="Y23" s="2">
        <v>215.27346</v>
      </c>
      <c r="Z23" s="2">
        <v>285.67019092571297</v>
      </c>
      <c r="AA23" s="2">
        <v>279.61144999999902</v>
      </c>
      <c r="AB23" s="2">
        <v>267.51019786479998</v>
      </c>
      <c r="AC23" s="2">
        <v>283.73850999999996</v>
      </c>
      <c r="AD23" s="2">
        <v>289.60000552537304</v>
      </c>
      <c r="AE23" s="2">
        <v>200.31689</v>
      </c>
      <c r="AF23" s="2">
        <v>323.44416157539297</v>
      </c>
      <c r="AG23" s="2">
        <v>279.82059999999899</v>
      </c>
      <c r="AH23" s="2">
        <v>267.71029610070201</v>
      </c>
      <c r="AI23" s="2">
        <v>283.10723000000002</v>
      </c>
      <c r="AJ23" s="2">
        <v>286.46354337166997</v>
      </c>
      <c r="AK23" s="2">
        <v>197.92158000000001</v>
      </c>
      <c r="AL23" s="2">
        <v>783.37599152075393</v>
      </c>
      <c r="AM23" s="2">
        <v>662.60240999999894</v>
      </c>
      <c r="AN23" s="2">
        <v>633.92576307155196</v>
      </c>
      <c r="AO23" s="2">
        <v>726.72677999999996</v>
      </c>
      <c r="AP23" s="2">
        <v>722.431782736581</v>
      </c>
      <c r="AQ23" s="2">
        <v>553.65380000000005</v>
      </c>
      <c r="AR23" s="2">
        <v>366.43357545566602</v>
      </c>
      <c r="AS23" s="2">
        <v>466.09693999999894</v>
      </c>
      <c r="AT23" s="2">
        <v>759.99999999998397</v>
      </c>
      <c r="AU23" s="2">
        <v>798.93216999999993</v>
      </c>
      <c r="AV23" s="2">
        <v>799.79784919462304</v>
      </c>
      <c r="AW23" s="2">
        <v>498.5351</v>
      </c>
      <c r="AX23" s="2">
        <v>567.05084023028098</v>
      </c>
      <c r="AY23" s="2">
        <v>293.360039999999</v>
      </c>
      <c r="AZ23" s="2">
        <v>280.66376518567301</v>
      </c>
      <c r="BA23" s="2">
        <v>434.43230999999992</v>
      </c>
      <c r="BB23" s="2">
        <v>455.83249967170798</v>
      </c>
      <c r="BC23" s="2">
        <v>221.82271000000003</v>
      </c>
      <c r="BD23" s="2">
        <v>408.04091383464896</v>
      </c>
      <c r="BE23" s="2">
        <v>397.29569999999802</v>
      </c>
      <c r="BF23" s="2">
        <v>380.101213014824</v>
      </c>
      <c r="BG23" s="2">
        <v>383.29291999999998</v>
      </c>
      <c r="BH23" s="2">
        <v>397.285206135892</v>
      </c>
      <c r="BI23" s="2">
        <v>276.31792000000002</v>
      </c>
      <c r="BJ23" s="2">
        <v>258.18543857716196</v>
      </c>
      <c r="BK23" s="2">
        <v>242.95456999999902</v>
      </c>
      <c r="BL23" s="2">
        <v>232.43978418214499</v>
      </c>
      <c r="BM23" s="2">
        <v>240.57325000000003</v>
      </c>
      <c r="BN23" s="2">
        <v>242.55307321980598</v>
      </c>
      <c r="BO23" s="2">
        <v>199.83798000000002</v>
      </c>
      <c r="BP23" s="2">
        <v>102.35574733398501</v>
      </c>
      <c r="BQ23" s="2">
        <v>102.27654999999901</v>
      </c>
      <c r="BR23" s="2">
        <v>97.850142143423</v>
      </c>
      <c r="BS23" s="2">
        <v>94.993499999999997</v>
      </c>
      <c r="BT23" s="2">
        <v>97.230326764835993</v>
      </c>
      <c r="BU23" s="2">
        <v>68.152299999999997</v>
      </c>
      <c r="BV23" s="2">
        <v>149.515707689967</v>
      </c>
      <c r="BW23" s="2">
        <v>140.60604999999802</v>
      </c>
      <c r="BX23" s="2">
        <v>134.52078681501601</v>
      </c>
      <c r="BY23" s="2">
        <v>139.87569999999999</v>
      </c>
      <c r="BZ23" s="2">
        <v>149.504695993242</v>
      </c>
      <c r="CA23" s="2">
        <v>94.947000000000017</v>
      </c>
      <c r="CB23" s="2">
        <v>56.396107639848999</v>
      </c>
      <c r="CC23" s="2">
        <v>51.260659999999007</v>
      </c>
      <c r="CD23" s="2">
        <v>49.042159393974003</v>
      </c>
      <c r="CE23" s="2">
        <v>44.618859999999998</v>
      </c>
      <c r="CF23" s="2">
        <v>46.001444920997997</v>
      </c>
      <c r="CG23" s="2">
        <v>60.58193</v>
      </c>
      <c r="CH23" s="2"/>
      <c r="CI23" s="2"/>
      <c r="CJ23" s="2"/>
      <c r="CK23" s="2"/>
      <c r="CL23" s="2"/>
      <c r="CM23" s="2"/>
      <c r="CN23" s="2">
        <v>153.53362100097598</v>
      </c>
      <c r="CO23" s="2">
        <v>172.88974999999704</v>
      </c>
      <c r="CP23" s="2">
        <v>165.40728654457899</v>
      </c>
      <c r="CQ23" s="2">
        <v>167.73877999999999</v>
      </c>
      <c r="CR23" s="2">
        <v>172.50541845374102</v>
      </c>
      <c r="CS23" s="2">
        <v>130.13337999999999</v>
      </c>
      <c r="CT23" s="2">
        <v>13.922779073685998</v>
      </c>
      <c r="CU23" s="2">
        <v>3.3948</v>
      </c>
      <c r="CV23" s="2">
        <v>3.2478770798240002</v>
      </c>
      <c r="CW23" s="2">
        <v>3.1785999999999999</v>
      </c>
      <c r="CX23" s="2">
        <v>2.6591935786120002</v>
      </c>
      <c r="CY23" s="2">
        <v>2.6852500000000004</v>
      </c>
      <c r="CZ23" s="2">
        <v>1.370033470629</v>
      </c>
      <c r="DA23" s="2">
        <v>3.2406999999999999</v>
      </c>
      <c r="DB23" s="2">
        <v>3.1004463451689999</v>
      </c>
      <c r="DC23" s="2">
        <v>1.6974</v>
      </c>
      <c r="DD23" s="2">
        <v>3.1364621537020003</v>
      </c>
      <c r="DE23" s="2">
        <v>2.8864999999999998</v>
      </c>
      <c r="DF23" s="2">
        <v>0.98775375318799996</v>
      </c>
      <c r="DG23" s="2">
        <v>0</v>
      </c>
      <c r="DH23" s="2"/>
      <c r="DI23" s="2"/>
      <c r="DJ23" s="2"/>
      <c r="DK23" s="2"/>
      <c r="DL23" s="2">
        <v>16.786690278470999</v>
      </c>
      <c r="DM23" s="2">
        <v>29.401559999999996</v>
      </c>
      <c r="DN23" s="2">
        <v>28.129095332588999</v>
      </c>
      <c r="DO23" s="2">
        <v>35.787669999999999</v>
      </c>
      <c r="DP23" s="2">
        <v>39.728520613588998</v>
      </c>
      <c r="DQ23" s="2">
        <v>11.314590000000001</v>
      </c>
      <c r="DR23" s="2">
        <v>81.216263717605003</v>
      </c>
      <c r="DS23" s="2">
        <v>61.724429999998996</v>
      </c>
      <c r="DT23" s="2">
        <v>59.053069830981002</v>
      </c>
      <c r="DU23" s="2">
        <v>81.910930000000008</v>
      </c>
      <c r="DV23" s="2">
        <v>81.548015996312984</v>
      </c>
      <c r="DW23" s="2">
        <v>45.434850000000004</v>
      </c>
      <c r="DX23" s="2"/>
      <c r="DY23" s="2"/>
      <c r="DZ23" s="2"/>
      <c r="EA23" s="2"/>
      <c r="EB23" s="2">
        <v>0</v>
      </c>
      <c r="EC23" s="2">
        <v>0.41399999999999998</v>
      </c>
      <c r="ED23" s="2">
        <v>0</v>
      </c>
      <c r="EE23" s="2">
        <v>18.432200000000002</v>
      </c>
      <c r="EF23" s="2">
        <v>17.634476231511002</v>
      </c>
      <c r="EG23" s="2">
        <v>43.815000000000005</v>
      </c>
      <c r="EH23" s="2">
        <v>48.092419690134001</v>
      </c>
      <c r="EI23" s="2">
        <v>38.567099999999996</v>
      </c>
      <c r="EJ23" s="2">
        <v>97.237959967284993</v>
      </c>
      <c r="EK23" s="2">
        <v>94.801549999998997</v>
      </c>
      <c r="EL23" s="2">
        <v>90.698651283377998</v>
      </c>
      <c r="EM23" s="2">
        <v>93.900999999999996</v>
      </c>
      <c r="EN23" s="2">
        <v>96.184839380266993</v>
      </c>
      <c r="EO23" s="2">
        <v>73.131799999999998</v>
      </c>
      <c r="EP23" s="2"/>
      <c r="EQ23" s="2"/>
      <c r="ER23" s="2"/>
      <c r="ES23" s="2"/>
      <c r="ET23" s="2">
        <v>0</v>
      </c>
      <c r="EU23" s="2">
        <v>0.41399999999999998</v>
      </c>
      <c r="EV23" s="2">
        <v>13.349172054103001</v>
      </c>
      <c r="EW23" s="2">
        <v>1.9136</v>
      </c>
      <c r="EX23" s="2">
        <v>1.8307816601710001</v>
      </c>
      <c r="EY23" s="2">
        <v>0</v>
      </c>
      <c r="EZ23" s="2">
        <v>0</v>
      </c>
      <c r="FA23" s="2">
        <v>4.9610000000000003</v>
      </c>
      <c r="FB23" s="2">
        <v>4.5640913396169998</v>
      </c>
      <c r="FC23" s="2">
        <v>0</v>
      </c>
      <c r="FD23" s="2"/>
      <c r="FE23" s="2"/>
      <c r="FF23" s="2"/>
      <c r="FG23" s="2"/>
      <c r="FH23" s="2">
        <v>38.895183986913999</v>
      </c>
      <c r="FI23" s="2">
        <v>34.194920000000003</v>
      </c>
      <c r="FJ23" s="2">
        <v>32.715004393313997</v>
      </c>
      <c r="FK23" s="2">
        <v>35.520060000000001</v>
      </c>
      <c r="FL23" s="2">
        <v>35.994551875814999</v>
      </c>
      <c r="FM23" s="2">
        <v>23.959429999999998</v>
      </c>
      <c r="FN23" s="2">
        <v>21.025383651873998</v>
      </c>
      <c r="FO23" s="2">
        <v>14.071399999998999</v>
      </c>
      <c r="FP23" s="2">
        <v>13.462406486696</v>
      </c>
      <c r="FQ23" s="2">
        <v>17.077500000000001</v>
      </c>
      <c r="FR23" s="2">
        <v>19.285142619672001</v>
      </c>
      <c r="FS23" s="2">
        <v>13.661999999999999</v>
      </c>
      <c r="FT23" s="2">
        <v>71.256153001496997</v>
      </c>
      <c r="FU23" s="2">
        <v>61.354140000000001</v>
      </c>
      <c r="FV23" s="2">
        <v>58.698805543278993</v>
      </c>
      <c r="FW23" s="2">
        <v>62.43582</v>
      </c>
      <c r="FX23" s="2">
        <v>64.820217843224</v>
      </c>
      <c r="FY23" s="2">
        <v>51.823109999999993</v>
      </c>
      <c r="FZ23" s="2"/>
      <c r="GA23" s="2"/>
      <c r="GB23" s="2"/>
      <c r="GC23" s="2"/>
      <c r="GD23" s="2"/>
      <c r="GE23" s="2"/>
      <c r="GF23" s="2">
        <v>31.104016847905999</v>
      </c>
      <c r="GG23" s="2">
        <v>488.40674000000007</v>
      </c>
      <c r="GH23" s="2">
        <v>467.269075196676</v>
      </c>
      <c r="GI23" s="2">
        <v>31.197279999999999</v>
      </c>
      <c r="GJ23" s="2">
        <v>32.488162308602</v>
      </c>
      <c r="GK23" s="2">
        <v>21.889429999999997</v>
      </c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>
        <v>0</v>
      </c>
      <c r="HA23" s="2">
        <v>-1.7181999999999999</v>
      </c>
      <c r="HB23" s="2"/>
      <c r="HC23" s="2"/>
      <c r="HD23" s="2">
        <v>0.90477446321900001</v>
      </c>
      <c r="HE23" s="2">
        <v>0.43802000000000002</v>
      </c>
      <c r="HF23" s="2">
        <v>0.41906301357999998</v>
      </c>
      <c r="HG23" s="2">
        <v>0</v>
      </c>
      <c r="HH23" s="2">
        <v>0</v>
      </c>
      <c r="HI23" s="2">
        <v>1.3552</v>
      </c>
      <c r="HJ23" s="2"/>
      <c r="HK23" s="2"/>
      <c r="HL23" s="2"/>
      <c r="HM23" s="2"/>
      <c r="HN23" s="2"/>
      <c r="HO23" s="2"/>
      <c r="HP23" s="2">
        <v>0</v>
      </c>
      <c r="HQ23" s="2">
        <v>2.6571599999999997</v>
      </c>
      <c r="HR23" s="2">
        <v>2.5421612647059999</v>
      </c>
      <c r="HS23" s="2">
        <v>0.88571999999999995</v>
      </c>
      <c r="HT23" s="2">
        <v>1.0454873845679999</v>
      </c>
      <c r="HU23" s="2">
        <v>0.94379999999999997</v>
      </c>
      <c r="HV23" s="2">
        <v>0</v>
      </c>
      <c r="HW23" s="2">
        <v>0.78602000000000005</v>
      </c>
      <c r="HX23" s="2">
        <v>0.75200198606199997</v>
      </c>
      <c r="HY23" s="2">
        <v>0</v>
      </c>
      <c r="HZ23" s="2">
        <v>0</v>
      </c>
      <c r="IA23" s="2">
        <v>0.41399999999999998</v>
      </c>
      <c r="IB23" s="2">
        <v>3.7925545678089998</v>
      </c>
      <c r="IC23" s="2">
        <v>0</v>
      </c>
      <c r="ID23" s="2"/>
      <c r="IE23" s="2"/>
      <c r="IF23" s="2"/>
      <c r="IG23" s="2"/>
      <c r="IH23" s="2">
        <v>158.51181756768599</v>
      </c>
      <c r="II23" s="2">
        <v>184.83789000000002</v>
      </c>
      <c r="IJ23" s="2">
        <v>176.83832520739799</v>
      </c>
      <c r="IK23" s="2">
        <v>186.40815999999998</v>
      </c>
      <c r="IL23" s="2">
        <v>193.41516614510499</v>
      </c>
      <c r="IM23" s="2">
        <v>131.89319</v>
      </c>
      <c r="IN23" s="2"/>
      <c r="IO23" s="2"/>
      <c r="IP23" s="2"/>
      <c r="IQ23" s="2"/>
      <c r="IR23" s="2"/>
      <c r="IS23" s="2"/>
      <c r="IT23" s="2">
        <v>276.638952824</v>
      </c>
      <c r="IU23" s="2">
        <v>291.62633</v>
      </c>
      <c r="IV23" s="2">
        <v>279.00508809952203</v>
      </c>
      <c r="IW23" s="2">
        <v>271.53216000000003</v>
      </c>
      <c r="IX23" s="2">
        <v>277.054156910556</v>
      </c>
      <c r="IY23" s="2">
        <v>212.01105999999999</v>
      </c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>
        <v>127.667600840219</v>
      </c>
      <c r="JM23" s="2">
        <v>143.34154999999899</v>
      </c>
      <c r="JN23" s="2">
        <v>137.13789761737999</v>
      </c>
      <c r="JO23" s="2">
        <v>147.95768000000001</v>
      </c>
      <c r="JP23" s="2">
        <v>150.550183377812</v>
      </c>
      <c r="JQ23" s="2">
        <v>111.92865</v>
      </c>
      <c r="JR23" s="2">
        <v>294.784552321879</v>
      </c>
      <c r="JS23" s="2">
        <v>268.58911999999998</v>
      </c>
      <c r="JT23" s="2">
        <v>256.96490124253597</v>
      </c>
      <c r="JU23" s="2">
        <v>238.57898000000003</v>
      </c>
      <c r="JV23" s="2">
        <v>238.37112368153501</v>
      </c>
      <c r="JW23" s="2">
        <v>214.4298</v>
      </c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>
        <v>177.317231131119</v>
      </c>
      <c r="KS23" s="2">
        <v>0</v>
      </c>
      <c r="KT23" s="2"/>
      <c r="KU23" s="2"/>
      <c r="KV23" s="2"/>
      <c r="KW23" s="2"/>
      <c r="KX23" s="2"/>
      <c r="KY23" s="2"/>
      <c r="KZ23" s="2"/>
      <c r="LA23" s="2"/>
      <c r="LB23" s="2">
        <v>1.6</v>
      </c>
      <c r="LC23" s="2">
        <v>9.999778782798785E-13</v>
      </c>
      <c r="LD23" s="2"/>
      <c r="LE23" s="2"/>
      <c r="LF23" s="2">
        <v>2.0471149466790002</v>
      </c>
      <c r="LG23" s="2">
        <v>6.0179</v>
      </c>
      <c r="LH23" s="2">
        <v>5.7574524209589999</v>
      </c>
      <c r="LI23" s="2">
        <v>2.7152399999999997</v>
      </c>
      <c r="LJ23" s="2">
        <v>1.6773855616910001</v>
      </c>
      <c r="LK23" s="2">
        <v>0</v>
      </c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</row>
    <row r="24" spans="1:351">
      <c r="A24" s="1" t="s">
        <v>115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>
        <v>0</v>
      </c>
      <c r="IO24" s="2">
        <v>-817.99518999999884</v>
      </c>
      <c r="IP24" s="2">
        <v>0</v>
      </c>
      <c r="IQ24" s="2">
        <v>-636.66300000000297</v>
      </c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>
        <v>-110000.08825248</v>
      </c>
      <c r="KK24" s="2">
        <v>-86532.716160000098</v>
      </c>
      <c r="KL24" s="2">
        <v>-19999.9999999996</v>
      </c>
      <c r="KM24" s="2">
        <v>-63626.533319999995</v>
      </c>
      <c r="KN24" s="2">
        <v>-57391</v>
      </c>
      <c r="KO24" s="2">
        <v>-59910.255550000096</v>
      </c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</row>
    <row r="25" spans="1:351">
      <c r="A25" s="1" t="s">
        <v>72</v>
      </c>
      <c r="B25" s="2">
        <v>288096.13520087517</v>
      </c>
      <c r="C25" s="2">
        <v>291968.42575000023</v>
      </c>
      <c r="D25" s="2">
        <v>273956.72768896958</v>
      </c>
      <c r="E25" s="2">
        <v>275857.88060000003</v>
      </c>
      <c r="F25" s="2">
        <v>259550.15401140408</v>
      </c>
      <c r="G25" s="2">
        <v>185476.75328</v>
      </c>
      <c r="H25" s="2">
        <v>4800.0165098212792</v>
      </c>
      <c r="I25" s="2">
        <v>4782.7967099999987</v>
      </c>
      <c r="J25" s="2">
        <v>5810.9682996453248</v>
      </c>
      <c r="K25" s="2">
        <v>5572.478680000002</v>
      </c>
      <c r="L25" s="2">
        <v>5766.6206074949778</v>
      </c>
      <c r="M25" s="2">
        <v>4707.5308700000005</v>
      </c>
      <c r="N25" s="2">
        <v>15551.156689632335</v>
      </c>
      <c r="O25" s="2">
        <v>14393.480110000011</v>
      </c>
      <c r="P25" s="2">
        <v>14199.203434842402</v>
      </c>
      <c r="Q25" s="2">
        <v>13185.888120000003</v>
      </c>
      <c r="R25" s="2">
        <v>15594.791859268169</v>
      </c>
      <c r="S25" s="2">
        <v>10942.246710000001</v>
      </c>
      <c r="T25" s="2">
        <v>15803.430459410924</v>
      </c>
      <c r="U25" s="2">
        <v>17544.50593000001</v>
      </c>
      <c r="V25" s="2">
        <v>17366.454672131302</v>
      </c>
      <c r="W25" s="2">
        <v>17335.757940000003</v>
      </c>
      <c r="X25" s="2">
        <v>17917.508500694217</v>
      </c>
      <c r="Y25" s="2">
        <v>12918.165120000001</v>
      </c>
      <c r="Z25" s="2">
        <v>7163.1437505939857</v>
      </c>
      <c r="AA25" s="2">
        <v>7167.4557699999968</v>
      </c>
      <c r="AB25" s="2">
        <v>7242.1964515897052</v>
      </c>
      <c r="AC25" s="2">
        <v>7155.627040000003</v>
      </c>
      <c r="AD25" s="2">
        <v>7669.2483465655432</v>
      </c>
      <c r="AE25" s="2">
        <v>5052.4299000000019</v>
      </c>
      <c r="AF25" s="2">
        <v>56142.627052156764</v>
      </c>
      <c r="AG25" s="2">
        <v>55740.115560000027</v>
      </c>
      <c r="AH25" s="2">
        <v>60575.325480957996</v>
      </c>
      <c r="AI25" s="2">
        <v>62066.97459000002</v>
      </c>
      <c r="AJ25" s="2">
        <v>62963.188025067298</v>
      </c>
      <c r="AK25" s="2">
        <v>44215.490410000013</v>
      </c>
      <c r="AL25" s="2">
        <v>11902.513414863506</v>
      </c>
      <c r="AM25" s="2">
        <v>10654.341940000002</v>
      </c>
      <c r="AN25" s="2">
        <v>11146.764867498572</v>
      </c>
      <c r="AO25" s="2">
        <v>11066.559320000002</v>
      </c>
      <c r="AP25" s="2">
        <v>11149.407369673445</v>
      </c>
      <c r="AQ25" s="2">
        <v>8979.9055800000006</v>
      </c>
      <c r="AR25" s="2">
        <v>8890.5723659432824</v>
      </c>
      <c r="AS25" s="2">
        <v>6727.7226900000005</v>
      </c>
      <c r="AT25" s="2">
        <v>8677.150376029982</v>
      </c>
      <c r="AU25" s="2">
        <v>7863.3832500000008</v>
      </c>
      <c r="AV25" s="2">
        <v>9348.2145053465611</v>
      </c>
      <c r="AW25" s="2">
        <v>7305.0530000000017</v>
      </c>
      <c r="AX25" s="2">
        <v>3691.1343979625308</v>
      </c>
      <c r="AY25" s="2">
        <v>3346.5255199999997</v>
      </c>
      <c r="AZ25" s="2">
        <v>4293.9194465689925</v>
      </c>
      <c r="BA25" s="2">
        <v>3809.4697400000005</v>
      </c>
      <c r="BB25" s="2">
        <v>4357.4948819944839</v>
      </c>
      <c r="BC25" s="2">
        <v>3564.4242300000014</v>
      </c>
      <c r="BD25" s="2">
        <v>5355.8152812963281</v>
      </c>
      <c r="BE25" s="2">
        <v>5217.8941899999973</v>
      </c>
      <c r="BF25" s="2">
        <v>6044.1032003331657</v>
      </c>
      <c r="BG25" s="2">
        <v>5463.9694</v>
      </c>
      <c r="BH25" s="2">
        <v>6600.7558511693514</v>
      </c>
      <c r="BI25" s="2">
        <v>4511.6996799999997</v>
      </c>
      <c r="BJ25" s="2">
        <v>47222.192997264967</v>
      </c>
      <c r="BK25" s="2">
        <v>45282.951449999993</v>
      </c>
      <c r="BL25" s="2">
        <v>51431.553088075911</v>
      </c>
      <c r="BM25" s="2">
        <v>51906.604630000002</v>
      </c>
      <c r="BN25" s="2">
        <v>50540.1318270052</v>
      </c>
      <c r="BO25" s="2">
        <v>35836.366310000012</v>
      </c>
      <c r="BP25" s="2">
        <v>12093.618968883547</v>
      </c>
      <c r="BQ25" s="2">
        <v>11060.983680000003</v>
      </c>
      <c r="BR25" s="2">
        <v>13181.914324381865</v>
      </c>
      <c r="BS25" s="2">
        <v>11027.394390000001</v>
      </c>
      <c r="BT25" s="2">
        <v>13179.811662156424</v>
      </c>
      <c r="BU25" s="2">
        <v>12021.097119999999</v>
      </c>
      <c r="BV25" s="2">
        <v>1867.1121975060669</v>
      </c>
      <c r="BW25" s="2">
        <v>1878.1205199999999</v>
      </c>
      <c r="BX25" s="2">
        <v>1877.168903060377</v>
      </c>
      <c r="BY25" s="2">
        <v>2260.568850000001</v>
      </c>
      <c r="BZ25" s="2">
        <v>2381.3537700261459</v>
      </c>
      <c r="CA25" s="2">
        <v>1914.0757199999998</v>
      </c>
      <c r="CB25" s="2">
        <v>9707.6912544582847</v>
      </c>
      <c r="CC25" s="2">
        <v>8567.0508700000028</v>
      </c>
      <c r="CD25" s="2">
        <v>8965.4188179052253</v>
      </c>
      <c r="CE25" s="2">
        <v>8923.8999600000061</v>
      </c>
      <c r="CF25" s="2">
        <v>8938.9738409527909</v>
      </c>
      <c r="CG25" s="2">
        <v>6551.078190000002</v>
      </c>
      <c r="CH25" s="2">
        <v>228.30428485553199</v>
      </c>
      <c r="CI25" s="2">
        <v>226.89152000000001</v>
      </c>
      <c r="CJ25" s="2">
        <v>441.12542946351101</v>
      </c>
      <c r="CK25" s="2">
        <v>438.50782000000004</v>
      </c>
      <c r="CL25" s="2">
        <v>440.99998610956902</v>
      </c>
      <c r="CM25" s="2">
        <v>303.06705999999997</v>
      </c>
      <c r="CN25" s="2">
        <v>2394.9039615043935</v>
      </c>
      <c r="CO25" s="2">
        <v>2421.8360599999987</v>
      </c>
      <c r="CP25" s="2">
        <v>2726.5166356204109</v>
      </c>
      <c r="CQ25" s="2">
        <v>2702.7122400000012</v>
      </c>
      <c r="CR25" s="2">
        <v>3463.2386601880089</v>
      </c>
      <c r="CS25" s="2">
        <v>2375.14966</v>
      </c>
      <c r="CT25" s="2">
        <v>1027.506763114003</v>
      </c>
      <c r="CU25" s="2">
        <v>1979.2443599999992</v>
      </c>
      <c r="CV25" s="2">
        <v>1979.4586255053159</v>
      </c>
      <c r="CW25" s="2">
        <v>1914.8213700000001</v>
      </c>
      <c r="CX25" s="2">
        <v>1981.999937571803</v>
      </c>
      <c r="CY25" s="2">
        <v>1492.8266599999999</v>
      </c>
      <c r="CZ25" s="2">
        <v>104.320726772462</v>
      </c>
      <c r="DA25" s="2">
        <v>74.06392999999899</v>
      </c>
      <c r="DB25" s="2">
        <v>74.250026050596006</v>
      </c>
      <c r="DC25" s="2">
        <v>63.93647</v>
      </c>
      <c r="DD25" s="2">
        <v>74.703677647012995</v>
      </c>
      <c r="DE25" s="2">
        <v>41.437899999999992</v>
      </c>
      <c r="DF25" s="2">
        <v>86.581388003870984</v>
      </c>
      <c r="DG25" s="2">
        <v>81.502389999997988</v>
      </c>
      <c r="DH25" s="2">
        <v>81.93912641783001</v>
      </c>
      <c r="DI25" s="2">
        <v>77.436540000000008</v>
      </c>
      <c r="DJ25" s="2">
        <v>83.347137374765992</v>
      </c>
      <c r="DK25" s="2">
        <v>50.938650000000003</v>
      </c>
      <c r="DL25" s="2">
        <v>363.36357045119001</v>
      </c>
      <c r="DM25" s="2">
        <v>363.15095000000002</v>
      </c>
      <c r="DN25" s="2">
        <v>392.98921411763502</v>
      </c>
      <c r="DO25" s="2">
        <v>385.35228000000006</v>
      </c>
      <c r="DP25" s="2">
        <v>491.30759783224698</v>
      </c>
      <c r="DQ25" s="2">
        <v>295.77179999999998</v>
      </c>
      <c r="DR25" s="2">
        <v>1971.1515422070452</v>
      </c>
      <c r="DS25" s="2">
        <v>1801.510589999998</v>
      </c>
      <c r="DT25" s="2">
        <v>1803.93180515059</v>
      </c>
      <c r="DU25" s="2">
        <v>1822.8087800000003</v>
      </c>
      <c r="DV25" s="2">
        <v>2037.7333441999133</v>
      </c>
      <c r="DW25" s="2">
        <v>1273.9925399999997</v>
      </c>
      <c r="DX25" s="2">
        <v>1537.0832769734182</v>
      </c>
      <c r="DY25" s="2">
        <v>1513.9893800000011</v>
      </c>
      <c r="DZ25" s="2">
        <v>1514.4652160961182</v>
      </c>
      <c r="EA25" s="2">
        <v>1490.0433499999999</v>
      </c>
      <c r="EB25" s="2">
        <v>1511.7611823831799</v>
      </c>
      <c r="EC25" s="2">
        <v>1004.9749899999998</v>
      </c>
      <c r="ED25" s="2">
        <v>4074.9768432628439</v>
      </c>
      <c r="EE25" s="2">
        <v>3834.3476900000019</v>
      </c>
      <c r="EF25" s="2">
        <v>3908.1860427184201</v>
      </c>
      <c r="EG25" s="2">
        <v>3858.9077300000008</v>
      </c>
      <c r="EH25" s="2">
        <v>3887.7751075444999</v>
      </c>
      <c r="EI25" s="2">
        <v>2717.1592000000014</v>
      </c>
      <c r="EJ25" s="2">
        <v>3388.6714830194474</v>
      </c>
      <c r="EK25" s="2">
        <v>3870.1579700000002</v>
      </c>
      <c r="EL25" s="2">
        <v>2298.3497079656017</v>
      </c>
      <c r="EM25" s="2">
        <v>2334.6649900000002</v>
      </c>
      <c r="EN25" s="2">
        <v>2442.6657611317601</v>
      </c>
      <c r="EO25" s="2">
        <v>1313.61914</v>
      </c>
      <c r="EP25" s="2">
        <v>152.68703128174801</v>
      </c>
      <c r="EQ25" s="2">
        <v>147.025059999999</v>
      </c>
      <c r="ER25" s="2">
        <v>147.32206055210901</v>
      </c>
      <c r="ES25" s="2">
        <v>142.05047999999999</v>
      </c>
      <c r="ET25" s="2">
        <v>159.553990605292</v>
      </c>
      <c r="EU25" s="2">
        <v>107.29355000000001</v>
      </c>
      <c r="EV25" s="2">
        <v>12.255690868121</v>
      </c>
      <c r="EW25" s="2">
        <v>26.964089999999999</v>
      </c>
      <c r="EX25" s="2">
        <v>26.975640841493998</v>
      </c>
      <c r="EY25" s="2">
        <v>23.153539999999996</v>
      </c>
      <c r="EZ25" s="2">
        <v>35.592359193901999</v>
      </c>
      <c r="FA25" s="2">
        <v>10.700359999999002</v>
      </c>
      <c r="FB25" s="2">
        <v>1643.3416407373229</v>
      </c>
      <c r="FC25" s="2">
        <v>1632.6005300000008</v>
      </c>
      <c r="FD25" s="2">
        <v>2118.293166224315</v>
      </c>
      <c r="FE25" s="2">
        <v>1905.7286099999999</v>
      </c>
      <c r="FF25" s="2">
        <v>2126.6041698401959</v>
      </c>
      <c r="FG25" s="2">
        <v>1125.3604600000001</v>
      </c>
      <c r="FH25" s="2">
        <v>698.67405283565904</v>
      </c>
      <c r="FI25" s="2">
        <v>695.68504999999902</v>
      </c>
      <c r="FJ25" s="2">
        <v>696.65389259398501</v>
      </c>
      <c r="FK25" s="2">
        <v>693.6169900000001</v>
      </c>
      <c r="FL25" s="2">
        <v>697.12203804234503</v>
      </c>
      <c r="FM25" s="2">
        <v>503.63886000000002</v>
      </c>
      <c r="FN25" s="2">
        <v>14496.151165338473</v>
      </c>
      <c r="FO25" s="2">
        <v>12732.173080000008</v>
      </c>
      <c r="FP25" s="2">
        <v>14032.26961295748</v>
      </c>
      <c r="FQ25" s="2">
        <v>13691.356880000005</v>
      </c>
      <c r="FR25" s="2">
        <v>14135.74412383351</v>
      </c>
      <c r="FS25" s="2">
        <v>10684.846280000003</v>
      </c>
      <c r="FT25" s="2">
        <v>23426.703313676313</v>
      </c>
      <c r="FU25" s="2">
        <v>26300.311780000011</v>
      </c>
      <c r="FV25" s="2">
        <v>29649.08341144583</v>
      </c>
      <c r="FW25" s="2">
        <v>28381.208220000008</v>
      </c>
      <c r="FX25" s="2">
        <v>30242.263314651096</v>
      </c>
      <c r="FY25" s="2">
        <v>21167.048940000004</v>
      </c>
      <c r="FZ25" s="2">
        <v>55689.653739221372</v>
      </c>
      <c r="GA25" s="2">
        <v>54212.468570000019</v>
      </c>
      <c r="GB25" s="2">
        <v>58958.212511421531</v>
      </c>
      <c r="GC25" s="2">
        <v>60812.661500000031</v>
      </c>
      <c r="GD25" s="2">
        <v>59999.663166516722</v>
      </c>
      <c r="GE25" s="2">
        <v>46803.170390000007</v>
      </c>
      <c r="GF25" s="2">
        <v>31936.728723487518</v>
      </c>
      <c r="GG25" s="2">
        <v>31741.956970000025</v>
      </c>
      <c r="GH25" s="2">
        <v>37196.149409114754</v>
      </c>
      <c r="GI25" s="2">
        <v>38631.359930000006</v>
      </c>
      <c r="GJ25" s="2">
        <v>38631.389766165783</v>
      </c>
      <c r="GK25" s="2">
        <v>30081.004410000009</v>
      </c>
      <c r="GL25" s="2">
        <v>40999.107146035094</v>
      </c>
      <c r="GM25" s="2">
        <v>41169.032580000021</v>
      </c>
      <c r="GN25" s="2">
        <v>41554.018888839833</v>
      </c>
      <c r="GO25" s="2">
        <v>41753.43033000001</v>
      </c>
      <c r="GP25" s="2">
        <v>40736.998716883194</v>
      </c>
      <c r="GQ25" s="2">
        <v>30241.314340000015</v>
      </c>
      <c r="GR25" s="2">
        <v>1.466704282642</v>
      </c>
      <c r="GS25" s="2">
        <v>0.04</v>
      </c>
      <c r="GT25" s="2">
        <v>3.9999698665999998E-2</v>
      </c>
      <c r="GU25" s="2">
        <v>0</v>
      </c>
      <c r="GV25" s="2">
        <v>0</v>
      </c>
      <c r="GW25" s="2">
        <v>1.01122</v>
      </c>
      <c r="GX25" s="2">
        <v>4518.6969642346021</v>
      </c>
      <c r="GY25" s="2">
        <v>4578.7997100000021</v>
      </c>
      <c r="GZ25" s="2">
        <v>4642.4730856097585</v>
      </c>
      <c r="HA25" s="2">
        <v>4683.2952900000009</v>
      </c>
      <c r="HB25" s="2">
        <v>3957.7293415857271</v>
      </c>
      <c r="HC25" s="2">
        <v>3052.8755799999999</v>
      </c>
      <c r="HD25" s="2">
        <v>1198.1272008686601</v>
      </c>
      <c r="HE25" s="2">
        <v>1189.1130300000009</v>
      </c>
      <c r="HF25" s="2">
        <v>1190.4647263627801</v>
      </c>
      <c r="HG25" s="2">
        <v>1157.514650000001</v>
      </c>
      <c r="HH25" s="2">
        <v>1361.9999571003</v>
      </c>
      <c r="HI25" s="2">
        <v>685.80604999999991</v>
      </c>
      <c r="HJ25" s="2">
        <v>0</v>
      </c>
      <c r="HK25" s="2">
        <v>0.23154</v>
      </c>
      <c r="HL25" s="2">
        <v>0.23196071397199999</v>
      </c>
      <c r="HM25" s="2">
        <v>0</v>
      </c>
      <c r="HN25" s="2"/>
      <c r="HO25" s="2"/>
      <c r="HP25" s="2">
        <v>14265.2314158881</v>
      </c>
      <c r="HQ25" s="2">
        <v>16727.44906000001</v>
      </c>
      <c r="HR25" s="2">
        <v>17325.295485825201</v>
      </c>
      <c r="HS25" s="2">
        <v>17398.212309999999</v>
      </c>
      <c r="HT25" s="2">
        <v>18953.177543185</v>
      </c>
      <c r="HU25" s="2">
        <v>13973.88615</v>
      </c>
      <c r="HV25" s="2">
        <v>20243.500778194099</v>
      </c>
      <c r="HW25" s="2">
        <v>20986.84884000001</v>
      </c>
      <c r="HX25" s="2">
        <v>24488.070993027901</v>
      </c>
      <c r="HY25" s="2">
        <v>24550.31180000001</v>
      </c>
      <c r="HZ25" s="2">
        <v>24487.0112287185</v>
      </c>
      <c r="IA25" s="2">
        <v>17786.704560000009</v>
      </c>
      <c r="IB25" s="2">
        <v>4265.4918855611886</v>
      </c>
      <c r="IC25" s="2">
        <v>4341.4840100000029</v>
      </c>
      <c r="ID25" s="2">
        <v>7126.7162258066337</v>
      </c>
      <c r="IE25" s="2">
        <v>6872.1275800000012</v>
      </c>
      <c r="IF25" s="2">
        <v>7880.3221502035831</v>
      </c>
      <c r="IG25" s="2">
        <v>5902.1200400000007</v>
      </c>
      <c r="IH25" s="2">
        <v>9178.0777077049788</v>
      </c>
      <c r="II25" s="2">
        <v>10449.246350000005</v>
      </c>
      <c r="IJ25" s="2">
        <v>9007.6525947934806</v>
      </c>
      <c r="IK25" s="2">
        <v>16381.45012000001</v>
      </c>
      <c r="IL25" s="2">
        <v>13217.94708650444</v>
      </c>
      <c r="IM25" s="2">
        <v>11179.060210000011</v>
      </c>
      <c r="IN25" s="2">
        <v>360.52512986876297</v>
      </c>
      <c r="IO25" s="2">
        <v>2558.4294199999995</v>
      </c>
      <c r="IP25" s="2">
        <v>2849.0050187408187</v>
      </c>
      <c r="IQ25" s="2">
        <v>2854.7779100000007</v>
      </c>
      <c r="IR25" s="2">
        <v>3760.977230651421</v>
      </c>
      <c r="IS25" s="2">
        <v>2229.1018800000011</v>
      </c>
      <c r="IT25" s="2">
        <v>35072.065565590252</v>
      </c>
      <c r="IU25" s="2">
        <v>32866.464150000014</v>
      </c>
      <c r="IV25" s="2">
        <v>35999.866001777467</v>
      </c>
      <c r="IW25" s="2">
        <v>35986.293730000012</v>
      </c>
      <c r="IX25" s="2">
        <v>36045.997328102378</v>
      </c>
      <c r="IY25" s="2">
        <v>28813.043640000011</v>
      </c>
      <c r="IZ25" s="2">
        <v>0</v>
      </c>
      <c r="JA25" s="2">
        <v>43.093330000000002</v>
      </c>
      <c r="JB25" s="2">
        <v>65.733283269283007</v>
      </c>
      <c r="JC25" s="2">
        <v>65.088279999999997</v>
      </c>
      <c r="JD25" s="2">
        <v>66.807997927206998</v>
      </c>
      <c r="JE25" s="2">
        <v>45.462820000000001</v>
      </c>
      <c r="JF25" s="2">
        <v>10.451205002133999</v>
      </c>
      <c r="JG25" s="2">
        <v>10.939999999998999</v>
      </c>
      <c r="JH25" s="2">
        <v>11.094806266407</v>
      </c>
      <c r="JI25" s="2">
        <v>10.222</v>
      </c>
      <c r="JJ25" s="2">
        <v>10.999999653526</v>
      </c>
      <c r="JK25" s="2">
        <v>5.68</v>
      </c>
      <c r="JL25" s="2">
        <v>3359.6997193913598</v>
      </c>
      <c r="JM25" s="2">
        <v>3318.5625300000015</v>
      </c>
      <c r="JN25" s="2">
        <v>3543.2701150048802</v>
      </c>
      <c r="JO25" s="2">
        <v>3164.5926400000008</v>
      </c>
      <c r="JP25" s="2">
        <v>3909.3694227553401</v>
      </c>
      <c r="JQ25" s="2">
        <v>2799.7141000000015</v>
      </c>
      <c r="JR25" s="2">
        <v>2449.5848714849071</v>
      </c>
      <c r="JS25" s="2">
        <v>2507.4761399999988</v>
      </c>
      <c r="JT25" s="2">
        <v>2687.8612672445524</v>
      </c>
      <c r="JU25" s="2">
        <v>2766.9383000000003</v>
      </c>
      <c r="JV25" s="2">
        <v>2963.9999172873677</v>
      </c>
      <c r="JW25" s="2">
        <v>2203.7213300000003</v>
      </c>
      <c r="JX25" s="2">
        <v>0</v>
      </c>
      <c r="JY25" s="2">
        <v>515.98511999999994</v>
      </c>
      <c r="JZ25" s="2">
        <v>0</v>
      </c>
      <c r="KA25" s="2">
        <v>408.72781000000003</v>
      </c>
      <c r="KB25" s="2">
        <v>0</v>
      </c>
      <c r="KC25" s="2">
        <v>526.31411000000003</v>
      </c>
      <c r="KD25" s="2">
        <v>0</v>
      </c>
      <c r="KE25" s="2">
        <v>8508.0273599999928</v>
      </c>
      <c r="KF25" s="2">
        <v>0</v>
      </c>
      <c r="KG25" s="2">
        <v>8868.0997899999984</v>
      </c>
      <c r="KH25" s="2">
        <v>9499.9997007730199</v>
      </c>
      <c r="KI25" s="2">
        <v>4151.5433700000003</v>
      </c>
      <c r="KJ25" s="2">
        <v>-132186.643856632</v>
      </c>
      <c r="KK25" s="2">
        <v>-195508.42221000011</v>
      </c>
      <c r="KL25" s="2">
        <v>-99098.985631948104</v>
      </c>
      <c r="KM25" s="2">
        <v>-143178.08201000001</v>
      </c>
      <c r="KN25" s="2">
        <v>-106276.588023545</v>
      </c>
      <c r="KO25" s="2">
        <v>-69354.961179999998</v>
      </c>
      <c r="KP25" s="2">
        <v>0</v>
      </c>
      <c r="KQ25" s="2">
        <v>23.286449999999999</v>
      </c>
      <c r="KR25" s="2">
        <v>0</v>
      </c>
      <c r="KS25" s="2">
        <v>0.56281000000000003</v>
      </c>
      <c r="KT25" s="2">
        <v>0.53558998312899997</v>
      </c>
      <c r="KU25" s="2">
        <v>0</v>
      </c>
      <c r="KV25" s="2">
        <v>0</v>
      </c>
      <c r="KW25" s="2">
        <v>99.519350000000017</v>
      </c>
      <c r="KX25" s="2">
        <v>0</v>
      </c>
      <c r="KY25" s="2">
        <v>-184.60693000000001</v>
      </c>
      <c r="KZ25" s="2">
        <v>6.9999997795169695E-5</v>
      </c>
      <c r="LA25" s="2">
        <v>0</v>
      </c>
      <c r="LB25" s="2">
        <v>0</v>
      </c>
      <c r="LC25" s="2">
        <v>9.999778782798785E-13</v>
      </c>
      <c r="LD25" s="2">
        <v>0.71</v>
      </c>
      <c r="LE25" s="2">
        <v>0</v>
      </c>
      <c r="LF25" s="2">
        <v>2223.0781433394131</v>
      </c>
      <c r="LG25" s="2">
        <v>2401.4325800000015</v>
      </c>
      <c r="LH25" s="2">
        <v>4403.4489457165764</v>
      </c>
      <c r="LI25" s="2">
        <v>4456.4060900000004</v>
      </c>
      <c r="LJ25" s="2">
        <v>4781.0815516123412</v>
      </c>
      <c r="LK25" s="2">
        <v>2468.7250100000001</v>
      </c>
      <c r="LL25" s="2">
        <v>0</v>
      </c>
      <c r="LM25" s="2">
        <v>0.18129999999999999</v>
      </c>
      <c r="LN25" s="2">
        <v>0</v>
      </c>
      <c r="LO25" s="2">
        <v>0.18976999999999999</v>
      </c>
      <c r="LP25" s="2">
        <v>105.223655403853</v>
      </c>
      <c r="LQ25" s="2">
        <v>103.776</v>
      </c>
      <c r="LR25" s="2">
        <v>104.99994346383301</v>
      </c>
      <c r="LS25" s="2">
        <v>103.58110000000001</v>
      </c>
      <c r="LT25" s="2">
        <v>104.999996692754</v>
      </c>
      <c r="LU25" s="2">
        <v>0</v>
      </c>
      <c r="LV25" s="2">
        <v>455.31920318361199</v>
      </c>
      <c r="LW25" s="2">
        <v>295.09154999999998</v>
      </c>
      <c r="LX25" s="2">
        <v>444.81310161143398</v>
      </c>
      <c r="LY25" s="2">
        <v>451.73370999999997</v>
      </c>
      <c r="LZ25" s="2">
        <v>520.99998708599298</v>
      </c>
      <c r="MA25" s="2">
        <v>393.40831000000003</v>
      </c>
      <c r="MB25" s="2">
        <v>0</v>
      </c>
      <c r="MC25" s="2">
        <v>14.56</v>
      </c>
      <c r="MD25" s="2">
        <v>19.999999370047998</v>
      </c>
      <c r="ME25" s="2">
        <v>0</v>
      </c>
      <c r="MF25" s="2">
        <v>0</v>
      </c>
      <c r="MG25" s="2">
        <v>314.08029999999997</v>
      </c>
      <c r="MH25" s="2">
        <v>0</v>
      </c>
      <c r="MI25" s="2">
        <v>31.642099999999999</v>
      </c>
      <c r="MJ25" s="2">
        <v>0</v>
      </c>
      <c r="MK25" s="2">
        <v>37.19905</v>
      </c>
      <c r="ML25" s="2">
        <v>125</v>
      </c>
      <c r="MM25" s="2">
        <v>79.669849999999997</v>
      </c>
    </row>
    <row r="26" spans="1:351">
      <c r="A26" s="1" t="s">
        <v>73</v>
      </c>
      <c r="B26" s="2">
        <v>33499.999999998698</v>
      </c>
      <c r="C26" s="2">
        <v>33482.32432</v>
      </c>
      <c r="D26" s="2">
        <v>30029.931643671502</v>
      </c>
      <c r="E26" s="2">
        <v>33311.645710000026</v>
      </c>
      <c r="F26" s="2">
        <v>30029.599999999999</v>
      </c>
      <c r="G26" s="2">
        <v>19553.959770000001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>
        <v>0</v>
      </c>
      <c r="IQ26" s="2">
        <v>0</v>
      </c>
      <c r="IR26" s="2"/>
      <c r="IS26" s="2"/>
      <c r="IT26" s="2"/>
      <c r="IU26" s="2"/>
      <c r="IV26" s="2">
        <v>0</v>
      </c>
      <c r="IW26" s="2">
        <v>0</v>
      </c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>
        <v>-1000</v>
      </c>
      <c r="KK26" s="2">
        <v>0</v>
      </c>
      <c r="KL26" s="2">
        <v>2970.3275002369501</v>
      </c>
      <c r="KM26" s="2">
        <v>0</v>
      </c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</row>
    <row r="27" spans="1:351">
      <c r="A27" s="1" t="s">
        <v>74</v>
      </c>
      <c r="B27" s="2">
        <v>132999.99999999499</v>
      </c>
      <c r="C27" s="2">
        <v>135520.79166000008</v>
      </c>
      <c r="D27" s="2">
        <v>102099.975450649</v>
      </c>
      <c r="E27" s="2">
        <v>104752.86194000002</v>
      </c>
      <c r="F27" s="2">
        <v>102000</v>
      </c>
      <c r="G27" s="2">
        <v>83387.992029999994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>
        <v>-17200</v>
      </c>
      <c r="KK27" s="2">
        <v>0</v>
      </c>
      <c r="KL27" s="2">
        <v>32900.0773559929</v>
      </c>
      <c r="KM27" s="2">
        <v>0</v>
      </c>
      <c r="KN27" s="2">
        <v>-4000</v>
      </c>
      <c r="KO27" s="2">
        <v>0</v>
      </c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</row>
    <row r="28" spans="1:351">
      <c r="A28" s="1" t="s">
        <v>104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>
        <v>0</v>
      </c>
      <c r="AG28" s="2">
        <v>0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>
        <v>33199.999999998203</v>
      </c>
      <c r="BK28" s="2">
        <v>31106.757980000006</v>
      </c>
      <c r="BL28" s="2">
        <v>35000.3852063702</v>
      </c>
      <c r="BM28" s="2">
        <v>36304.441350000008</v>
      </c>
      <c r="BN28" s="2">
        <v>36303.532614219199</v>
      </c>
      <c r="BO28" s="2">
        <v>25483.431890000007</v>
      </c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>
        <v>239.99755988215</v>
      </c>
      <c r="FS28" s="2">
        <v>0</v>
      </c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>
        <v>-4000</v>
      </c>
      <c r="KM28" s="2">
        <v>0</v>
      </c>
      <c r="KN28" s="2">
        <v>-5436.1697132961299</v>
      </c>
      <c r="KO28" s="2">
        <v>0</v>
      </c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</row>
    <row r="29" spans="1:351">
      <c r="A29" s="1" t="s">
        <v>75</v>
      </c>
      <c r="B29" s="2">
        <v>1672.509057323975</v>
      </c>
      <c r="C29" s="2">
        <v>2164.814410000004</v>
      </c>
      <c r="D29" s="2">
        <v>4.9999973078010003</v>
      </c>
      <c r="E29" s="2">
        <v>50.148000000000003</v>
      </c>
      <c r="F29" s="2">
        <v>50.147998420458997</v>
      </c>
      <c r="G29" s="2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>
        <v>251.893877584893</v>
      </c>
      <c r="U29" s="2">
        <v>292.73264</v>
      </c>
      <c r="V29" s="2">
        <v>225.999860005682</v>
      </c>
      <c r="W29" s="2">
        <v>81.079660000000004</v>
      </c>
      <c r="X29" s="2">
        <v>92.999997070725001</v>
      </c>
      <c r="Y29" s="2">
        <v>68.328059999999994</v>
      </c>
      <c r="Z29" s="2">
        <v>4419.2594767272303</v>
      </c>
      <c r="AA29" s="2">
        <v>4816.6827899999989</v>
      </c>
      <c r="AB29" s="2">
        <v>0</v>
      </c>
      <c r="AC29" s="2">
        <v>547.81340000000296</v>
      </c>
      <c r="AD29" s="2">
        <v>299.99998267633299</v>
      </c>
      <c r="AE29" s="2">
        <v>0</v>
      </c>
      <c r="AF29" s="2">
        <v>20507.421186591098</v>
      </c>
      <c r="AG29" s="2">
        <v>20438.017190000013</v>
      </c>
      <c r="AH29" s="2">
        <v>22351.990053403701</v>
      </c>
      <c r="AI29" s="2">
        <v>19469.440590000013</v>
      </c>
      <c r="AJ29" s="2">
        <v>22151.9993022657</v>
      </c>
      <c r="AK29" s="2">
        <v>15166.487929999999</v>
      </c>
      <c r="AL29" s="2"/>
      <c r="AM29" s="2"/>
      <c r="AN29" s="2"/>
      <c r="AO29" s="2"/>
      <c r="AP29" s="2"/>
      <c r="AQ29" s="2"/>
      <c r="AR29" s="2">
        <v>60.859085921447999</v>
      </c>
      <c r="AS29" s="2">
        <v>92.188599999999994</v>
      </c>
      <c r="AT29" s="2"/>
      <c r="AU29" s="2"/>
      <c r="AV29" s="2"/>
      <c r="AW29" s="2"/>
      <c r="AX29" s="2"/>
      <c r="AY29" s="2"/>
      <c r="AZ29" s="2">
        <v>0</v>
      </c>
      <c r="BA29" s="2">
        <v>0.495</v>
      </c>
      <c r="BB29" s="2">
        <v>0.49499998440800003</v>
      </c>
      <c r="BC29" s="2">
        <v>0</v>
      </c>
      <c r="BD29" s="2"/>
      <c r="BE29" s="2"/>
      <c r="BF29" s="2"/>
      <c r="BG29" s="2"/>
      <c r="BH29" s="2"/>
      <c r="BI29" s="2"/>
      <c r="BJ29" s="2">
        <v>5850.0245441613897</v>
      </c>
      <c r="BK29" s="2">
        <v>6585.8955500000011</v>
      </c>
      <c r="BL29" s="2">
        <v>5772.9968915877098</v>
      </c>
      <c r="BM29" s="2">
        <v>5739.8389400000033</v>
      </c>
      <c r="BN29" s="2">
        <v>5884.9998146367598</v>
      </c>
      <c r="BO29" s="2">
        <v>4107.4580200000019</v>
      </c>
      <c r="BP29" s="2">
        <v>44.262919441161998</v>
      </c>
      <c r="BQ29" s="2">
        <v>157.896999999999</v>
      </c>
      <c r="BR29" s="2"/>
      <c r="BS29" s="2"/>
      <c r="BT29" s="2"/>
      <c r="BU29" s="2"/>
      <c r="BV29" s="2">
        <v>195.332073341246</v>
      </c>
      <c r="BW29" s="2">
        <v>176.64299999999901</v>
      </c>
      <c r="BX29" s="2">
        <v>166.99991008057299</v>
      </c>
      <c r="BY29" s="2">
        <v>114.495</v>
      </c>
      <c r="BZ29" s="2">
        <v>249.99999212560601</v>
      </c>
      <c r="CA29" s="2">
        <v>99.946499999999986</v>
      </c>
      <c r="CB29" s="2">
        <v>3807.8204143964699</v>
      </c>
      <c r="CC29" s="2">
        <v>3074.7107300000016</v>
      </c>
      <c r="CD29" s="2">
        <v>13.999995154042001</v>
      </c>
      <c r="CE29" s="2">
        <v>64.450599999999994</v>
      </c>
      <c r="CF29" s="2">
        <v>69.999997795168994</v>
      </c>
      <c r="CG29" s="2">
        <v>51.110599999999998</v>
      </c>
      <c r="CH29" s="2"/>
      <c r="CI29" s="2"/>
      <c r="CJ29" s="2"/>
      <c r="CK29" s="2"/>
      <c r="CL29" s="2"/>
      <c r="CM29" s="2"/>
      <c r="CN29" s="2"/>
      <c r="CO29" s="2"/>
      <c r="CP29" s="2">
        <v>0</v>
      </c>
      <c r="CQ29" s="2">
        <v>-18.369689999999999</v>
      </c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>
        <v>38.760671652893002</v>
      </c>
      <c r="EE29" s="2">
        <v>2.4112099999999996</v>
      </c>
      <c r="EF29" s="2">
        <v>2.9999989231200002</v>
      </c>
      <c r="EG29" s="2">
        <v>0</v>
      </c>
      <c r="EH29" s="2"/>
      <c r="EI29" s="2"/>
      <c r="EJ29" s="2">
        <v>33.124566148088</v>
      </c>
      <c r="EK29" s="2">
        <v>13.87265</v>
      </c>
      <c r="EL29" s="2">
        <v>13.999992461844</v>
      </c>
      <c r="EM29" s="2">
        <v>6.3782200000000016</v>
      </c>
      <c r="EN29" s="2">
        <v>6.9999997795160001</v>
      </c>
      <c r="EO29" s="2">
        <v>2.71123</v>
      </c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>
        <v>375.585802346219</v>
      </c>
      <c r="FC29" s="2">
        <v>396.61072000000001</v>
      </c>
      <c r="FD29" s="2">
        <v>57.999991384965</v>
      </c>
      <c r="FE29" s="2">
        <v>53.413069999999998</v>
      </c>
      <c r="FF29" s="2">
        <v>63.999997984155002</v>
      </c>
      <c r="FG29" s="2">
        <v>46.468560000000004</v>
      </c>
      <c r="FH29" s="2"/>
      <c r="FI29" s="2"/>
      <c r="FJ29" s="2"/>
      <c r="FK29" s="2"/>
      <c r="FL29" s="2"/>
      <c r="FM29" s="2"/>
      <c r="FN29" s="2">
        <v>10971.72461600944</v>
      </c>
      <c r="FO29" s="2">
        <v>9807.9907500000045</v>
      </c>
      <c r="FP29" s="2">
        <v>10904.997581328958</v>
      </c>
      <c r="FQ29" s="2">
        <v>10778.050190000004</v>
      </c>
      <c r="FR29" s="2">
        <v>10716.9945489234</v>
      </c>
      <c r="FS29" s="2">
        <v>8426.2933600000015</v>
      </c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>
        <v>115.666666666666</v>
      </c>
      <c r="GG29" s="2">
        <v>85.799909999999997</v>
      </c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>
        <v>10.407338976964001</v>
      </c>
      <c r="II29" s="2">
        <v>6.5440399999999999</v>
      </c>
      <c r="IJ29" s="2">
        <v>6.999996230921</v>
      </c>
      <c r="IK29" s="2">
        <v>2.31549</v>
      </c>
      <c r="IL29" s="2">
        <v>6.9999997795160001</v>
      </c>
      <c r="IM29" s="2">
        <v>0.68969000000000003</v>
      </c>
      <c r="IN29" s="2"/>
      <c r="IO29" s="2"/>
      <c r="IP29" s="2"/>
      <c r="IQ29" s="2"/>
      <c r="IR29" s="2"/>
      <c r="IS29" s="2"/>
      <c r="IT29" s="2">
        <v>5000.4129999999996</v>
      </c>
      <c r="IU29" s="2">
        <v>4128.8453200000013</v>
      </c>
      <c r="IV29" s="2">
        <v>4581.0690525844921</v>
      </c>
      <c r="IW29" s="2">
        <v>3625.3044800000021</v>
      </c>
      <c r="IX29" s="2">
        <v>3628.9998856952998</v>
      </c>
      <c r="IY29" s="2">
        <v>2405.3318200000003</v>
      </c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>
        <v>0</v>
      </c>
      <c r="KE29" s="2">
        <v>415</v>
      </c>
      <c r="KF29" s="2"/>
      <c r="KG29" s="2"/>
      <c r="KH29" s="2"/>
      <c r="KI29" s="2"/>
      <c r="KJ29" s="2">
        <v>-1157.03419874051</v>
      </c>
      <c r="KK29" s="2">
        <v>0</v>
      </c>
      <c r="KL29" s="2">
        <v>-1316.43051877639</v>
      </c>
      <c r="KM29" s="2">
        <v>0</v>
      </c>
      <c r="KN29" s="2">
        <v>567.26086956521704</v>
      </c>
      <c r="KO29" s="2">
        <v>0</v>
      </c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>
        <v>105.223655403853</v>
      </c>
      <c r="LQ29" s="2">
        <v>103.776</v>
      </c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</row>
    <row r="30" spans="1:351">
      <c r="A30" s="1" t="s">
        <v>105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>
        <v>8274.9999248369204</v>
      </c>
      <c r="AG30" s="2">
        <v>7839.671880000009</v>
      </c>
      <c r="AH30" s="2">
        <v>8000.39608392831</v>
      </c>
      <c r="AI30" s="2">
        <v>7805.7580699999999</v>
      </c>
      <c r="AJ30" s="2">
        <v>8499.9997322706004</v>
      </c>
      <c r="AK30" s="2">
        <v>5690.0710899999995</v>
      </c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>
        <v>-6921</v>
      </c>
      <c r="KK30" s="2">
        <v>0</v>
      </c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</row>
    <row r="31" spans="1:351">
      <c r="A31" s="1" t="s">
        <v>106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>
        <v>18715</v>
      </c>
      <c r="AG31" s="2">
        <v>18648.353449999999</v>
      </c>
      <c r="AH31" s="2">
        <v>20000.390210090001</v>
      </c>
      <c r="AI31" s="2">
        <v>23085.607330000013</v>
      </c>
      <c r="AJ31" s="2">
        <v>20499.999422554902</v>
      </c>
      <c r="AK31" s="2">
        <v>15308.845520000003</v>
      </c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>
        <v>-4215</v>
      </c>
      <c r="KK31" s="2">
        <v>0</v>
      </c>
      <c r="KL31" s="2"/>
      <c r="KM31" s="2"/>
      <c r="KN31" s="2">
        <v>-500</v>
      </c>
      <c r="KO31" s="2">
        <v>0</v>
      </c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</row>
    <row r="32" spans="1:351">
      <c r="A32" s="1" t="s">
        <v>131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>
        <v>404.665276530585</v>
      </c>
      <c r="EK32" s="2">
        <v>0</v>
      </c>
      <c r="EL32" s="2">
        <v>0</v>
      </c>
      <c r="EM32" s="2">
        <v>267.00245000000001</v>
      </c>
      <c r="EN32" s="2">
        <v>301.99999048773202</v>
      </c>
      <c r="EO32" s="2">
        <v>121.90891999999999</v>
      </c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>
        <v>0</v>
      </c>
      <c r="FA32" s="2">
        <v>40.517989999999998</v>
      </c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>
        <v>595.000386368715</v>
      </c>
      <c r="KK32" s="2">
        <v>0</v>
      </c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</row>
    <row r="33" spans="1:351">
      <c r="A33" s="1" t="s">
        <v>112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>
        <v>463.999999999978</v>
      </c>
      <c r="FC33" s="2">
        <v>398.37905999999896</v>
      </c>
      <c r="FD33" s="2">
        <v>399.99978462413401</v>
      </c>
      <c r="FE33" s="2">
        <v>172.1739</v>
      </c>
      <c r="FF33" s="2">
        <v>249.999995653334</v>
      </c>
      <c r="FG33" s="2">
        <v>139.13042999999999</v>
      </c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>
        <v>-64.000041558986993</v>
      </c>
      <c r="KK33" s="2">
        <v>0</v>
      </c>
      <c r="KL33" s="2"/>
      <c r="KM33" s="2"/>
      <c r="KN33" s="2">
        <v>164.99999234608899</v>
      </c>
      <c r="KO33" s="2">
        <v>0</v>
      </c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</row>
    <row r="34" spans="1:351">
      <c r="A34" s="1" t="s">
        <v>76</v>
      </c>
      <c r="B34" s="2">
        <v>1037</v>
      </c>
      <c r="C34" s="2">
        <v>518.17849999999999</v>
      </c>
      <c r="D34" s="2">
        <v>1761.9994965589101</v>
      </c>
      <c r="E34" s="2">
        <v>2072.7273500000001</v>
      </c>
      <c r="F34" s="2">
        <v>18199.862656072601</v>
      </c>
      <c r="G34" s="2">
        <v>10010.068499999999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>
        <v>-1037</v>
      </c>
      <c r="KK34" s="2">
        <v>0</v>
      </c>
      <c r="KL34" s="2">
        <v>-742</v>
      </c>
      <c r="KM34" s="2">
        <v>0</v>
      </c>
      <c r="KN34" s="2">
        <v>-16438</v>
      </c>
      <c r="KO34" s="2">
        <v>0</v>
      </c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</row>
    <row r="35" spans="1:351">
      <c r="A35" s="1" t="s">
        <v>111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>
        <v>20.647814971595</v>
      </c>
      <c r="DS35" s="2">
        <v>4.4515600000000006</v>
      </c>
      <c r="DT35" s="2">
        <v>4.4518056676080002</v>
      </c>
      <c r="DU35" s="2">
        <v>0</v>
      </c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>
        <v>54.99044485476</v>
      </c>
      <c r="EK35" s="2">
        <v>21.466249999999</v>
      </c>
      <c r="EL35" s="2">
        <v>21.467434654883</v>
      </c>
      <c r="EM35" s="2">
        <v>9.9040400000000002</v>
      </c>
      <c r="EN35" s="2">
        <v>10.999999653526</v>
      </c>
      <c r="EO35" s="2">
        <v>0.94899999999999995</v>
      </c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>
        <v>558.12845009008799</v>
      </c>
      <c r="GG35" s="2">
        <v>514.05210000000204</v>
      </c>
      <c r="GH35" s="2">
        <v>464.08049584206299</v>
      </c>
      <c r="GI35" s="2">
        <v>0</v>
      </c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>
        <v>-443.54060096387798</v>
      </c>
      <c r="KK35" s="2">
        <v>0</v>
      </c>
      <c r="KL35" s="2">
        <v>49.999973078015998</v>
      </c>
      <c r="KM35" s="2">
        <v>0</v>
      </c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</row>
    <row r="36" spans="1:351">
      <c r="A36" s="1" t="s">
        <v>77</v>
      </c>
      <c r="B36" s="2"/>
      <c r="C36" s="2"/>
      <c r="D36" s="2">
        <v>2976.9989462735321</v>
      </c>
      <c r="E36" s="2">
        <v>1923.7999999999997</v>
      </c>
      <c r="F36" s="2">
        <v>4304.9999230514204</v>
      </c>
      <c r="G36" s="2">
        <v>2261.1339699999999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>
        <v>9.9999946156030006</v>
      </c>
      <c r="W36" s="2">
        <v>58.051519999999996</v>
      </c>
      <c r="X36" s="2">
        <v>9.9999996850239992</v>
      </c>
      <c r="Y36" s="2">
        <v>10.709489999999999</v>
      </c>
      <c r="Z36" s="2"/>
      <c r="AA36" s="2"/>
      <c r="AB36" s="2">
        <v>4831.9973982594502</v>
      </c>
      <c r="AC36" s="2">
        <v>4208.9536200000002</v>
      </c>
      <c r="AD36" s="2">
        <v>4916.9998667022501</v>
      </c>
      <c r="AE36" s="2">
        <v>3692.0886400000004</v>
      </c>
      <c r="AF36" s="2"/>
      <c r="AG36" s="2"/>
      <c r="AH36" s="2">
        <v>491.999734549236</v>
      </c>
      <c r="AI36" s="2">
        <v>2323.1187200000013</v>
      </c>
      <c r="AJ36" s="2">
        <v>2399.9999244058199</v>
      </c>
      <c r="AK36" s="2">
        <v>1576.05744</v>
      </c>
      <c r="AL36" s="2"/>
      <c r="AM36" s="2"/>
      <c r="AN36" s="2"/>
      <c r="AO36" s="2"/>
      <c r="AP36" s="2"/>
      <c r="AQ36" s="2"/>
      <c r="AR36" s="2"/>
      <c r="AS36" s="2"/>
      <c r="AT36" s="2">
        <v>420.99992300312698</v>
      </c>
      <c r="AU36" s="2">
        <v>884.83335</v>
      </c>
      <c r="AV36" s="2">
        <v>1646</v>
      </c>
      <c r="AW36" s="2">
        <v>1135.905600000001</v>
      </c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>
        <v>1254.9993242582</v>
      </c>
      <c r="BM36" s="2">
        <v>286.98946000000001</v>
      </c>
      <c r="BN36" s="2">
        <v>279.99999118067899</v>
      </c>
      <c r="BO36" s="2">
        <v>215.08685</v>
      </c>
      <c r="BP36" s="2"/>
      <c r="BQ36" s="2"/>
      <c r="BR36" s="2">
        <v>624.49966374442795</v>
      </c>
      <c r="BS36" s="2">
        <v>796.18499999999983</v>
      </c>
      <c r="BT36" s="2">
        <v>747.99997643981203</v>
      </c>
      <c r="BU36" s="2">
        <v>761.43315000000018</v>
      </c>
      <c r="BV36" s="2"/>
      <c r="BW36" s="2"/>
      <c r="BX36" s="2">
        <v>24.999994077162999</v>
      </c>
      <c r="BY36" s="2">
        <v>56.548259999999999</v>
      </c>
      <c r="BZ36" s="2">
        <v>101.999996787247</v>
      </c>
      <c r="CA36" s="2">
        <v>51.567</v>
      </c>
      <c r="CB36" s="2"/>
      <c r="CC36" s="2"/>
      <c r="CD36" s="2">
        <v>4278.9983157606703</v>
      </c>
      <c r="CE36" s="2">
        <v>4348.425110000002</v>
      </c>
      <c r="CF36" s="2">
        <v>6013.8600727779303</v>
      </c>
      <c r="CG36" s="2">
        <v>4205.0559100000009</v>
      </c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>
        <v>0</v>
      </c>
      <c r="EM36" s="2">
        <v>1.5552600000000001</v>
      </c>
      <c r="EN36" s="2">
        <v>1.999999937004</v>
      </c>
      <c r="EO36" s="2">
        <v>0</v>
      </c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>
        <v>599.99982931462</v>
      </c>
      <c r="FE36" s="2">
        <v>597.67963999999995</v>
      </c>
      <c r="FF36" s="2">
        <v>499.99998267633299</v>
      </c>
      <c r="FG36" s="2">
        <v>240.73034999999999</v>
      </c>
      <c r="FH36" s="2"/>
      <c r="FI36" s="2"/>
      <c r="FJ36" s="2"/>
      <c r="FK36" s="2"/>
      <c r="FL36" s="2"/>
      <c r="FM36" s="2"/>
      <c r="FN36" s="2"/>
      <c r="FO36" s="2"/>
      <c r="FP36" s="2">
        <v>220.99992569532401</v>
      </c>
      <c r="FQ36" s="2">
        <v>254.75768000000002</v>
      </c>
      <c r="FR36" s="2">
        <v>350</v>
      </c>
      <c r="FS36" s="2">
        <v>213.81625999999997</v>
      </c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>
        <v>86.999953155746994</v>
      </c>
      <c r="GI36" s="2">
        <v>0</v>
      </c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>
        <v>246.99991492653001</v>
      </c>
      <c r="IW36" s="2">
        <v>539.73163999999997</v>
      </c>
      <c r="IX36" s="2">
        <v>654.99997936908699</v>
      </c>
      <c r="IY36" s="2">
        <v>922.66450999999995</v>
      </c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>
        <v>0</v>
      </c>
      <c r="KG36" s="2">
        <v>529.55880000000002</v>
      </c>
      <c r="KH36" s="2">
        <v>499.99998425121203</v>
      </c>
      <c r="KI36" s="2">
        <v>415</v>
      </c>
      <c r="KJ36" s="2"/>
      <c r="KK36" s="2"/>
      <c r="KL36" s="2">
        <v>-5563.99947448288</v>
      </c>
      <c r="KM36" s="2">
        <v>0</v>
      </c>
      <c r="KN36" s="2">
        <v>-4439.52336448598</v>
      </c>
      <c r="KO36" s="2">
        <v>0</v>
      </c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>
        <v>104.99994346383301</v>
      </c>
      <c r="LS36" s="2">
        <v>103.58110000000001</v>
      </c>
      <c r="LT36" s="2">
        <v>104.999996692754</v>
      </c>
      <c r="LU36" s="2">
        <v>0</v>
      </c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</row>
    <row r="37" spans="1:351">
      <c r="A37" s="1" t="s">
        <v>78</v>
      </c>
      <c r="B37" s="2"/>
      <c r="C37" s="2"/>
      <c r="D37" s="2"/>
      <c r="E37" s="2"/>
      <c r="F37" s="2">
        <v>0</v>
      </c>
      <c r="G37" s="2">
        <v>59.8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</row>
    <row r="38" spans="1:351">
      <c r="A38" s="1" t="s">
        <v>79</v>
      </c>
      <c r="B38" s="2">
        <v>81.358640080181004</v>
      </c>
      <c r="C38" s="2">
        <v>86.467090000000013</v>
      </c>
      <c r="D38" s="2">
        <v>480.20572631930696</v>
      </c>
      <c r="E38" s="2">
        <v>377.64328999999998</v>
      </c>
      <c r="F38" s="2">
        <v>379.99998803092001</v>
      </c>
      <c r="G38" s="2">
        <v>350.98788000000002</v>
      </c>
      <c r="H38" s="2">
        <v>153.18589036223199</v>
      </c>
      <c r="I38" s="2">
        <v>130.91792999999899</v>
      </c>
      <c r="J38" s="2">
        <v>154.88068057214599</v>
      </c>
      <c r="K38" s="2">
        <v>117.96201000000001</v>
      </c>
      <c r="L38" s="2">
        <v>118</v>
      </c>
      <c r="M38" s="2">
        <v>76.020979999999994</v>
      </c>
      <c r="N38" s="2">
        <v>187.37847558264099</v>
      </c>
      <c r="O38" s="2">
        <v>119.720789999999</v>
      </c>
      <c r="P38" s="2">
        <v>119.720663197505</v>
      </c>
      <c r="Q38" s="2">
        <v>119.78514000000001</v>
      </c>
      <c r="R38" s="2">
        <v>120.06298621830599</v>
      </c>
      <c r="S38" s="2">
        <v>80.64385</v>
      </c>
      <c r="T38" s="2">
        <v>76.520753978803995</v>
      </c>
      <c r="U38" s="2">
        <v>75.143579999999005</v>
      </c>
      <c r="V38" s="2">
        <v>88.143502070425995</v>
      </c>
      <c r="W38" s="2">
        <v>81.055149999999998</v>
      </c>
      <c r="X38" s="2">
        <v>87.200716553931002</v>
      </c>
      <c r="Y38" s="2">
        <v>55.737839999999998</v>
      </c>
      <c r="Z38" s="2">
        <v>28.592603548593999</v>
      </c>
      <c r="AA38" s="2">
        <v>5.2503399999979994</v>
      </c>
      <c r="AB38" s="2">
        <v>6.2503344390920006</v>
      </c>
      <c r="AC38" s="2">
        <v>42.77955</v>
      </c>
      <c r="AD38" s="2">
        <v>54.999998267631</v>
      </c>
      <c r="AE38" s="2">
        <v>7.0911999999999988</v>
      </c>
      <c r="AF38" s="2">
        <v>18.370414194379002</v>
      </c>
      <c r="AG38" s="2">
        <v>12.087459999999</v>
      </c>
      <c r="AH38" s="2">
        <v>12.087447197544</v>
      </c>
      <c r="AI38" s="2">
        <v>14.75806</v>
      </c>
      <c r="AJ38" s="2">
        <v>11.999999622029</v>
      </c>
      <c r="AK38" s="2">
        <v>8.9441400000000009</v>
      </c>
      <c r="AL38" s="2">
        <v>900.60929747946898</v>
      </c>
      <c r="AM38" s="2">
        <v>679.20750999999802</v>
      </c>
      <c r="AN38" s="2">
        <v>849.19306463147097</v>
      </c>
      <c r="AO38" s="2">
        <v>422.58138000000099</v>
      </c>
      <c r="AP38" s="2">
        <v>448.999985857588</v>
      </c>
      <c r="AQ38" s="2">
        <v>322.62121999999994</v>
      </c>
      <c r="AR38" s="2">
        <v>989.56605275193988</v>
      </c>
      <c r="AS38" s="2">
        <v>988.32217999999921</v>
      </c>
      <c r="AT38" s="2">
        <v>994.32113985230603</v>
      </c>
      <c r="AU38" s="2">
        <v>1241.3594500000008</v>
      </c>
      <c r="AV38" s="2">
        <v>1288.2277568916559</v>
      </c>
      <c r="AW38" s="2">
        <v>942.12954000000002</v>
      </c>
      <c r="AX38" s="2">
        <v>381.54791872101299</v>
      </c>
      <c r="AY38" s="2">
        <v>331.07950999999997</v>
      </c>
      <c r="AZ38" s="2">
        <v>538.07915933653101</v>
      </c>
      <c r="BA38" s="2">
        <v>457.00738999999999</v>
      </c>
      <c r="BB38" s="2">
        <v>505.99998721198301</v>
      </c>
      <c r="BC38" s="2">
        <v>333.43238999999994</v>
      </c>
      <c r="BD38" s="2">
        <v>405.43484796186203</v>
      </c>
      <c r="BE38" s="2">
        <v>447.70508999999902</v>
      </c>
      <c r="BF38" s="2">
        <v>713.70462576566092</v>
      </c>
      <c r="BG38" s="2">
        <v>440.72635999999994</v>
      </c>
      <c r="BH38" s="2">
        <v>997.112230302439</v>
      </c>
      <c r="BI38" s="2">
        <v>575.70538999999894</v>
      </c>
      <c r="BJ38" s="2">
        <v>20.909089401054</v>
      </c>
      <c r="BK38" s="2">
        <v>16.233809999999</v>
      </c>
      <c r="BL38" s="2">
        <v>16.233792805928001</v>
      </c>
      <c r="BM38" s="2">
        <v>11.174060000000001</v>
      </c>
      <c r="BN38" s="2">
        <v>15.999999496036999</v>
      </c>
      <c r="BO38" s="2">
        <v>8.9692299999999996</v>
      </c>
      <c r="BP38" s="2">
        <v>10.324066985249999</v>
      </c>
      <c r="BQ38" s="2">
        <v>4.8883999999989998</v>
      </c>
      <c r="BR38" s="2">
        <v>5.8883948224410005</v>
      </c>
      <c r="BS38" s="2">
        <v>8.8496300000000012</v>
      </c>
      <c r="BT38" s="2">
        <v>4.9999998425119996</v>
      </c>
      <c r="BU38" s="2">
        <v>2.2637400000000003</v>
      </c>
      <c r="BV38" s="2">
        <v>4.592603548594</v>
      </c>
      <c r="BW38" s="2">
        <v>1.2679599999989999</v>
      </c>
      <c r="BX38" s="2">
        <v>1.2679586570370001</v>
      </c>
      <c r="BY38" s="2">
        <v>3.4934599999999998</v>
      </c>
      <c r="BZ38" s="2">
        <v>3.4934598899639999</v>
      </c>
      <c r="CA38" s="2">
        <v>1.2583</v>
      </c>
      <c r="CB38" s="2">
        <v>19.446365088623999</v>
      </c>
      <c r="CC38" s="2">
        <v>9.9211599999990003</v>
      </c>
      <c r="CD38" s="2">
        <v>9.921149491984</v>
      </c>
      <c r="CE38" s="2">
        <v>2.1671299999999998</v>
      </c>
      <c r="CF38" s="2">
        <v>9.9999996850229991</v>
      </c>
      <c r="CG38" s="2">
        <v>0</v>
      </c>
      <c r="CH38" s="2">
        <v>0</v>
      </c>
      <c r="CI38" s="2">
        <v>7.8089999999000001E-2</v>
      </c>
      <c r="CJ38" s="2">
        <v>7.8089917290000005E-2</v>
      </c>
      <c r="CK38" s="2">
        <v>0</v>
      </c>
      <c r="CL38" s="2"/>
      <c r="CM38" s="2"/>
      <c r="CN38" s="2">
        <v>78.406842246870994</v>
      </c>
      <c r="CO38" s="2">
        <v>71.610799999999003</v>
      </c>
      <c r="CP38" s="2">
        <v>76.610732447729006</v>
      </c>
      <c r="CQ38" s="2">
        <v>75.71023000000001</v>
      </c>
      <c r="CR38" s="2">
        <v>121.999997732173</v>
      </c>
      <c r="CS38" s="2">
        <v>77.98</v>
      </c>
      <c r="CT38" s="2">
        <v>30.311229020719001</v>
      </c>
      <c r="CU38" s="2">
        <v>39.645910000000001</v>
      </c>
      <c r="CV38" s="2">
        <v>39.645868008958999</v>
      </c>
      <c r="CW38" s="2">
        <v>41.23124</v>
      </c>
      <c r="CX38" s="2">
        <v>39.999998740095002</v>
      </c>
      <c r="CY38" s="2">
        <v>31.77064</v>
      </c>
      <c r="CZ38" s="2">
        <v>4.6892899390910001</v>
      </c>
      <c r="DA38" s="2">
        <v>0.10800999999999999</v>
      </c>
      <c r="DB38" s="2">
        <v>0.108009885601</v>
      </c>
      <c r="DC38" s="2">
        <v>0.27888000000000002</v>
      </c>
      <c r="DD38" s="2">
        <v>0.27887999121500001</v>
      </c>
      <c r="DE38" s="2">
        <v>0</v>
      </c>
      <c r="DF38" s="2">
        <v>7</v>
      </c>
      <c r="DG38" s="2">
        <v>11.908609999998998</v>
      </c>
      <c r="DH38" s="2">
        <v>12.908599045862001</v>
      </c>
      <c r="DI38" s="2">
        <v>15.786849999999998</v>
      </c>
      <c r="DJ38" s="2">
        <v>17.903139436094001</v>
      </c>
      <c r="DK38" s="2">
        <v>13.11788</v>
      </c>
      <c r="DL38" s="2">
        <v>37.600105171801999</v>
      </c>
      <c r="DM38" s="2">
        <v>48.732749999999001</v>
      </c>
      <c r="DN38" s="2">
        <v>49.732705020170002</v>
      </c>
      <c r="DO38" s="2">
        <v>32.348379999999999</v>
      </c>
      <c r="DP38" s="2">
        <v>45.999999055072003</v>
      </c>
      <c r="DQ38" s="2">
        <v>28.138480000000001</v>
      </c>
      <c r="DR38" s="2">
        <v>19.106320922045999</v>
      </c>
      <c r="DS38" s="2">
        <v>41.220089999999999</v>
      </c>
      <c r="DT38" s="2">
        <v>41.220046341665004</v>
      </c>
      <c r="DU38" s="2">
        <v>115.64540999999998</v>
      </c>
      <c r="DV38" s="2">
        <v>121.99999615729399</v>
      </c>
      <c r="DW38" s="2">
        <v>19.74361</v>
      </c>
      <c r="DX38" s="2">
        <v>18.370414194492</v>
      </c>
      <c r="DY38" s="2">
        <v>0.29160999999999998</v>
      </c>
      <c r="DZ38" s="2">
        <v>0.29160969114000002</v>
      </c>
      <c r="EA38" s="2">
        <v>0.99486999999999992</v>
      </c>
      <c r="EB38" s="2">
        <v>0.99999996850200001</v>
      </c>
      <c r="EC38" s="2">
        <v>0</v>
      </c>
      <c r="ED38" s="2">
        <v>0.91849790972099998</v>
      </c>
      <c r="EE38" s="2">
        <v>0.22645999999999999</v>
      </c>
      <c r="EF38" s="2">
        <v>0.22645976014399999</v>
      </c>
      <c r="EG38" s="2">
        <v>0</v>
      </c>
      <c r="EH38" s="2"/>
      <c r="EI38" s="2"/>
      <c r="EJ38" s="2">
        <v>0.91849790972099998</v>
      </c>
      <c r="EK38" s="2">
        <v>0.48019000000000001</v>
      </c>
      <c r="EL38" s="2">
        <v>1.480189491405</v>
      </c>
      <c r="EM38" s="2">
        <v>0.72424000000000011</v>
      </c>
      <c r="EN38" s="2">
        <v>1.28195995962</v>
      </c>
      <c r="EO38" s="2">
        <v>0.27888000000000002</v>
      </c>
      <c r="EP38" s="2">
        <v>3</v>
      </c>
      <c r="EQ38" s="2">
        <v>2.5098799999989998</v>
      </c>
      <c r="ER38" s="2">
        <v>2.5098773416559998</v>
      </c>
      <c r="ES38" s="2">
        <v>1.39436</v>
      </c>
      <c r="ET38" s="2">
        <v>2.9999999055069999</v>
      </c>
      <c r="EU38" s="2">
        <v>1.67327</v>
      </c>
      <c r="EV38" s="2">
        <v>2.755607729152</v>
      </c>
      <c r="EW38" s="2">
        <v>1.576009999999</v>
      </c>
      <c r="EX38" s="2">
        <v>1.576008330766</v>
      </c>
      <c r="EY38" s="2">
        <v>4.3874599999999999</v>
      </c>
      <c r="EZ38" s="2">
        <v>10</v>
      </c>
      <c r="FA38" s="2">
        <v>3.0830799999999998</v>
      </c>
      <c r="FB38" s="2"/>
      <c r="FC38" s="2"/>
      <c r="FD38" s="2"/>
      <c r="FE38" s="2"/>
      <c r="FF38" s="2"/>
      <c r="FG38" s="2"/>
      <c r="FH38" s="2">
        <v>16.370278495316001</v>
      </c>
      <c r="FI38" s="2">
        <v>7.7480499999989991</v>
      </c>
      <c r="FJ38" s="2">
        <v>9.7480434525259998</v>
      </c>
      <c r="FK38" s="2">
        <v>6.8714899999999997</v>
      </c>
      <c r="FL38" s="2">
        <v>7.9999997480190004</v>
      </c>
      <c r="FM38" s="2">
        <v>7.9972500000000002</v>
      </c>
      <c r="FN38" s="2">
        <v>14.624184562593999</v>
      </c>
      <c r="FO38" s="2">
        <v>7.3499499999990006</v>
      </c>
      <c r="FP38" s="2">
        <v>8.3499422152859992</v>
      </c>
      <c r="FQ38" s="2">
        <v>5.9904200000000003</v>
      </c>
      <c r="FR38" s="2">
        <v>8.631225361748001</v>
      </c>
      <c r="FS38" s="2">
        <v>7.3660499999999995</v>
      </c>
      <c r="FT38" s="2">
        <v>16455.782009457751</v>
      </c>
      <c r="FU38" s="2">
        <v>19310.51154000001</v>
      </c>
      <c r="FV38" s="2">
        <v>21810.494021809405</v>
      </c>
      <c r="FW38" s="2">
        <v>20563.133800000011</v>
      </c>
      <c r="FX38" s="2">
        <v>21576.783345225689</v>
      </c>
      <c r="FY38" s="2">
        <v>14790.740190000004</v>
      </c>
      <c r="FZ38" s="2">
        <v>53999.951314979779</v>
      </c>
      <c r="GA38" s="2">
        <v>52563.649500000029</v>
      </c>
      <c r="GB38" s="2">
        <v>57303.94870313783</v>
      </c>
      <c r="GC38" s="2">
        <v>58945.064110000014</v>
      </c>
      <c r="GD38" s="2">
        <v>58261.86077155864</v>
      </c>
      <c r="GE38" s="2">
        <v>46064.245290000013</v>
      </c>
      <c r="GF38" s="2"/>
      <c r="GG38" s="2"/>
      <c r="GH38" s="2"/>
      <c r="GI38" s="2"/>
      <c r="GJ38" s="2"/>
      <c r="GK38" s="2"/>
      <c r="GL38" s="2">
        <v>18960.881695857592</v>
      </c>
      <c r="GM38" s="2">
        <v>18707.046430000006</v>
      </c>
      <c r="GN38" s="2">
        <v>18632.031803740461</v>
      </c>
      <c r="GO38" s="2">
        <v>18115.115720000013</v>
      </c>
      <c r="GP38" s="2">
        <v>17232.999457202211</v>
      </c>
      <c r="GQ38" s="2">
        <v>12361.639250000004</v>
      </c>
      <c r="GR38" s="2"/>
      <c r="GS38" s="2"/>
      <c r="GT38" s="2"/>
      <c r="GU38" s="2"/>
      <c r="GV38" s="2"/>
      <c r="GW38" s="2"/>
      <c r="GX38" s="2">
        <v>3606.743538460958</v>
      </c>
      <c r="GY38" s="2">
        <v>3687.2382600000014</v>
      </c>
      <c r="GZ38" s="2">
        <v>3722.298462975557</v>
      </c>
      <c r="HA38" s="2">
        <v>3742.5642500000008</v>
      </c>
      <c r="HB38" s="2">
        <v>3085.9999027984818</v>
      </c>
      <c r="HC38" s="2">
        <v>2335.8733000000002</v>
      </c>
      <c r="HD38" s="2">
        <v>970.64038025406296</v>
      </c>
      <c r="HE38" s="2">
        <v>965.7765700000009</v>
      </c>
      <c r="HF38" s="2">
        <v>956.77569307812905</v>
      </c>
      <c r="HG38" s="2">
        <v>859.67827</v>
      </c>
      <c r="HH38" s="2">
        <v>1024.9999677149799</v>
      </c>
      <c r="HI38" s="2">
        <v>392.94859000000002</v>
      </c>
      <c r="HJ38" s="2"/>
      <c r="HK38" s="2"/>
      <c r="HL38" s="2"/>
      <c r="HM38" s="2"/>
      <c r="HN38" s="2"/>
      <c r="HO38" s="2"/>
      <c r="HP38" s="2">
        <v>14004.409454037799</v>
      </c>
      <c r="HQ38" s="2">
        <v>16473.505820000009</v>
      </c>
      <c r="HR38" s="2">
        <v>17069.991120591501</v>
      </c>
      <c r="HS38" s="2">
        <v>17143.07002000001</v>
      </c>
      <c r="HT38" s="2">
        <v>18699.999551159501</v>
      </c>
      <c r="HU38" s="2">
        <v>13806.580119999999</v>
      </c>
      <c r="HV38" s="2">
        <v>19790</v>
      </c>
      <c r="HW38" s="2">
        <v>20537.825470000011</v>
      </c>
      <c r="HX38" s="2">
        <v>24037.8124911835</v>
      </c>
      <c r="HY38" s="2">
        <v>24102.12243000001</v>
      </c>
      <c r="HZ38" s="2">
        <v>23987.999244436101</v>
      </c>
      <c r="IA38" s="2">
        <v>17405.13698000001</v>
      </c>
      <c r="IB38" s="2">
        <v>3312.2534287511967</v>
      </c>
      <c r="IC38" s="2">
        <v>3446.2171900000026</v>
      </c>
      <c r="ID38" s="2">
        <v>5128.3060018231663</v>
      </c>
      <c r="IE38" s="2">
        <v>5265.1256400000002</v>
      </c>
      <c r="IF38" s="2">
        <v>5795.0380259999029</v>
      </c>
      <c r="IG38" s="2">
        <v>4454.4161200000017</v>
      </c>
      <c r="IH38" s="2"/>
      <c r="II38" s="2"/>
      <c r="IJ38" s="2"/>
      <c r="IK38" s="2"/>
      <c r="IL38" s="2"/>
      <c r="IM38" s="2"/>
      <c r="IN38" s="2">
        <v>16.533418374936002</v>
      </c>
      <c r="IO38" s="2">
        <v>3.0923199999999995</v>
      </c>
      <c r="IP38" s="2">
        <v>2.9999950233349999</v>
      </c>
      <c r="IQ38" s="2">
        <v>48.112270000000002</v>
      </c>
      <c r="IR38" s="2">
        <v>54.999998267633003</v>
      </c>
      <c r="IS38" s="2">
        <v>6.4245099999999997</v>
      </c>
      <c r="IT38" s="2">
        <v>1312.123180418419</v>
      </c>
      <c r="IU38" s="2">
        <v>1017.81011</v>
      </c>
      <c r="IV38" s="2">
        <v>1183.0203441229469</v>
      </c>
      <c r="IW38" s="2">
        <v>1188.2052600000002</v>
      </c>
      <c r="IX38" s="2">
        <v>1117.999964785708</v>
      </c>
      <c r="IY38" s="2">
        <v>715.39521999999999</v>
      </c>
      <c r="IZ38" s="2">
        <v>0</v>
      </c>
      <c r="JA38" s="2">
        <v>40.366330000000005</v>
      </c>
      <c r="JB38" s="2">
        <v>58.999903784494002</v>
      </c>
      <c r="JC38" s="2">
        <v>62.280280000000005</v>
      </c>
      <c r="JD38" s="2">
        <v>62.999998015651997</v>
      </c>
      <c r="JE38" s="2">
        <v>42.66872</v>
      </c>
      <c r="JF38" s="2"/>
      <c r="JG38" s="2"/>
      <c r="JH38" s="2"/>
      <c r="JI38" s="2"/>
      <c r="JJ38" s="2"/>
      <c r="JK38" s="2"/>
      <c r="JL38" s="2">
        <v>372.49998328630301</v>
      </c>
      <c r="JM38" s="2">
        <v>284.96645000000001</v>
      </c>
      <c r="JN38" s="2">
        <v>509.96614817726402</v>
      </c>
      <c r="JO38" s="2">
        <v>343.69386999999995</v>
      </c>
      <c r="JP38" s="2">
        <v>629.99998658203197</v>
      </c>
      <c r="JQ38" s="2">
        <v>405.98155999999994</v>
      </c>
      <c r="JR38" s="2">
        <v>175.60059119323199</v>
      </c>
      <c r="JS38" s="2">
        <v>157.94327999999899</v>
      </c>
      <c r="JT38" s="2">
        <v>301.09431411703105</v>
      </c>
      <c r="JU38" s="2">
        <v>289.87054000000001</v>
      </c>
      <c r="JV38" s="2">
        <v>461.99999099169202</v>
      </c>
      <c r="JW38" s="2">
        <v>263.82979999999998</v>
      </c>
      <c r="JX38" s="2">
        <v>0</v>
      </c>
      <c r="JY38" s="2">
        <v>100</v>
      </c>
      <c r="JZ38" s="2"/>
      <c r="KA38" s="2"/>
      <c r="KB38" s="2">
        <v>0</v>
      </c>
      <c r="KC38" s="2">
        <v>4.5668099999999994</v>
      </c>
      <c r="KD38" s="2">
        <v>0</v>
      </c>
      <c r="KE38" s="2">
        <v>5254.9677999999949</v>
      </c>
      <c r="KF38" s="2">
        <v>0</v>
      </c>
      <c r="KG38" s="2">
        <v>5886.4927999999991</v>
      </c>
      <c r="KH38" s="2">
        <v>6999.9997795169602</v>
      </c>
      <c r="KI38" s="2">
        <v>2860.3575299999998</v>
      </c>
      <c r="KJ38" s="2">
        <v>13622.7178807163</v>
      </c>
      <c r="KK38" s="2">
        <v>737.968200000004</v>
      </c>
      <c r="KL38" s="2">
        <v>-6870.2942497556896</v>
      </c>
      <c r="KM38" s="2">
        <v>-737.968200000004</v>
      </c>
      <c r="KN38" s="2">
        <v>576.54217662111398</v>
      </c>
      <c r="KO38" s="2">
        <v>0</v>
      </c>
      <c r="KP38" s="2">
        <v>0</v>
      </c>
      <c r="KQ38" s="2">
        <v>23.286449999999</v>
      </c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>
        <v>0</v>
      </c>
      <c r="LC38" s="2">
        <v>0</v>
      </c>
      <c r="LD38" s="2"/>
      <c r="LE38" s="2"/>
      <c r="LF38" s="2">
        <v>1881.5816728465909</v>
      </c>
      <c r="LG38" s="2">
        <v>2117.5948500000018</v>
      </c>
      <c r="LH38" s="2">
        <v>3917.8563265389103</v>
      </c>
      <c r="LI38" s="2">
        <v>4101.7459200000012</v>
      </c>
      <c r="LJ38" s="2">
        <v>4217.9998671432204</v>
      </c>
      <c r="LK38" s="2">
        <v>2158.0312599999997</v>
      </c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>
        <v>0</v>
      </c>
      <c r="MG38" s="2">
        <v>287.33605999999997</v>
      </c>
      <c r="MH38" s="2"/>
      <c r="MI38" s="2"/>
      <c r="MJ38" s="2"/>
      <c r="MK38" s="2"/>
      <c r="ML38" s="2"/>
      <c r="MM38" s="2"/>
    </row>
    <row r="39" spans="1:351">
      <c r="A39" s="1" t="s">
        <v>100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>
        <v>1235.08120349512</v>
      </c>
      <c r="O39" s="2">
        <v>840.39428999999905</v>
      </c>
      <c r="P39" s="2">
        <v>911.585975732272</v>
      </c>
      <c r="Q39" s="2">
        <v>828.52740000000006</v>
      </c>
      <c r="R39" s="2">
        <v>960</v>
      </c>
      <c r="S39" s="2">
        <v>676.27729999999997</v>
      </c>
      <c r="T39" s="2"/>
      <c r="U39" s="2"/>
      <c r="V39" s="2"/>
      <c r="W39" s="2"/>
      <c r="X39" s="2"/>
      <c r="Y39" s="2"/>
      <c r="Z39" s="2">
        <v>503.08739576376098</v>
      </c>
      <c r="AA39" s="2">
        <v>173.69900000000001</v>
      </c>
      <c r="AB39" s="2">
        <v>327.41341690776397</v>
      </c>
      <c r="AC39" s="2">
        <v>362.06252000000006</v>
      </c>
      <c r="AD39" s="2">
        <v>373.99998821990602</v>
      </c>
      <c r="AE39" s="2">
        <v>70.485659999999996</v>
      </c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>
        <v>1.900162989419</v>
      </c>
      <c r="BE39" s="2">
        <v>0</v>
      </c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>
        <v>0</v>
      </c>
      <c r="KE39" s="2">
        <v>40</v>
      </c>
      <c r="KF39" s="2">
        <v>0</v>
      </c>
      <c r="KG39" s="2">
        <v>35.86</v>
      </c>
      <c r="KH39" s="2">
        <v>0</v>
      </c>
      <c r="KI39" s="2">
        <v>40</v>
      </c>
      <c r="KJ39" s="2">
        <v>-220.000142859021</v>
      </c>
      <c r="KK39" s="2">
        <v>0</v>
      </c>
      <c r="KL39" s="2">
        <v>-138.999975770215</v>
      </c>
      <c r="KM39" s="2">
        <v>0</v>
      </c>
      <c r="KN39" s="2">
        <v>-120</v>
      </c>
      <c r="KO39" s="2">
        <v>0</v>
      </c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</row>
    <row r="40" spans="1:351">
      <c r="A40" s="1" t="s">
        <v>80</v>
      </c>
      <c r="B40" s="2">
        <v>6.024576592941</v>
      </c>
      <c r="C40" s="2">
        <v>23.884499999999999</v>
      </c>
      <c r="D40" s="2">
        <v>89.883333276198996</v>
      </c>
      <c r="E40" s="2">
        <v>151.73400000000001</v>
      </c>
      <c r="F40" s="2">
        <v>149.999995275364</v>
      </c>
      <c r="G40" s="2">
        <v>84.518500000000003</v>
      </c>
      <c r="H40" s="2">
        <v>6.7497991583030004</v>
      </c>
      <c r="I40" s="2">
        <v>8.2941999999979998</v>
      </c>
      <c r="J40" s="2">
        <v>8.3089700325929989</v>
      </c>
      <c r="K40" s="2">
        <v>7.7021700000000006</v>
      </c>
      <c r="L40" s="2">
        <v>8.3798697360529992</v>
      </c>
      <c r="M40" s="2">
        <v>2.1427499999999999</v>
      </c>
      <c r="N40" s="2">
        <v>8.549526881508001</v>
      </c>
      <c r="O40" s="2">
        <v>8.3312600000000003</v>
      </c>
      <c r="P40" s="2">
        <v>8.3317866874449997</v>
      </c>
      <c r="Q40" s="2">
        <v>3.8010600000000005</v>
      </c>
      <c r="R40" s="2">
        <v>7.9999997480169993</v>
      </c>
      <c r="S40" s="2">
        <v>2.7557099999999997</v>
      </c>
      <c r="T40" s="2">
        <v>5.6996845876729996</v>
      </c>
      <c r="U40" s="2">
        <v>3.6581299999999994</v>
      </c>
      <c r="V40" s="2">
        <v>3.6583612604739999</v>
      </c>
      <c r="W40" s="2">
        <v>2.2260499999999999</v>
      </c>
      <c r="X40" s="2">
        <v>3.9999998740090001</v>
      </c>
      <c r="Y40" s="2">
        <v>2.4331100000000001</v>
      </c>
      <c r="Z40" s="2">
        <v>1.9499784322329998</v>
      </c>
      <c r="AA40" s="2">
        <v>1.7420999999989999</v>
      </c>
      <c r="AB40" s="2">
        <v>1.742210132464</v>
      </c>
      <c r="AC40" s="2">
        <v>2.8365900000000002</v>
      </c>
      <c r="AD40" s="2">
        <v>2.249319929151</v>
      </c>
      <c r="AE40" s="2">
        <v>0.58372000000000002</v>
      </c>
      <c r="AF40" s="2">
        <v>1.899932860454</v>
      </c>
      <c r="AG40" s="2">
        <v>1.6200600000000001</v>
      </c>
      <c r="AH40" s="2">
        <v>1.620162417313</v>
      </c>
      <c r="AI40" s="2">
        <v>1.6990499999999999</v>
      </c>
      <c r="AJ40" s="2">
        <v>1.699049946483</v>
      </c>
      <c r="AK40" s="2">
        <v>0</v>
      </c>
      <c r="AL40" s="2">
        <v>4.7497751542910001</v>
      </c>
      <c r="AM40" s="2">
        <v>2.8090199999989993</v>
      </c>
      <c r="AN40" s="2">
        <v>2.8091975812499999</v>
      </c>
      <c r="AO40" s="2">
        <v>2.3058000000000001</v>
      </c>
      <c r="AP40" s="2">
        <v>2.8037699116880002</v>
      </c>
      <c r="AQ40" s="2">
        <v>2.9117600000000001</v>
      </c>
      <c r="AR40" s="2">
        <v>643.07270108835496</v>
      </c>
      <c r="AS40" s="2">
        <v>585.07976999999903</v>
      </c>
      <c r="AT40" s="2">
        <v>561.03078727422997</v>
      </c>
      <c r="AU40" s="2">
        <v>369.35375999999997</v>
      </c>
      <c r="AV40" s="2">
        <v>584.99998157391701</v>
      </c>
      <c r="AW40" s="2">
        <v>346.62168999999994</v>
      </c>
      <c r="AX40" s="2">
        <v>14.249097475489</v>
      </c>
      <c r="AY40" s="2">
        <v>5.3289399999999993</v>
      </c>
      <c r="AZ40" s="2">
        <v>5.3292768861109998</v>
      </c>
      <c r="BA40" s="2">
        <v>3.8418799999999997</v>
      </c>
      <c r="BB40" s="2">
        <v>4.9999998425119996</v>
      </c>
      <c r="BC40" s="2">
        <v>0.8236</v>
      </c>
      <c r="BD40" s="2">
        <v>19.649939015312</v>
      </c>
      <c r="BE40" s="2">
        <v>29.205549999999</v>
      </c>
      <c r="BF40" s="2">
        <v>31.355971431692005</v>
      </c>
      <c r="BG40" s="2">
        <v>3.0689299999999999</v>
      </c>
      <c r="BH40" s="2">
        <v>3.9999998740080001</v>
      </c>
      <c r="BI40" s="2">
        <v>5.34368</v>
      </c>
      <c r="BJ40" s="2"/>
      <c r="BK40" s="2"/>
      <c r="BL40" s="2"/>
      <c r="BM40" s="2"/>
      <c r="BN40" s="2">
        <v>0</v>
      </c>
      <c r="BO40" s="2">
        <v>0.12705</v>
      </c>
      <c r="BP40" s="2">
        <v>0.94990943338099998</v>
      </c>
      <c r="BQ40" s="2">
        <v>1.1637500000000001</v>
      </c>
      <c r="BR40" s="2">
        <v>1.1638235702049999</v>
      </c>
      <c r="BS40" s="2">
        <v>0.71174999999999999</v>
      </c>
      <c r="BT40" s="2">
        <v>0.99999996850200001</v>
      </c>
      <c r="BU40" s="2">
        <v>0.94425000000000003</v>
      </c>
      <c r="BV40" s="2">
        <v>1.899932860454</v>
      </c>
      <c r="BW40" s="2">
        <v>0.97439999999999993</v>
      </c>
      <c r="BX40" s="2">
        <v>-2.5538400163999997E-2</v>
      </c>
      <c r="BY40" s="2">
        <v>3.3312199999999996</v>
      </c>
      <c r="BZ40" s="2">
        <v>2.9999999055059998</v>
      </c>
      <c r="CA40" s="2">
        <v>3.0842900000000002</v>
      </c>
      <c r="CB40" s="2">
        <v>0</v>
      </c>
      <c r="CC40" s="2">
        <v>2.3077999999999999</v>
      </c>
      <c r="CD40" s="2">
        <v>3.3079458950119998</v>
      </c>
      <c r="CE40" s="2">
        <v>3.2735000000000007</v>
      </c>
      <c r="CF40" s="2">
        <v>1.9999999370029999</v>
      </c>
      <c r="CG40" s="2">
        <v>2.6438800000000002</v>
      </c>
      <c r="CH40" s="2"/>
      <c r="CI40" s="2"/>
      <c r="CJ40" s="2"/>
      <c r="CK40" s="2"/>
      <c r="CL40" s="2"/>
      <c r="CM40" s="2"/>
      <c r="CN40" s="2">
        <v>8.5705728993070007</v>
      </c>
      <c r="CO40" s="2">
        <v>9.5640699999980008</v>
      </c>
      <c r="CP40" s="2">
        <v>13.564611405279001</v>
      </c>
      <c r="CQ40" s="2">
        <v>13.991499999999998</v>
      </c>
      <c r="CR40" s="2">
        <v>22.057052419710999</v>
      </c>
      <c r="CS40" s="2">
        <v>8.8515300000000003</v>
      </c>
      <c r="CT40" s="2">
        <v>10.950599421902</v>
      </c>
      <c r="CU40" s="2">
        <v>6.8998699999999999</v>
      </c>
      <c r="CV40" s="2">
        <v>6.9003061975139994</v>
      </c>
      <c r="CW40" s="2">
        <v>1.8087900000000001</v>
      </c>
      <c r="CX40" s="2">
        <v>6.9999997795160001</v>
      </c>
      <c r="CY40" s="2">
        <v>0.79339999999999999</v>
      </c>
      <c r="CZ40" s="2">
        <v>0</v>
      </c>
      <c r="DA40" s="2">
        <v>2.24E-2</v>
      </c>
      <c r="DB40" s="2">
        <v>2.2401416088E-2</v>
      </c>
      <c r="DC40" s="2">
        <v>0</v>
      </c>
      <c r="DD40" s="2"/>
      <c r="DE40" s="2"/>
      <c r="DF40" s="2"/>
      <c r="DG40" s="2"/>
      <c r="DH40" s="2"/>
      <c r="DI40" s="2"/>
      <c r="DJ40" s="2"/>
      <c r="DK40" s="2"/>
      <c r="DL40" s="2">
        <v>1.000068998852</v>
      </c>
      <c r="DM40" s="2">
        <v>0.76167999999999991</v>
      </c>
      <c r="DN40" s="2">
        <v>0.761728152055</v>
      </c>
      <c r="DO40" s="2">
        <v>0.37515999999999999</v>
      </c>
      <c r="DP40" s="2">
        <v>0.15515999511199999</v>
      </c>
      <c r="DQ40" s="2">
        <v>0.28225999999999996</v>
      </c>
      <c r="DR40" s="2">
        <v>1.93981505343</v>
      </c>
      <c r="DS40" s="2">
        <v>0.55164000000000002</v>
      </c>
      <c r="DT40" s="2">
        <v>0.55167487369900003</v>
      </c>
      <c r="DU40" s="2">
        <v>0</v>
      </c>
      <c r="DV40" s="2">
        <v>0</v>
      </c>
      <c r="DW40" s="2">
        <v>0.20328000000000002</v>
      </c>
      <c r="DX40" s="2"/>
      <c r="DY40" s="2"/>
      <c r="DZ40" s="2">
        <v>1</v>
      </c>
      <c r="EA40" s="2">
        <v>0.76122999999999996</v>
      </c>
      <c r="EB40" s="2">
        <v>0.76122997602300002</v>
      </c>
      <c r="EC40" s="2">
        <v>0.36299999999999999</v>
      </c>
      <c r="ED40" s="2">
        <v>3.3538915592479999</v>
      </c>
      <c r="EE40" s="2">
        <v>0.38769999999999999</v>
      </c>
      <c r="EF40" s="2">
        <v>1.3877245097040001</v>
      </c>
      <c r="EG40" s="2">
        <v>0.77522999999999997</v>
      </c>
      <c r="EH40" s="2">
        <v>0.77522997558200002</v>
      </c>
      <c r="EI40" s="2">
        <v>0</v>
      </c>
      <c r="EJ40" s="2"/>
      <c r="EK40" s="2"/>
      <c r="EL40" s="2"/>
      <c r="EM40" s="2"/>
      <c r="EN40" s="2"/>
      <c r="EO40" s="2"/>
      <c r="EP40" s="2">
        <v>0</v>
      </c>
      <c r="EQ40" s="2">
        <v>0.45577999999899999</v>
      </c>
      <c r="ER40" s="2">
        <v>0.45580881360100001</v>
      </c>
      <c r="ES40" s="2">
        <v>0</v>
      </c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>
        <v>45</v>
      </c>
      <c r="FG40" s="2">
        <v>17.375900000000001</v>
      </c>
      <c r="FH40" s="2">
        <v>1.000068998852</v>
      </c>
      <c r="FI40" s="2">
        <v>1.29864</v>
      </c>
      <c r="FJ40" s="2">
        <v>1.298722097712</v>
      </c>
      <c r="FK40" s="2">
        <v>0.47916000000000003</v>
      </c>
      <c r="FL40" s="2">
        <v>0.99999996850200001</v>
      </c>
      <c r="FM40" s="2">
        <v>0.63843000000000005</v>
      </c>
      <c r="FN40" s="2">
        <v>0.94990943338099998</v>
      </c>
      <c r="FO40" s="2">
        <v>1.4084999999999999</v>
      </c>
      <c r="FP40" s="2">
        <v>1.408589042866</v>
      </c>
      <c r="FQ40" s="2">
        <v>0.94200000000000006</v>
      </c>
      <c r="FR40" s="2">
        <v>0.70424997781700005</v>
      </c>
      <c r="FS40" s="2">
        <v>0.6552</v>
      </c>
      <c r="FT40" s="2">
        <v>205.620671887546</v>
      </c>
      <c r="FU40" s="2">
        <v>405.89338000000004</v>
      </c>
      <c r="FV40" s="2">
        <v>492.01640604671996</v>
      </c>
      <c r="FW40" s="2">
        <v>586.61484000000007</v>
      </c>
      <c r="FX40" s="2">
        <v>626.48021082282298</v>
      </c>
      <c r="FY40" s="2">
        <v>577.19722999999999</v>
      </c>
      <c r="FZ40" s="2">
        <v>446.73775030204803</v>
      </c>
      <c r="GA40" s="2">
        <v>838.17429000000095</v>
      </c>
      <c r="GB40" s="2">
        <v>843.05329296134801</v>
      </c>
      <c r="GC40" s="2">
        <v>1001.6093000000001</v>
      </c>
      <c r="GD40" s="2">
        <v>874.8024221405359</v>
      </c>
      <c r="GE40" s="2">
        <v>258.02562999999998</v>
      </c>
      <c r="GF40" s="2">
        <v>2.400165597245</v>
      </c>
      <c r="GG40" s="2">
        <v>1.452</v>
      </c>
      <c r="GH40" s="2">
        <v>1.4520917928579999</v>
      </c>
      <c r="GI40" s="2">
        <v>1.1512</v>
      </c>
      <c r="GJ40" s="2">
        <v>0.86079997288599996</v>
      </c>
      <c r="GK40" s="2">
        <v>0.64596000000000009</v>
      </c>
      <c r="GL40" s="2">
        <v>283.513351277879</v>
      </c>
      <c r="GM40" s="2">
        <v>356.73751999999905</v>
      </c>
      <c r="GN40" s="2">
        <v>413.01883903022701</v>
      </c>
      <c r="GO40" s="2">
        <v>483.24504999999999</v>
      </c>
      <c r="GP40" s="2">
        <v>446.99998592058301</v>
      </c>
      <c r="GQ40" s="2">
        <v>322.01203999999996</v>
      </c>
      <c r="GR40" s="2">
        <v>0.99990466671699996</v>
      </c>
      <c r="GS40" s="2">
        <v>0</v>
      </c>
      <c r="GT40" s="2"/>
      <c r="GU40" s="2"/>
      <c r="GV40" s="2"/>
      <c r="GW40" s="2"/>
      <c r="GX40" s="2">
        <v>512.68348447116898</v>
      </c>
      <c r="GY40" s="2">
        <v>511.88050999999894</v>
      </c>
      <c r="GZ40" s="2">
        <v>528.02459188845103</v>
      </c>
      <c r="HA40" s="2">
        <v>565.97784000000001</v>
      </c>
      <c r="HB40" s="2">
        <v>506.99998560560698</v>
      </c>
      <c r="HC40" s="2">
        <v>476.36638000000005</v>
      </c>
      <c r="HD40" s="2">
        <v>35.997721255552001</v>
      </c>
      <c r="HE40" s="2">
        <v>32.321579999999997</v>
      </c>
      <c r="HF40" s="2">
        <v>34.001896546666998</v>
      </c>
      <c r="HG40" s="2">
        <v>49.971360000000004</v>
      </c>
      <c r="HH40" s="2">
        <v>61.999998047150001</v>
      </c>
      <c r="HI40" s="2">
        <v>73.358589999999992</v>
      </c>
      <c r="HJ40" s="2"/>
      <c r="HK40" s="2"/>
      <c r="HL40" s="2"/>
      <c r="HM40" s="2"/>
      <c r="HN40" s="2"/>
      <c r="HO40" s="2"/>
      <c r="HP40" s="2">
        <v>47.277730391394002</v>
      </c>
      <c r="HQ40" s="2">
        <v>93.008799999999994</v>
      </c>
      <c r="HR40" s="2">
        <v>99.005436767112002</v>
      </c>
      <c r="HS40" s="2">
        <v>98.239589999999978</v>
      </c>
      <c r="HT40" s="2">
        <v>102.99999675575</v>
      </c>
      <c r="HU40" s="2">
        <v>98.905079999999998</v>
      </c>
      <c r="HV40" s="2">
        <v>163.50728103632099</v>
      </c>
      <c r="HW40" s="2">
        <v>162.24052999999998</v>
      </c>
      <c r="HX40" s="2">
        <v>190.008391870368</v>
      </c>
      <c r="HY40" s="2">
        <v>176.65608999999998</v>
      </c>
      <c r="HZ40" s="2">
        <v>206.99999348000199</v>
      </c>
      <c r="IA40" s="2">
        <v>162.15655999999998</v>
      </c>
      <c r="IB40" s="2">
        <v>408.261309686517</v>
      </c>
      <c r="IC40" s="2">
        <v>505.07661000000002</v>
      </c>
      <c r="ID40" s="2">
        <v>1107.67532158831</v>
      </c>
      <c r="IE40" s="2">
        <v>975.44633999999996</v>
      </c>
      <c r="IF40" s="2">
        <v>1160.027832630627</v>
      </c>
      <c r="IG40" s="2">
        <v>972.80680999999981</v>
      </c>
      <c r="IH40" s="2"/>
      <c r="II40" s="2"/>
      <c r="IJ40" s="2"/>
      <c r="IK40" s="2"/>
      <c r="IL40" s="2"/>
      <c r="IM40" s="2"/>
      <c r="IN40" s="2">
        <v>22.349373885152005</v>
      </c>
      <c r="IO40" s="2">
        <v>4.4870000000000001</v>
      </c>
      <c r="IP40" s="2">
        <v>5.0003160911109994</v>
      </c>
      <c r="IQ40" s="2">
        <v>6.21591</v>
      </c>
      <c r="IR40" s="2">
        <v>7.9999997480190004</v>
      </c>
      <c r="IS40" s="2">
        <v>5.3902000000000001</v>
      </c>
      <c r="IT40" s="2">
        <v>10.950599421901</v>
      </c>
      <c r="IU40" s="2">
        <v>1.54573</v>
      </c>
      <c r="IV40" s="2">
        <v>2.5458277183010001</v>
      </c>
      <c r="IW40" s="2">
        <v>1.02559</v>
      </c>
      <c r="IX40" s="2">
        <v>1.999999937004</v>
      </c>
      <c r="IY40" s="2">
        <v>0.56197000000000008</v>
      </c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>
        <v>0.94990943338099998</v>
      </c>
      <c r="JM40" s="2">
        <v>0.73479000000000005</v>
      </c>
      <c r="JN40" s="2">
        <v>0.73483645211699999</v>
      </c>
      <c r="JO40" s="2">
        <v>0.36951999999999996</v>
      </c>
      <c r="JP40" s="2">
        <v>0.36951998836099997</v>
      </c>
      <c r="JQ40" s="2">
        <v>1.1046899999999999</v>
      </c>
      <c r="JR40" s="2"/>
      <c r="JS40" s="2"/>
      <c r="JT40" s="2"/>
      <c r="JU40" s="2"/>
      <c r="JV40" s="2"/>
      <c r="JW40" s="2"/>
      <c r="JX40" s="2"/>
      <c r="JY40" s="2"/>
      <c r="JZ40" s="2">
        <v>0</v>
      </c>
      <c r="KA40" s="2">
        <v>24.960830000000001</v>
      </c>
      <c r="KB40" s="2">
        <v>0</v>
      </c>
      <c r="KC40" s="2">
        <v>27.26444</v>
      </c>
      <c r="KD40" s="2">
        <v>0</v>
      </c>
      <c r="KE40" s="2">
        <v>471.31610999999998</v>
      </c>
      <c r="KF40" s="2">
        <v>0</v>
      </c>
      <c r="KG40" s="2">
        <v>490.50280999999995</v>
      </c>
      <c r="KH40" s="2">
        <v>499.99998425121203</v>
      </c>
      <c r="KI40" s="2">
        <v>126.84193999999999</v>
      </c>
      <c r="KJ40" s="2">
        <v>-1187.0970933579399</v>
      </c>
      <c r="KK40" s="2">
        <v>0</v>
      </c>
      <c r="KL40" s="2">
        <v>-784.86065705032695</v>
      </c>
      <c r="KM40" s="2">
        <v>0</v>
      </c>
      <c r="KN40" s="2">
        <v>-317</v>
      </c>
      <c r="KO40" s="2">
        <v>0</v>
      </c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>
        <v>101.80173990303101</v>
      </c>
      <c r="LG40" s="2">
        <v>94.560779999999994</v>
      </c>
      <c r="LH40" s="2">
        <v>122.889438850548</v>
      </c>
      <c r="LI40" s="2">
        <v>168.77742999999998</v>
      </c>
      <c r="LJ40" s="2">
        <v>244.999994487924</v>
      </c>
      <c r="LK40" s="2">
        <v>203.14586</v>
      </c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>
        <v>0</v>
      </c>
      <c r="MG40" s="2">
        <v>13.85934</v>
      </c>
      <c r="MH40" s="2"/>
      <c r="MI40" s="2"/>
      <c r="MJ40" s="2"/>
      <c r="MK40" s="2"/>
      <c r="ML40" s="2"/>
      <c r="MM40" s="2"/>
    </row>
    <row r="41" spans="1:351">
      <c r="A41" s="1" t="s">
        <v>81</v>
      </c>
      <c r="B41" s="2">
        <v>398.75799806598599</v>
      </c>
      <c r="C41" s="2">
        <v>386.99755999999894</v>
      </c>
      <c r="D41" s="2">
        <v>405.79875090366397</v>
      </c>
      <c r="E41" s="2">
        <v>489.95100000000002</v>
      </c>
      <c r="F41" s="2">
        <v>449.99998582608998</v>
      </c>
      <c r="G41" s="2">
        <v>335.0521</v>
      </c>
      <c r="H41" s="2">
        <v>260.48579638787999</v>
      </c>
      <c r="I41" s="2">
        <v>271.10201999999902</v>
      </c>
      <c r="J41" s="2">
        <v>273.75362782757594</v>
      </c>
      <c r="K41" s="2">
        <v>250.82475000000002</v>
      </c>
      <c r="L41" s="2">
        <v>254.36101720173798</v>
      </c>
      <c r="M41" s="2">
        <v>217.39973999999998</v>
      </c>
      <c r="N41" s="2">
        <v>487.970019795094</v>
      </c>
      <c r="O41" s="2">
        <v>629.88904999999693</v>
      </c>
      <c r="P41" s="2">
        <v>635.32146088470495</v>
      </c>
      <c r="Q41" s="2">
        <v>621.17962</v>
      </c>
      <c r="R41" s="2">
        <v>629.99998015652409</v>
      </c>
      <c r="S41" s="2">
        <v>487.09703000000007</v>
      </c>
      <c r="T41" s="2">
        <v>815.47051613613905</v>
      </c>
      <c r="U41" s="2">
        <v>898.30140999999799</v>
      </c>
      <c r="V41" s="2">
        <v>897.34421625042114</v>
      </c>
      <c r="W41" s="2">
        <v>797.86924999999997</v>
      </c>
      <c r="X41" s="2">
        <v>835.09069278921413</v>
      </c>
      <c r="Y41" s="2">
        <v>550.92647999999997</v>
      </c>
      <c r="Z41" s="2">
        <v>383.82699614677898</v>
      </c>
      <c r="AA41" s="2">
        <v>363.50039999999694</v>
      </c>
      <c r="AB41" s="2">
        <v>361.32702184719096</v>
      </c>
      <c r="AC41" s="2">
        <v>352.23221000000001</v>
      </c>
      <c r="AD41" s="2">
        <v>314.99999007826199</v>
      </c>
      <c r="AE41" s="2">
        <v>233.62594000000001</v>
      </c>
      <c r="AF41" s="2">
        <v>728.03896267996492</v>
      </c>
      <c r="AG41" s="2">
        <v>757.46900999999707</v>
      </c>
      <c r="AH41" s="2">
        <v>901.1916142765981</v>
      </c>
      <c r="AI41" s="2">
        <v>1268.6600099999998</v>
      </c>
      <c r="AJ41" s="2">
        <v>1279.999959683101</v>
      </c>
      <c r="AK41" s="2">
        <v>934.88922999999988</v>
      </c>
      <c r="AL41" s="2">
        <v>862.4882348840631</v>
      </c>
      <c r="AM41" s="2">
        <v>781.34565999999791</v>
      </c>
      <c r="AN41" s="2">
        <v>854.14199860669498</v>
      </c>
      <c r="AO41" s="2">
        <v>862.45240000000013</v>
      </c>
      <c r="AP41" s="2">
        <v>836.26899419389099</v>
      </c>
      <c r="AQ41" s="2">
        <v>699.54989</v>
      </c>
      <c r="AR41" s="2">
        <v>366.55201147941403</v>
      </c>
      <c r="AS41" s="2">
        <v>397.32401999999502</v>
      </c>
      <c r="AT41" s="2">
        <v>392.2275714223</v>
      </c>
      <c r="AU41" s="2">
        <v>449.15289000000007</v>
      </c>
      <c r="AV41" s="2">
        <v>487.34239886944499</v>
      </c>
      <c r="AW41" s="2">
        <v>348.04665</v>
      </c>
      <c r="AX41" s="2">
        <v>226.225111541991</v>
      </c>
      <c r="AY41" s="2">
        <v>154.47793999999902</v>
      </c>
      <c r="AZ41" s="2">
        <v>161.82924209274699</v>
      </c>
      <c r="BA41" s="2">
        <v>165.79262</v>
      </c>
      <c r="BB41" s="2">
        <v>163.999994834397</v>
      </c>
      <c r="BC41" s="2">
        <v>124.00888999999998</v>
      </c>
      <c r="BD41" s="2">
        <v>374.30393619872495</v>
      </c>
      <c r="BE41" s="2">
        <v>340.60383999999402</v>
      </c>
      <c r="BF41" s="2">
        <v>391.378415967443</v>
      </c>
      <c r="BG41" s="2">
        <v>509.64839000000001</v>
      </c>
      <c r="BH41" s="2">
        <v>563.32709348479102</v>
      </c>
      <c r="BI41" s="2">
        <v>496.88533000000001</v>
      </c>
      <c r="BJ41" s="2">
        <v>1090.140786255203</v>
      </c>
      <c r="BK41" s="2">
        <v>1096.6225899999981</v>
      </c>
      <c r="BL41" s="2">
        <v>977.11639581973395</v>
      </c>
      <c r="BM41" s="2">
        <v>1003.6373599999999</v>
      </c>
      <c r="BN41" s="2">
        <v>1045.999967053534</v>
      </c>
      <c r="BO41" s="2">
        <v>624.22366</v>
      </c>
      <c r="BP41" s="2">
        <v>126.968429421015</v>
      </c>
      <c r="BQ41" s="2">
        <v>128.923699999999</v>
      </c>
      <c r="BR41" s="2">
        <v>129.21687912864701</v>
      </c>
      <c r="BS41" s="2">
        <v>142.65965</v>
      </c>
      <c r="BT41" s="2">
        <v>128.99999593681099</v>
      </c>
      <c r="BU41" s="2">
        <v>102.81627</v>
      </c>
      <c r="BV41" s="2">
        <v>302.85586189087098</v>
      </c>
      <c r="BW41" s="2">
        <v>332.12343999999905</v>
      </c>
      <c r="BX41" s="2">
        <v>360.87874240864903</v>
      </c>
      <c r="BY41" s="2">
        <v>459.05103999999994</v>
      </c>
      <c r="BZ41" s="2">
        <v>441.99998607807004</v>
      </c>
      <c r="CA41" s="2">
        <v>353.22111999999998</v>
      </c>
      <c r="CB41" s="2">
        <v>99.577040290193992</v>
      </c>
      <c r="CC41" s="2">
        <v>80.29947999999699</v>
      </c>
      <c r="CD41" s="2">
        <v>73.482089457518001</v>
      </c>
      <c r="CE41" s="2">
        <v>40.730149999999995</v>
      </c>
      <c r="CF41" s="2">
        <v>39.999998740096004</v>
      </c>
      <c r="CG41" s="2">
        <v>30.447600000000001</v>
      </c>
      <c r="CH41" s="2">
        <v>8.3957019455089998</v>
      </c>
      <c r="CI41" s="2">
        <v>5.9293500000000003</v>
      </c>
      <c r="CJ41" s="2">
        <v>5.942833647044</v>
      </c>
      <c r="CK41" s="2">
        <v>6.6524300000000007</v>
      </c>
      <c r="CL41" s="2">
        <v>5.9999998110139998</v>
      </c>
      <c r="CM41" s="2">
        <v>4.3869100000000003</v>
      </c>
      <c r="CN41" s="2">
        <v>70.148630573782</v>
      </c>
      <c r="CO41" s="2">
        <v>66.263989999996994</v>
      </c>
      <c r="CP41" s="2">
        <v>74.414679877185009</v>
      </c>
      <c r="CQ41" s="2">
        <v>180.78627000000003</v>
      </c>
      <c r="CR41" s="2">
        <v>112.93151392095299</v>
      </c>
      <c r="CS41" s="2">
        <v>110.615589999999</v>
      </c>
      <c r="CT41" s="2">
        <v>94.452188398065999</v>
      </c>
      <c r="CU41" s="2">
        <v>109.006249999998</v>
      </c>
      <c r="CV41" s="2">
        <v>109.25413582232602</v>
      </c>
      <c r="CW41" s="2">
        <v>176.85182000000003</v>
      </c>
      <c r="CX41" s="2">
        <v>168.99999467690702</v>
      </c>
      <c r="CY41" s="2">
        <v>110.90788999999999</v>
      </c>
      <c r="CZ41" s="2">
        <v>10.309196534225</v>
      </c>
      <c r="DA41" s="2">
        <v>6.6962899999989993</v>
      </c>
      <c r="DB41" s="2">
        <v>6.7115177080710007</v>
      </c>
      <c r="DC41" s="2">
        <v>9.0189200000000014</v>
      </c>
      <c r="DD41" s="2">
        <v>8.9999997165199996</v>
      </c>
      <c r="DE41" s="2">
        <v>4.80802</v>
      </c>
      <c r="DF41" s="2">
        <v>3.0494912279399999</v>
      </c>
      <c r="DG41" s="2">
        <v>2.3810899999999999</v>
      </c>
      <c r="DH41" s="2">
        <v>2.3865047211979999</v>
      </c>
      <c r="DI41" s="2">
        <v>3.50739</v>
      </c>
      <c r="DJ41" s="2">
        <v>1.999999937004</v>
      </c>
      <c r="DK41" s="2">
        <v>1.46174</v>
      </c>
      <c r="DL41" s="2">
        <v>144.072928014345</v>
      </c>
      <c r="DM41" s="2">
        <v>126.54946999999801</v>
      </c>
      <c r="DN41" s="2">
        <v>125.83725539183899</v>
      </c>
      <c r="DO41" s="2">
        <v>128.39649999999997</v>
      </c>
      <c r="DP41" s="2">
        <v>191.99999612579799</v>
      </c>
      <c r="DQ41" s="2">
        <v>103.40286</v>
      </c>
      <c r="DR41" s="2">
        <v>178.78372572535199</v>
      </c>
      <c r="DS41" s="2">
        <v>172.99750999999901</v>
      </c>
      <c r="DT41" s="2">
        <v>168.39091900984999</v>
      </c>
      <c r="DU41" s="2">
        <v>176.45568</v>
      </c>
      <c r="DV41" s="2">
        <v>176.99999455091799</v>
      </c>
      <c r="DW41" s="2">
        <v>143.14487999999997</v>
      </c>
      <c r="DX41" s="2">
        <v>27.804848366213001</v>
      </c>
      <c r="DY41" s="2">
        <v>26.319679999999003</v>
      </c>
      <c r="DZ41" s="2">
        <v>26.379532306818</v>
      </c>
      <c r="EA41" s="2">
        <v>20.084609999999998</v>
      </c>
      <c r="EB41" s="2">
        <v>25.999999181061998</v>
      </c>
      <c r="EC41" s="2">
        <v>20.609090000000002</v>
      </c>
      <c r="ED41" s="2">
        <v>51.353321477169999</v>
      </c>
      <c r="EE41" s="2">
        <v>53.079820000000005</v>
      </c>
      <c r="EF41" s="2">
        <v>54.200525703906003</v>
      </c>
      <c r="EG41" s="2">
        <v>58.391559999999998</v>
      </c>
      <c r="EH41" s="2">
        <v>60.999998078647003</v>
      </c>
      <c r="EI41" s="2">
        <v>49.016609999998991</v>
      </c>
      <c r="EJ41" s="2">
        <v>268.43454764061198</v>
      </c>
      <c r="EK41" s="2">
        <v>256.392529999999</v>
      </c>
      <c r="EL41" s="2">
        <v>261.97558519243802</v>
      </c>
      <c r="EM41" s="2">
        <v>289.79903999999999</v>
      </c>
      <c r="EN41" s="2">
        <v>261.69790501247701</v>
      </c>
      <c r="EO41" s="2">
        <v>184.08339999999998</v>
      </c>
      <c r="EP41" s="2">
        <v>46.041163431722005</v>
      </c>
      <c r="EQ41" s="2">
        <v>55.215649999997993</v>
      </c>
      <c r="ER41" s="2">
        <v>55.341213229682999</v>
      </c>
      <c r="ES41" s="2">
        <v>57.140590000000003</v>
      </c>
      <c r="ET41" s="2">
        <v>61.999998299129999</v>
      </c>
      <c r="EU41" s="2">
        <v>43.586299999999994</v>
      </c>
      <c r="EV41" s="2">
        <v>0</v>
      </c>
      <c r="EW41" s="2">
        <v>9.7289999999999988E-2</v>
      </c>
      <c r="EX41" s="2">
        <v>9.7511242466E-2</v>
      </c>
      <c r="EY41" s="2">
        <v>0.18228</v>
      </c>
      <c r="EZ41" s="2">
        <v>0.417359986854</v>
      </c>
      <c r="FA41" s="2">
        <v>2.2109999999999998E-2</v>
      </c>
      <c r="FB41" s="2">
        <v>119.26145249707</v>
      </c>
      <c r="FC41" s="2">
        <v>171.62941999999998</v>
      </c>
      <c r="FD41" s="2">
        <v>264.01972221030297</v>
      </c>
      <c r="FE41" s="2">
        <v>256.24878999999999</v>
      </c>
      <c r="FF41" s="2">
        <v>354.92981404305698</v>
      </c>
      <c r="FG41" s="2">
        <v>157.32128999999998</v>
      </c>
      <c r="FH41" s="2">
        <v>234.36341287002901</v>
      </c>
      <c r="FI41" s="2">
        <v>234.79848999999899</v>
      </c>
      <c r="FJ41" s="2">
        <v>249.33245323360998</v>
      </c>
      <c r="FK41" s="2">
        <v>251.68278000000004</v>
      </c>
      <c r="FL41" s="2">
        <v>255.122051964273</v>
      </c>
      <c r="FM41" s="2">
        <v>189.22894000000002</v>
      </c>
      <c r="FN41" s="2">
        <v>932.36092647025202</v>
      </c>
      <c r="FO41" s="2">
        <v>1015.715049999998</v>
      </c>
      <c r="FP41" s="2">
        <v>1013.024875986596</v>
      </c>
      <c r="FQ41" s="2">
        <v>899.32891000000006</v>
      </c>
      <c r="FR41" s="2">
        <v>1000.374835101244</v>
      </c>
      <c r="FS41" s="2">
        <v>672.90149999999994</v>
      </c>
      <c r="FT41" s="2">
        <v>515.38149183454198</v>
      </c>
      <c r="FU41" s="2">
        <v>564.89261999999599</v>
      </c>
      <c r="FV41" s="2">
        <v>553.17725688745202</v>
      </c>
      <c r="FW41" s="2">
        <v>738.8983199999999</v>
      </c>
      <c r="FX41" s="2">
        <v>851.99997316406393</v>
      </c>
      <c r="FY41" s="2">
        <v>652.00058999999999</v>
      </c>
      <c r="FZ41" s="2">
        <v>20.791786382621002</v>
      </c>
      <c r="GA41" s="2">
        <v>9.8903400000000019</v>
      </c>
      <c r="GB41" s="2">
        <v>9.912831142148999</v>
      </c>
      <c r="GC41" s="2">
        <v>9.7318699999999989</v>
      </c>
      <c r="GD41" s="2">
        <v>9.9999996850229991</v>
      </c>
      <c r="GE41" s="2">
        <v>4.2794499999999998</v>
      </c>
      <c r="GF41" s="2">
        <v>88.901197910929</v>
      </c>
      <c r="GG41" s="2">
        <v>67.908159999999995</v>
      </c>
      <c r="GH41" s="2">
        <v>68.062586650621</v>
      </c>
      <c r="GI41" s="2">
        <v>67.516279999999995</v>
      </c>
      <c r="GJ41" s="2">
        <v>67.999997858163994</v>
      </c>
      <c r="GK41" s="2">
        <v>56.111660000000001</v>
      </c>
      <c r="GL41" s="2">
        <v>192.92283506681599</v>
      </c>
      <c r="GM41" s="2">
        <v>186.74610000000001</v>
      </c>
      <c r="GN41" s="2">
        <v>205.17078101077701</v>
      </c>
      <c r="GO41" s="2">
        <v>258.23910999999998</v>
      </c>
      <c r="GP41" s="2">
        <v>206.999993480001</v>
      </c>
      <c r="GQ41" s="2">
        <v>121.21087000000001</v>
      </c>
      <c r="GR41" s="2"/>
      <c r="GS41" s="2"/>
      <c r="GT41" s="2"/>
      <c r="GU41" s="2"/>
      <c r="GV41" s="2">
        <v>0</v>
      </c>
      <c r="GW41" s="2">
        <v>0.28936000000000001</v>
      </c>
      <c r="GX41" s="2">
        <v>24.950920790903002</v>
      </c>
      <c r="GY41" s="2">
        <v>25.10736</v>
      </c>
      <c r="GZ41" s="2">
        <v>20.164457582506998</v>
      </c>
      <c r="HA41" s="2">
        <v>16.68862</v>
      </c>
      <c r="HB41" s="2">
        <v>24.999999212559999</v>
      </c>
      <c r="HC41" s="2">
        <v>12.409990000000001</v>
      </c>
      <c r="HD41" s="2">
        <v>30.236678500842</v>
      </c>
      <c r="HE41" s="2">
        <v>33.004460000000002</v>
      </c>
      <c r="HF41" s="2">
        <v>32.079515455878997</v>
      </c>
      <c r="HG41" s="2">
        <v>36.336419999999997</v>
      </c>
      <c r="HH41" s="2">
        <v>32.999998960580001</v>
      </c>
      <c r="HI41" s="2">
        <v>24.596690000000002</v>
      </c>
      <c r="HJ41" s="2">
        <v>0</v>
      </c>
      <c r="HK41" s="2">
        <v>0.18515999999999999</v>
      </c>
      <c r="HL41" s="2">
        <v>0.18558106336800001</v>
      </c>
      <c r="HM41" s="2">
        <v>0</v>
      </c>
      <c r="HN41" s="2"/>
      <c r="HO41" s="2"/>
      <c r="HP41" s="2">
        <v>20.677497167609999</v>
      </c>
      <c r="HQ41" s="2">
        <v>16.310189999999995</v>
      </c>
      <c r="HR41" s="2">
        <v>16.347280211436999</v>
      </c>
      <c r="HS41" s="2">
        <v>12.639319999999998</v>
      </c>
      <c r="HT41" s="2">
        <v>15.999999496038001</v>
      </c>
      <c r="HU41" s="2">
        <v>11.411049999999999</v>
      </c>
      <c r="HV41" s="2">
        <v>19.995590312931</v>
      </c>
      <c r="HW41" s="2">
        <v>19.982999999999997</v>
      </c>
      <c r="HX41" s="2">
        <v>20.028442370392</v>
      </c>
      <c r="HY41" s="2">
        <v>19.979389999999999</v>
      </c>
      <c r="HZ41" s="2">
        <v>19.999999370047998</v>
      </c>
      <c r="IA41" s="2">
        <v>13.402130000000001</v>
      </c>
      <c r="IB41" s="2">
        <v>21.400456806360999</v>
      </c>
      <c r="IC41" s="2">
        <v>8.9311999999999987</v>
      </c>
      <c r="ID41" s="2">
        <v>8.9515100084280004</v>
      </c>
      <c r="IE41" s="2">
        <v>9.9499800000000018</v>
      </c>
      <c r="IF41" s="2">
        <v>8.9999997165209997</v>
      </c>
      <c r="IG41" s="2">
        <v>5.717039999999999</v>
      </c>
      <c r="IH41" s="2">
        <v>1547.0317157657582</v>
      </c>
      <c r="II41" s="2">
        <v>1550.5245699999998</v>
      </c>
      <c r="IJ41" s="2">
        <v>1554.0505426673999</v>
      </c>
      <c r="IK41" s="2">
        <v>1587.8419799999999</v>
      </c>
      <c r="IL41" s="2">
        <v>5489.9998270783099</v>
      </c>
      <c r="IM41" s="2">
        <v>2417.7793300000003</v>
      </c>
      <c r="IN41" s="2">
        <v>26.236839335258999</v>
      </c>
      <c r="IO41" s="2">
        <v>21.957809999999004</v>
      </c>
      <c r="IP41" s="2">
        <v>25.00774426684</v>
      </c>
      <c r="IQ41" s="2">
        <v>27.488739999999002</v>
      </c>
      <c r="IR41" s="2">
        <v>27.697307207306</v>
      </c>
      <c r="IS41" s="2">
        <v>16.509370000000004</v>
      </c>
      <c r="IT41" s="2">
        <v>1081.8896391748549</v>
      </c>
      <c r="IU41" s="2">
        <v>1023.1868399999989</v>
      </c>
      <c r="IV41" s="2">
        <v>1008.5136889895209</v>
      </c>
      <c r="IW41" s="2">
        <v>938.61281000000008</v>
      </c>
      <c r="IX41" s="2">
        <v>1021.9999678094761</v>
      </c>
      <c r="IY41" s="2">
        <v>794.67553999999996</v>
      </c>
      <c r="IZ41" s="2">
        <v>0</v>
      </c>
      <c r="JA41" s="2">
        <v>2.7119999999999997</v>
      </c>
      <c r="JB41" s="2">
        <v>6.7181672275680002</v>
      </c>
      <c r="JC41" s="2">
        <v>2.6619999999999999</v>
      </c>
      <c r="JD41" s="2">
        <v>3.6619999161529999</v>
      </c>
      <c r="JE41" s="2">
        <v>2.6520999999999999</v>
      </c>
      <c r="JF41" s="2"/>
      <c r="JG41" s="2"/>
      <c r="JH41" s="2"/>
      <c r="JI41" s="2"/>
      <c r="JJ41" s="2"/>
      <c r="JK41" s="2"/>
      <c r="JL41" s="2">
        <v>361.672213054054</v>
      </c>
      <c r="JM41" s="2">
        <v>359.50360999999896</v>
      </c>
      <c r="JN41" s="2">
        <v>360.32113971040701</v>
      </c>
      <c r="JO41" s="2">
        <v>374.51211999999992</v>
      </c>
      <c r="JP41" s="2">
        <v>382.999987936428</v>
      </c>
      <c r="JQ41" s="2">
        <v>273.81477999999993</v>
      </c>
      <c r="JR41" s="2">
        <v>533.04762797815499</v>
      </c>
      <c r="JS41" s="2">
        <v>519.57904000000008</v>
      </c>
      <c r="JT41" s="2">
        <v>514.76061262915198</v>
      </c>
      <c r="JU41" s="2">
        <v>496.21653000000003</v>
      </c>
      <c r="JV41" s="2">
        <v>514.99998541662092</v>
      </c>
      <c r="JW41" s="2">
        <v>401.88029000000006</v>
      </c>
      <c r="JX41" s="2"/>
      <c r="JY41" s="2"/>
      <c r="JZ41" s="2"/>
      <c r="KA41" s="2"/>
      <c r="KB41" s="2"/>
      <c r="KC41" s="2"/>
      <c r="KD41" s="2">
        <v>0</v>
      </c>
      <c r="KE41" s="2">
        <v>25.115539999999001</v>
      </c>
      <c r="KF41" s="2">
        <v>0</v>
      </c>
      <c r="KG41" s="2">
        <v>39.653370000000002</v>
      </c>
      <c r="KH41" s="2">
        <v>0</v>
      </c>
      <c r="KI41" s="2">
        <v>37.253660000000004</v>
      </c>
      <c r="KJ41" s="2">
        <v>-437.30755352461398</v>
      </c>
      <c r="KK41" s="2">
        <v>0</v>
      </c>
      <c r="KL41" s="2">
        <v>311.05827253105798</v>
      </c>
      <c r="KM41" s="2">
        <v>0</v>
      </c>
      <c r="KN41" s="2">
        <v>1274.7520117044601</v>
      </c>
      <c r="KO41" s="2">
        <v>0</v>
      </c>
      <c r="KP41" s="2">
        <v>0</v>
      </c>
      <c r="KQ41" s="2">
        <v>0</v>
      </c>
      <c r="KR41" s="2">
        <v>0</v>
      </c>
      <c r="KS41" s="2">
        <v>6.1330000000000003E-2</v>
      </c>
      <c r="KT41" s="2">
        <v>3.4109998925000003E-2</v>
      </c>
      <c r="KU41" s="2">
        <v>0</v>
      </c>
      <c r="KV41" s="2">
        <v>0</v>
      </c>
      <c r="KW41" s="2">
        <v>0</v>
      </c>
      <c r="KX41" s="2"/>
      <c r="KY41" s="2"/>
      <c r="KZ41" s="2"/>
      <c r="LA41" s="2"/>
      <c r="LB41" s="2">
        <v>0</v>
      </c>
      <c r="LC41" s="2">
        <v>1.0000828290501751E-12</v>
      </c>
      <c r="LD41" s="2"/>
      <c r="LE41" s="2"/>
      <c r="LF41" s="2">
        <v>47.244154737791</v>
      </c>
      <c r="LG41" s="2">
        <v>23.703459999999001</v>
      </c>
      <c r="LH41" s="2">
        <v>29.757362349459001</v>
      </c>
      <c r="LI41" s="2">
        <v>11.84942</v>
      </c>
      <c r="LJ41" s="2">
        <v>23.999999244057001</v>
      </c>
      <c r="LK41" s="2">
        <v>6.2835500000000009</v>
      </c>
      <c r="LL41" s="2">
        <v>0</v>
      </c>
      <c r="LM41" s="2">
        <v>0.18129999999999999</v>
      </c>
      <c r="LN41" s="2">
        <v>0</v>
      </c>
      <c r="LO41" s="2">
        <v>9.5390000000000003E-2</v>
      </c>
      <c r="LP41" s="2"/>
      <c r="LQ41" s="2"/>
      <c r="LR41" s="2"/>
      <c r="LS41" s="2"/>
      <c r="LT41" s="2"/>
      <c r="LU41" s="2"/>
      <c r="LV41" s="2">
        <v>5</v>
      </c>
      <c r="LW41" s="2">
        <v>13.41173</v>
      </c>
      <c r="LX41" s="2">
        <v>23.442229502671999</v>
      </c>
      <c r="LY41" s="2">
        <v>21.391209999999997</v>
      </c>
      <c r="LZ41" s="2">
        <v>27.999999338550001</v>
      </c>
      <c r="MA41" s="2">
        <v>25.270199999999001</v>
      </c>
      <c r="MB41" s="2"/>
      <c r="MC41" s="2"/>
      <c r="MD41" s="2"/>
      <c r="ME41" s="2"/>
      <c r="MF41" s="2"/>
      <c r="MG41" s="2"/>
      <c r="MH41" s="2"/>
      <c r="MI41" s="2"/>
      <c r="MJ41" s="2">
        <v>0</v>
      </c>
      <c r="MK41" s="2">
        <v>5.9352299999999998</v>
      </c>
      <c r="ML41" s="2">
        <v>30</v>
      </c>
      <c r="MM41" s="2">
        <v>19.92399</v>
      </c>
    </row>
    <row r="42" spans="1:351">
      <c r="A42" s="1" t="s">
        <v>110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>
        <v>29.205701600270999</v>
      </c>
      <c r="BK42" s="2">
        <v>14.173900000000001</v>
      </c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>
        <v>1423.5486613666601</v>
      </c>
      <c r="CC42" s="2">
        <v>1002.6151600000001</v>
      </c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>
        <v>59.745637032982003</v>
      </c>
      <c r="FO42" s="2">
        <v>30.596879999998997</v>
      </c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>
        <v>-22.500014610581001</v>
      </c>
      <c r="KK42" s="2">
        <v>0</v>
      </c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</row>
    <row r="43" spans="1:351">
      <c r="A43" s="1" t="s">
        <v>82</v>
      </c>
      <c r="B43" s="2">
        <v>13351.905674397749</v>
      </c>
      <c r="C43" s="2">
        <v>14263.533730000008</v>
      </c>
      <c r="D43" s="2">
        <v>15036.163472590615</v>
      </c>
      <c r="E43" s="2">
        <v>17046.224800000004</v>
      </c>
      <c r="F43" s="2">
        <v>8220.9727873169977</v>
      </c>
      <c r="G43" s="2">
        <v>6522.0799300000017</v>
      </c>
      <c r="H43" s="2">
        <v>2758.4380228013151</v>
      </c>
      <c r="I43" s="2">
        <v>2910.0274100000006</v>
      </c>
      <c r="J43" s="2">
        <v>3186.6086887125693</v>
      </c>
      <c r="K43" s="2">
        <v>3197.2154500000011</v>
      </c>
      <c r="L43" s="2">
        <v>3198.6462107986981</v>
      </c>
      <c r="M43" s="2">
        <v>2514.6455699999997</v>
      </c>
      <c r="N43" s="2">
        <v>3021.9777792767272</v>
      </c>
      <c r="O43" s="2">
        <v>3134.902390000002</v>
      </c>
      <c r="P43" s="2">
        <v>3463.957271489935</v>
      </c>
      <c r="Q43" s="2">
        <v>4502.2986300000011</v>
      </c>
      <c r="R43" s="2">
        <v>4314.729162827558</v>
      </c>
      <c r="S43" s="2">
        <v>3251.7623500000013</v>
      </c>
      <c r="T43" s="2">
        <v>3903.7587477927013</v>
      </c>
      <c r="U43" s="2">
        <v>4271.0897599999962</v>
      </c>
      <c r="V43" s="2">
        <v>4261.0608089864018</v>
      </c>
      <c r="W43" s="2">
        <v>4193.8582800000013</v>
      </c>
      <c r="X43" s="2">
        <v>4566.1103264348185</v>
      </c>
      <c r="Y43" s="2">
        <v>3163.5796599999999</v>
      </c>
      <c r="Z43" s="2">
        <v>565.77030966635095</v>
      </c>
      <c r="AA43" s="2">
        <v>569.01193999999805</v>
      </c>
      <c r="AB43" s="2">
        <v>566.00776177445096</v>
      </c>
      <c r="AC43" s="2">
        <v>498.48042999999996</v>
      </c>
      <c r="AD43" s="2">
        <v>468.99998522763502</v>
      </c>
      <c r="AE43" s="2">
        <v>302.60201999999998</v>
      </c>
      <c r="AF43" s="2">
        <v>4616.7980003803132</v>
      </c>
      <c r="AG43" s="2">
        <v>4772.9617400000016</v>
      </c>
      <c r="AH43" s="2">
        <v>5192.4485846231873</v>
      </c>
      <c r="AI43" s="2">
        <v>4285.9306200000019</v>
      </c>
      <c r="AJ43" s="2">
        <v>4272.9998654108513</v>
      </c>
      <c r="AK43" s="2">
        <v>2826.8182900000002</v>
      </c>
      <c r="AL43" s="2">
        <v>7870.8644482499049</v>
      </c>
      <c r="AM43" s="2">
        <v>7322.5428700000039</v>
      </c>
      <c r="AN43" s="2">
        <v>7514.8652047062924</v>
      </c>
      <c r="AO43" s="2">
        <v>7909.3325100000038</v>
      </c>
      <c r="AP43" s="2">
        <v>8005.8765378241787</v>
      </c>
      <c r="AQ43" s="2">
        <v>5179.4796300000016</v>
      </c>
      <c r="AR43" s="2">
        <v>1659.913057389575</v>
      </c>
      <c r="AS43" s="2">
        <v>1553.236699999994</v>
      </c>
      <c r="AT43" s="2">
        <v>1950.990206232229</v>
      </c>
      <c r="AU43" s="2">
        <v>1419.7423699999999</v>
      </c>
      <c r="AV43" s="2">
        <v>1560.4139506769991</v>
      </c>
      <c r="AW43" s="2">
        <v>1053.3032600000001</v>
      </c>
      <c r="AX43" s="2">
        <v>2603.8809713787741</v>
      </c>
      <c r="AY43" s="2">
        <v>2511.4829000000009</v>
      </c>
      <c r="AZ43" s="2">
        <v>3239.8206221093506</v>
      </c>
      <c r="BA43" s="2">
        <v>2920.8307100000011</v>
      </c>
      <c r="BB43" s="2">
        <v>3417.999908436545</v>
      </c>
      <c r="BC43" s="2">
        <v>2644.0618899999999</v>
      </c>
      <c r="BD43" s="2">
        <v>3541.7127168492002</v>
      </c>
      <c r="BE43" s="2">
        <v>3433.5671200000002</v>
      </c>
      <c r="BF43" s="2">
        <v>3905.3899219821178</v>
      </c>
      <c r="BG43" s="2">
        <v>3573.74802</v>
      </c>
      <c r="BH43" s="2">
        <v>4074.5051398221694</v>
      </c>
      <c r="BI43" s="2">
        <v>2688.55042</v>
      </c>
      <c r="BJ43" s="2">
        <v>5202.0524386828829</v>
      </c>
      <c r="BK43" s="2">
        <v>4638.9673999999986</v>
      </c>
      <c r="BL43" s="2">
        <v>5959.1357395461264</v>
      </c>
      <c r="BM43" s="2">
        <v>6578.994230000003</v>
      </c>
      <c r="BN43" s="2">
        <v>5149.2110564903242</v>
      </c>
      <c r="BO43" s="2">
        <v>4093.8087100000016</v>
      </c>
      <c r="BP43" s="2">
        <v>1088.0918894791801</v>
      </c>
      <c r="BQ43" s="2">
        <v>1030.0180200000009</v>
      </c>
      <c r="BR43" s="2">
        <v>1074.011273774466</v>
      </c>
      <c r="BS43" s="2">
        <v>1293.1283800000001</v>
      </c>
      <c r="BT43" s="2">
        <v>1329.9999581082229</v>
      </c>
      <c r="BU43" s="2">
        <v>992.56112000000007</v>
      </c>
      <c r="BV43" s="2">
        <v>960.89446893711511</v>
      </c>
      <c r="BW43" s="2">
        <v>915.05980999999792</v>
      </c>
      <c r="BX43" s="2">
        <v>865.05461166683097</v>
      </c>
      <c r="BY43" s="2">
        <v>823.91735000000006</v>
      </c>
      <c r="BZ43" s="2">
        <v>884.93981614665893</v>
      </c>
      <c r="CA43" s="2">
        <v>765.38283999999999</v>
      </c>
      <c r="CB43" s="2">
        <v>4025.0728591391389</v>
      </c>
      <c r="CC43" s="2">
        <v>4081.4166</v>
      </c>
      <c r="CD43" s="2">
        <v>4256.3902631708961</v>
      </c>
      <c r="CE43" s="2">
        <v>4143.9803800000027</v>
      </c>
      <c r="CF43" s="2">
        <v>2508.1137813093469</v>
      </c>
      <c r="CG43" s="2">
        <v>1985.1229900000008</v>
      </c>
      <c r="CH43" s="2">
        <v>211.31615347074299</v>
      </c>
      <c r="CI43" s="2">
        <v>210.86558000000002</v>
      </c>
      <c r="CJ43" s="2">
        <v>424.996798330415</v>
      </c>
      <c r="CK43" s="2">
        <v>419.14118999999999</v>
      </c>
      <c r="CL43" s="2">
        <v>424.99998661352998</v>
      </c>
      <c r="CM43" s="2">
        <v>289.31695999999999</v>
      </c>
      <c r="CN43" s="2">
        <v>1300.4137751738629</v>
      </c>
      <c r="CO43" s="2">
        <v>1304.287329999996</v>
      </c>
      <c r="CP43" s="2">
        <v>1427.2405242459513</v>
      </c>
      <c r="CQ43" s="2">
        <v>1419.7146900000002</v>
      </c>
      <c r="CR43" s="2">
        <v>1944.873629280215</v>
      </c>
      <c r="CS43" s="2">
        <v>1446.4356000000002</v>
      </c>
      <c r="CT43" s="2">
        <v>550.49957683032301</v>
      </c>
      <c r="CU43" s="2">
        <v>1367.5137099999993</v>
      </c>
      <c r="CV43" s="2">
        <v>1357.5039114929832</v>
      </c>
      <c r="CW43" s="2">
        <v>1141.2512200000001</v>
      </c>
      <c r="CX43" s="2">
        <v>1194.9999623603951</v>
      </c>
      <c r="CY43" s="2">
        <v>841.39815999999996</v>
      </c>
      <c r="CZ43" s="2">
        <v>76.710805783629993</v>
      </c>
      <c r="DA43" s="2">
        <v>52.697740000000003</v>
      </c>
      <c r="DB43" s="2">
        <v>51.697362127930006</v>
      </c>
      <c r="DC43" s="2">
        <v>35.976149999999997</v>
      </c>
      <c r="DD43" s="2">
        <v>46.999998519611005</v>
      </c>
      <c r="DE43" s="2">
        <v>23.26548</v>
      </c>
      <c r="DF43" s="2">
        <v>32.914959169917999</v>
      </c>
      <c r="DG43" s="2">
        <v>31.546329999998999</v>
      </c>
      <c r="DH43" s="2">
        <v>31.546092350763999</v>
      </c>
      <c r="DI43" s="2">
        <v>25.243299999999998</v>
      </c>
      <c r="DJ43" s="2">
        <v>24.999999212559</v>
      </c>
      <c r="DK43" s="2">
        <v>15.432030000000001</v>
      </c>
      <c r="DL43" s="2">
        <v>105.299100210904</v>
      </c>
      <c r="DM43" s="2">
        <v>118.672169999999</v>
      </c>
      <c r="DN43" s="2">
        <v>131.48321015972601</v>
      </c>
      <c r="DO43" s="2">
        <v>141.24645999999998</v>
      </c>
      <c r="DP43" s="2">
        <v>142.99999549584601</v>
      </c>
      <c r="DQ43" s="2">
        <v>102.46014</v>
      </c>
      <c r="DR43" s="2">
        <v>893.31807074648907</v>
      </c>
      <c r="DS43" s="2">
        <v>838.285149999998</v>
      </c>
      <c r="DT43" s="2">
        <v>848.27905795536992</v>
      </c>
      <c r="DU43" s="2">
        <v>906.22341000000006</v>
      </c>
      <c r="DV43" s="2">
        <v>897.99997190416002</v>
      </c>
      <c r="DW43" s="2">
        <v>619.65151000000014</v>
      </c>
      <c r="DX43" s="2">
        <v>1400.0513495591708</v>
      </c>
      <c r="DY43" s="2">
        <v>1397.5444500000008</v>
      </c>
      <c r="DZ43" s="2">
        <v>1398.534667421731</v>
      </c>
      <c r="EA43" s="2">
        <v>1397.96729</v>
      </c>
      <c r="EB43" s="2">
        <v>1414.999955430932</v>
      </c>
      <c r="EC43" s="2">
        <v>934.71865000000003</v>
      </c>
      <c r="ED43" s="2">
        <v>83.924903477293995</v>
      </c>
      <c r="EE43" s="2">
        <v>72.822600000000008</v>
      </c>
      <c r="EF43" s="2">
        <v>74.822096011097997</v>
      </c>
      <c r="EG43" s="2">
        <v>83.550460000000001</v>
      </c>
      <c r="EH43" s="2">
        <v>87.999997228213005</v>
      </c>
      <c r="EI43" s="2">
        <v>50.012759999999993</v>
      </c>
      <c r="EJ43" s="2">
        <v>859.53876992007906</v>
      </c>
      <c r="EK43" s="2">
        <v>2154.9915799999972</v>
      </c>
      <c r="EL43" s="2">
        <v>467.99683702370004</v>
      </c>
      <c r="EM43" s="2">
        <v>348.60910999999999</v>
      </c>
      <c r="EN43" s="2">
        <v>378.53150197518403</v>
      </c>
      <c r="EO43" s="2">
        <v>202.80772999999999</v>
      </c>
      <c r="EP43" s="2">
        <v>66.428410538806006</v>
      </c>
      <c r="EQ43" s="2">
        <v>55.294929999998992</v>
      </c>
      <c r="ER43" s="2">
        <v>55.294513444479996</v>
      </c>
      <c r="ES43" s="2">
        <v>54.672570000000007</v>
      </c>
      <c r="ET43" s="2">
        <v>59.400593507901</v>
      </c>
      <c r="EU43" s="2">
        <v>39.046199999999999</v>
      </c>
      <c r="EV43" s="2">
        <v>8.5499929652080002</v>
      </c>
      <c r="EW43" s="2">
        <v>24.476989999999997</v>
      </c>
      <c r="EX43" s="2">
        <v>24.476805606505998</v>
      </c>
      <c r="EY43" s="2">
        <v>18.408799999999999</v>
      </c>
      <c r="EZ43" s="2">
        <v>23.999999244057999</v>
      </c>
      <c r="FA43" s="2">
        <v>7.4864100000000002</v>
      </c>
      <c r="FB43" s="2">
        <v>74.958212789154004</v>
      </c>
      <c r="FC43" s="2">
        <v>101.71587999999899</v>
      </c>
      <c r="FD43" s="2">
        <v>133.11115353635699</v>
      </c>
      <c r="FE43" s="2">
        <v>134.75585000000001</v>
      </c>
      <c r="FF43" s="2">
        <v>224.82485656095</v>
      </c>
      <c r="FG43" s="2">
        <v>97.71459999999999</v>
      </c>
      <c r="FH43" s="2">
        <v>275.27534248056901</v>
      </c>
      <c r="FI43" s="2">
        <v>293.76219000000003</v>
      </c>
      <c r="FJ43" s="2">
        <v>269.760767197517</v>
      </c>
      <c r="FK43" s="2">
        <v>250.63215000000002</v>
      </c>
      <c r="FL43" s="2">
        <v>248.99999215710301</v>
      </c>
      <c r="FM43" s="2">
        <v>180.65735000000004</v>
      </c>
      <c r="FN43" s="2">
        <v>1834.8387471632632</v>
      </c>
      <c r="FO43" s="2">
        <v>1304.094079999998</v>
      </c>
      <c r="FP43" s="2">
        <v>1389.086180354562</v>
      </c>
      <c r="FQ43" s="2">
        <v>1226.7629200000001</v>
      </c>
      <c r="FR43" s="2">
        <v>1260.2109812010699</v>
      </c>
      <c r="FS43" s="2">
        <v>907.6270300000001</v>
      </c>
      <c r="FT43" s="2">
        <v>3267.278167554121</v>
      </c>
      <c r="FU43" s="2">
        <v>3030.6939899999961</v>
      </c>
      <c r="FV43" s="2">
        <v>3653.2332657538277</v>
      </c>
      <c r="FW43" s="2">
        <v>3179.6778900000004</v>
      </c>
      <c r="FX43" s="2">
        <v>3860.999890199445</v>
      </c>
      <c r="FY43" s="2">
        <v>2758.0238100000001</v>
      </c>
      <c r="FZ43" s="2">
        <v>1179.4171195067399</v>
      </c>
      <c r="GA43" s="2">
        <v>762.77052000000003</v>
      </c>
      <c r="GB43" s="2">
        <v>762.76477379017797</v>
      </c>
      <c r="GC43" s="2">
        <v>795.52325000000008</v>
      </c>
      <c r="GD43" s="2">
        <v>802.99997470744495</v>
      </c>
      <c r="GE43" s="2">
        <v>412.74601999999993</v>
      </c>
      <c r="GF43" s="2">
        <v>3585.1767396208079</v>
      </c>
      <c r="GG43" s="2">
        <v>3091.5237100000004</v>
      </c>
      <c r="GH43" s="2">
        <v>3141.500685288464</v>
      </c>
      <c r="GI43" s="2">
        <v>3190.3362500000021</v>
      </c>
      <c r="GJ43" s="2">
        <v>8450.8764934507162</v>
      </c>
      <c r="GK43" s="2">
        <v>6748.2363300000025</v>
      </c>
      <c r="GL43" s="2">
        <v>374.82679322907097</v>
      </c>
      <c r="GM43" s="2">
        <v>390.65859999999896</v>
      </c>
      <c r="GN43" s="2">
        <v>408.65604576723501</v>
      </c>
      <c r="GO43" s="2">
        <v>422.72196000000002</v>
      </c>
      <c r="GP43" s="2">
        <v>420.99998673951995</v>
      </c>
      <c r="GQ43" s="2">
        <v>273.88413000000003</v>
      </c>
      <c r="GR43" s="2">
        <v>0.46679961592500002</v>
      </c>
      <c r="GS43" s="2">
        <v>0.04</v>
      </c>
      <c r="GT43" s="2">
        <v>3.9999698665999998E-2</v>
      </c>
      <c r="GU43" s="2">
        <v>0</v>
      </c>
      <c r="GV43" s="2">
        <v>0</v>
      </c>
      <c r="GW43" s="2">
        <v>0.72186000000000006</v>
      </c>
      <c r="GX43" s="2">
        <v>337.87902683678595</v>
      </c>
      <c r="GY43" s="2">
        <v>325.73442000000006</v>
      </c>
      <c r="GZ43" s="2">
        <v>345.73215093851599</v>
      </c>
      <c r="HA43" s="2">
        <v>339.82107999999999</v>
      </c>
      <c r="HB43" s="2">
        <v>311.999990802708</v>
      </c>
      <c r="HC43" s="2">
        <v>211.91591000000003</v>
      </c>
      <c r="HD43" s="2">
        <v>111.429102950323</v>
      </c>
      <c r="HE43" s="2">
        <v>115.808289999999</v>
      </c>
      <c r="HF43" s="2">
        <v>125.807608756116</v>
      </c>
      <c r="HG43" s="2">
        <v>165.39393999999999</v>
      </c>
      <c r="HH43" s="2">
        <v>199.99999370048499</v>
      </c>
      <c r="HI43" s="2">
        <v>162.79498000000001</v>
      </c>
      <c r="HJ43" s="2">
        <v>0</v>
      </c>
      <c r="HK43" s="2">
        <v>4.6379999999999998E-2</v>
      </c>
      <c r="HL43" s="2">
        <v>4.6379650602999999E-2</v>
      </c>
      <c r="HM43" s="2">
        <v>0</v>
      </c>
      <c r="HN43" s="2"/>
      <c r="HO43" s="2"/>
      <c r="HP43" s="2">
        <v>164.19986869416101</v>
      </c>
      <c r="HQ43" s="2">
        <v>122.267249999999</v>
      </c>
      <c r="HR43" s="2">
        <v>117.26639901831</v>
      </c>
      <c r="HS43" s="2">
        <v>118.10737999999998</v>
      </c>
      <c r="HT43" s="2">
        <v>106.999996629759</v>
      </c>
      <c r="HU43" s="2">
        <v>41.355899999999998</v>
      </c>
      <c r="HV43" s="2">
        <v>239.99943618663801</v>
      </c>
      <c r="HW43" s="2">
        <v>236.88133999999897</v>
      </c>
      <c r="HX43" s="2">
        <v>209.879806426237</v>
      </c>
      <c r="HY43" s="2">
        <v>220.71838999999997</v>
      </c>
      <c r="HZ43" s="2">
        <v>241.99999237758601</v>
      </c>
      <c r="IA43" s="2">
        <v>180.57138999999995</v>
      </c>
      <c r="IB43" s="2">
        <v>473.84481248526305</v>
      </c>
      <c r="IC43" s="2">
        <v>345.65001000000007</v>
      </c>
      <c r="ID43" s="2">
        <v>831.6475845349571</v>
      </c>
      <c r="IE43" s="2">
        <v>577.27082000000007</v>
      </c>
      <c r="IF43" s="2">
        <v>880.25629299043499</v>
      </c>
      <c r="IG43" s="2">
        <v>427.34417000000002</v>
      </c>
      <c r="IH43" s="2">
        <v>2510.9329937578559</v>
      </c>
      <c r="II43" s="2">
        <v>1868.352599999999</v>
      </c>
      <c r="IJ43" s="2">
        <v>1813.3389939127278</v>
      </c>
      <c r="IK43" s="2">
        <v>1767.4005500000001</v>
      </c>
      <c r="IL43" s="2">
        <v>1867.9999411625281</v>
      </c>
      <c r="IM43" s="2">
        <v>1586.5570700000001</v>
      </c>
      <c r="IN43" s="2">
        <v>123.97448543556301</v>
      </c>
      <c r="IO43" s="2">
        <v>1211.8908499999991</v>
      </c>
      <c r="IP43" s="2">
        <v>1300.280346090381</v>
      </c>
      <c r="IQ43" s="2">
        <v>1230.2494700000009</v>
      </c>
      <c r="IR43" s="2">
        <v>2096.3875206213179</v>
      </c>
      <c r="IS43" s="2">
        <v>1035.6012999999998</v>
      </c>
      <c r="IT43" s="2">
        <v>20249.568586175043</v>
      </c>
      <c r="IU43" s="2">
        <v>20275.613810000013</v>
      </c>
      <c r="IV43" s="2">
        <v>21897.135975308505</v>
      </c>
      <c r="IW43" s="2">
        <v>22917.105760000013</v>
      </c>
      <c r="IX43" s="2">
        <v>22899.999278705498</v>
      </c>
      <c r="IY43" s="2">
        <v>18235.589170000003</v>
      </c>
      <c r="IZ43" s="2"/>
      <c r="JA43" s="2"/>
      <c r="JB43" s="2"/>
      <c r="JC43" s="2"/>
      <c r="JD43" s="2"/>
      <c r="JE43" s="2"/>
      <c r="JF43" s="2">
        <v>0.94996121838699998</v>
      </c>
      <c r="JG43" s="2">
        <v>0</v>
      </c>
      <c r="JH43" s="2"/>
      <c r="JI43" s="2"/>
      <c r="JJ43" s="2"/>
      <c r="JK43" s="2"/>
      <c r="JL43" s="2">
        <v>2191.6644063837198</v>
      </c>
      <c r="JM43" s="2">
        <v>2123.8936200000012</v>
      </c>
      <c r="JN43" s="2">
        <v>2123.8776199868098</v>
      </c>
      <c r="JO43" s="2">
        <v>2001.1269800000009</v>
      </c>
      <c r="JP43" s="2">
        <v>2381.9999434933502</v>
      </c>
      <c r="JQ43" s="2">
        <v>1570.8971700000011</v>
      </c>
      <c r="JR43" s="2">
        <v>1155.8895045452659</v>
      </c>
      <c r="JS43" s="2">
        <v>1212.2038599999989</v>
      </c>
      <c r="JT43" s="2">
        <v>1236.195696698036</v>
      </c>
      <c r="JU43" s="2">
        <v>1306.0019000000002</v>
      </c>
      <c r="JV43" s="2">
        <v>1324.9999617304429</v>
      </c>
      <c r="JW43" s="2">
        <v>1011.08352</v>
      </c>
      <c r="JX43" s="2">
        <v>0</v>
      </c>
      <c r="JY43" s="2">
        <v>20.173120000000001</v>
      </c>
      <c r="JZ43" s="2">
        <v>0</v>
      </c>
      <c r="KA43" s="2">
        <v>39.992570000000001</v>
      </c>
      <c r="KB43" s="2">
        <v>0</v>
      </c>
      <c r="KC43" s="2">
        <v>13.455510000000002</v>
      </c>
      <c r="KD43" s="2">
        <v>0</v>
      </c>
      <c r="KE43" s="2">
        <v>1427.2072599999979</v>
      </c>
      <c r="KF43" s="2">
        <v>0</v>
      </c>
      <c r="KG43" s="2">
        <v>1346.5395599999997</v>
      </c>
      <c r="KH43" s="2">
        <v>1499.9999527536299</v>
      </c>
      <c r="KI43" s="2">
        <v>442.39202999999986</v>
      </c>
      <c r="KJ43" s="2">
        <v>-1747.2501955702601</v>
      </c>
      <c r="KK43" s="2">
        <v>0</v>
      </c>
      <c r="KL43" s="2">
        <v>-7628.0545737634702</v>
      </c>
      <c r="KM43" s="2">
        <v>0</v>
      </c>
      <c r="KN43" s="2">
        <v>10130.580181425499</v>
      </c>
      <c r="KO43" s="2">
        <v>0</v>
      </c>
      <c r="KP43" s="2">
        <v>0</v>
      </c>
      <c r="KQ43" s="2">
        <v>9.999778782798785E-13</v>
      </c>
      <c r="KR43" s="2">
        <v>0</v>
      </c>
      <c r="KS43" s="2">
        <v>0.16417999999999999</v>
      </c>
      <c r="KT43" s="2">
        <v>0.16417999482699999</v>
      </c>
      <c r="KU43" s="2">
        <v>0</v>
      </c>
      <c r="KV43" s="2">
        <v>0</v>
      </c>
      <c r="KW43" s="2">
        <v>9.9446880309599084E-13</v>
      </c>
      <c r="KX43" s="2"/>
      <c r="KY43" s="2"/>
      <c r="KZ43" s="2"/>
      <c r="LA43" s="2"/>
      <c r="LB43" s="2">
        <v>0</v>
      </c>
      <c r="LC43" s="2">
        <v>0</v>
      </c>
      <c r="LD43" s="2"/>
      <c r="LE43" s="2"/>
      <c r="LF43" s="2">
        <v>159.42202992537</v>
      </c>
      <c r="LG43" s="2">
        <v>135.62767000000002</v>
      </c>
      <c r="LH43" s="2">
        <v>285.41284547706698</v>
      </c>
      <c r="LI43" s="2">
        <v>153.68685999999997</v>
      </c>
      <c r="LJ43" s="2">
        <v>263.99999168463899</v>
      </c>
      <c r="LK43" s="2">
        <v>88.106700000000004</v>
      </c>
      <c r="LL43" s="2"/>
      <c r="LM43" s="2"/>
      <c r="LN43" s="2">
        <v>0</v>
      </c>
      <c r="LO43" s="2">
        <v>9.4380000000000006E-2</v>
      </c>
      <c r="LP43" s="2"/>
      <c r="LQ43" s="2"/>
      <c r="LR43" s="2"/>
      <c r="LS43" s="2"/>
      <c r="LT43" s="2"/>
      <c r="LU43" s="2"/>
      <c r="LV43" s="2">
        <v>378.47177331139801</v>
      </c>
      <c r="LW43" s="2">
        <v>211.76718</v>
      </c>
      <c r="LX43" s="2">
        <v>316.76570576605297</v>
      </c>
      <c r="LY43" s="2">
        <v>330.96188000000001</v>
      </c>
      <c r="LZ43" s="2">
        <v>366.99999083420499</v>
      </c>
      <c r="MA43" s="2">
        <v>280.16849000000002</v>
      </c>
      <c r="MB43" s="2"/>
      <c r="MC43" s="2"/>
      <c r="MD43" s="2"/>
      <c r="ME43" s="2"/>
      <c r="MF43" s="2">
        <v>0</v>
      </c>
      <c r="MG43" s="2">
        <v>10.684900000000001</v>
      </c>
      <c r="MH43" s="2">
        <v>0</v>
      </c>
      <c r="MI43" s="2">
        <v>2.1779999999999999</v>
      </c>
      <c r="MJ43" s="2">
        <v>0</v>
      </c>
      <c r="MK43" s="2">
        <v>15.466260000000002</v>
      </c>
      <c r="ML43" s="2">
        <v>40</v>
      </c>
      <c r="MM43" s="2">
        <v>8.8636999999999997</v>
      </c>
    </row>
    <row r="44" spans="1:351">
      <c r="A44" s="1" t="s">
        <v>102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>
        <v>31.997999999985002</v>
      </c>
      <c r="U44" s="2">
        <v>56.493159999999996</v>
      </c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>
        <v>3035.9999999998299</v>
      </c>
      <c r="AS44" s="2">
        <v>1134.2792999999999</v>
      </c>
      <c r="AT44" s="2">
        <v>1299.9993000284101</v>
      </c>
      <c r="AU44" s="2">
        <v>657.44232</v>
      </c>
      <c r="AV44" s="2">
        <v>1136.99996418726</v>
      </c>
      <c r="AW44" s="2">
        <v>1597.5688800000009</v>
      </c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>
        <v>7812.0015939998102</v>
      </c>
      <c r="BQ44" s="2">
        <v>7014.7442700000001</v>
      </c>
      <c r="BR44" s="2">
        <v>8700.39574148053</v>
      </c>
      <c r="BS44" s="2">
        <v>5075.318940000001</v>
      </c>
      <c r="BT44" s="2">
        <v>8629.9997488068202</v>
      </c>
      <c r="BU44" s="2">
        <v>8793.6010300000016</v>
      </c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>
        <v>0</v>
      </c>
      <c r="II44" s="2">
        <v>1642.327650000002</v>
      </c>
      <c r="IJ44" s="2">
        <v>0</v>
      </c>
      <c r="IK44" s="2">
        <v>9484.8130700000092</v>
      </c>
      <c r="IL44" s="2">
        <v>0</v>
      </c>
      <c r="IM44" s="2">
        <v>3151.0449799999997</v>
      </c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>
        <v>5120.0033247187503</v>
      </c>
      <c r="KK44" s="2">
        <v>0</v>
      </c>
      <c r="KL44" s="2"/>
      <c r="KM44" s="2"/>
      <c r="KN44" s="2">
        <v>70</v>
      </c>
      <c r="KO44" s="2">
        <v>0</v>
      </c>
      <c r="KP44" s="2"/>
      <c r="KQ44" s="2"/>
      <c r="KR44" s="2"/>
      <c r="KS44" s="2"/>
      <c r="KT44" s="2"/>
      <c r="KU44" s="2"/>
      <c r="KV44" s="2">
        <v>0</v>
      </c>
      <c r="KW44" s="2">
        <v>99.519350000000003</v>
      </c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</row>
    <row r="45" spans="1:351">
      <c r="A45" s="1" t="s">
        <v>83</v>
      </c>
      <c r="B45" s="2">
        <v>10</v>
      </c>
      <c r="C45" s="2">
        <v>0</v>
      </c>
      <c r="D45" s="2">
        <v>10</v>
      </c>
      <c r="E45" s="2">
        <v>0</v>
      </c>
      <c r="F45" s="2">
        <v>10</v>
      </c>
      <c r="G45" s="2">
        <v>0</v>
      </c>
      <c r="H45" s="2"/>
      <c r="I45" s="2"/>
      <c r="J45" s="2"/>
      <c r="K45" s="2"/>
      <c r="L45" s="2"/>
      <c r="M45" s="2"/>
      <c r="N45" s="2">
        <v>9375.8333394202655</v>
      </c>
      <c r="O45" s="2">
        <v>8475.0427700000091</v>
      </c>
      <c r="P45" s="2">
        <v>7879.7836785419604</v>
      </c>
      <c r="Q45" s="2">
        <v>6167.641770000002</v>
      </c>
      <c r="R45" s="2">
        <v>7574.9997614058602</v>
      </c>
      <c r="S45" s="2">
        <v>5278.9574800000009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>
        <v>1</v>
      </c>
      <c r="AM45" s="2">
        <v>0</v>
      </c>
      <c r="AN45" s="2">
        <v>2</v>
      </c>
      <c r="AO45" s="2">
        <v>0</v>
      </c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>
        <v>398.50019383371699</v>
      </c>
      <c r="KK45" s="2">
        <v>0</v>
      </c>
      <c r="KL45" s="2">
        <v>1808.52677490931</v>
      </c>
      <c r="KM45" s="2">
        <v>0</v>
      </c>
      <c r="KN45" s="2">
        <v>-1309.99995905315</v>
      </c>
      <c r="KO45" s="2">
        <v>0</v>
      </c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</row>
    <row r="46" spans="1:351">
      <c r="A46" s="1" t="s">
        <v>84</v>
      </c>
      <c r="B46" s="2">
        <v>3504.3566392616867</v>
      </c>
      <c r="C46" s="2">
        <v>3675.8824299999987</v>
      </c>
      <c r="D46" s="2">
        <v>3695.9393576040611</v>
      </c>
      <c r="E46" s="2">
        <v>4742.4276700000009</v>
      </c>
      <c r="F46" s="2">
        <v>5366.9998583238967</v>
      </c>
      <c r="G46" s="2">
        <v>3200.1286400000008</v>
      </c>
      <c r="H46" s="2">
        <v>177.14966555920802</v>
      </c>
      <c r="I46" s="2">
        <v>137.79668999999799</v>
      </c>
      <c r="J46" s="2">
        <v>136.756590269969</v>
      </c>
      <c r="K46" s="2">
        <v>113.52313000000001</v>
      </c>
      <c r="L46" s="2">
        <v>109.986751608124</v>
      </c>
      <c r="M46" s="2">
        <v>97.908569999999997</v>
      </c>
      <c r="N46" s="2">
        <v>155.41005715400001</v>
      </c>
      <c r="O46" s="2">
        <v>115.626299999997</v>
      </c>
      <c r="P46" s="2">
        <v>115.270343885472</v>
      </c>
      <c r="Q46" s="2">
        <v>121.76339999999999</v>
      </c>
      <c r="R46" s="2">
        <v>115.99999634627801</v>
      </c>
      <c r="S46" s="2">
        <v>92.63185</v>
      </c>
      <c r="T46" s="2">
        <v>161.16858257810202</v>
      </c>
      <c r="U46" s="2">
        <v>137.0932</v>
      </c>
      <c r="V46" s="2">
        <v>127.29984181684898</v>
      </c>
      <c r="W46" s="2">
        <v>148.79635000000002</v>
      </c>
      <c r="X46" s="2">
        <v>187.16434028354399</v>
      </c>
      <c r="Y46" s="2">
        <v>134.6755</v>
      </c>
      <c r="Z46" s="2">
        <v>54.013054527009999</v>
      </c>
      <c r="AA46" s="2">
        <v>36.401699999998996</v>
      </c>
      <c r="AB46" s="2">
        <v>34.659993106007001</v>
      </c>
      <c r="AC46" s="2">
        <v>34.5792</v>
      </c>
      <c r="AD46" s="2">
        <v>35.999998866086997</v>
      </c>
      <c r="AE46" s="2">
        <v>25.110000000000003</v>
      </c>
      <c r="AF46" s="2">
        <v>133.48479160591998</v>
      </c>
      <c r="AG46" s="2">
        <v>116.06400999999902</v>
      </c>
      <c r="AH46" s="2">
        <v>171.699138500766</v>
      </c>
      <c r="AI46" s="2">
        <v>97.358710000000002</v>
      </c>
      <c r="AJ46" s="2">
        <v>96.490886960769998</v>
      </c>
      <c r="AK46" s="2">
        <v>43.813920000000003</v>
      </c>
      <c r="AL46" s="2">
        <v>748.73717335368292</v>
      </c>
      <c r="AM46" s="2">
        <v>527.63718999999799</v>
      </c>
      <c r="AN46" s="2">
        <v>496.88628092036703</v>
      </c>
      <c r="AO46" s="2">
        <v>478.96487999999999</v>
      </c>
      <c r="AP46" s="2">
        <v>479.99998488116205</v>
      </c>
      <c r="AQ46" s="2">
        <v>350.82063999999991</v>
      </c>
      <c r="AR46" s="2">
        <v>55.944886664437</v>
      </c>
      <c r="AS46" s="2">
        <v>51.722659999999991</v>
      </c>
      <c r="AT46" s="2">
        <v>53.668778951939004</v>
      </c>
      <c r="AU46" s="2">
        <v>59.896429999999995</v>
      </c>
      <c r="AV46" s="2">
        <v>61.999998047147997</v>
      </c>
      <c r="AW46" s="2">
        <v>49.100199999999994</v>
      </c>
      <c r="AX46" s="2">
        <v>86.859171225549005</v>
      </c>
      <c r="AY46" s="2">
        <v>72.804969999999003</v>
      </c>
      <c r="AZ46" s="2">
        <v>71.321523145401997</v>
      </c>
      <c r="BA46" s="2">
        <v>36.509569999999997</v>
      </c>
      <c r="BB46" s="2">
        <v>27.999999118067002</v>
      </c>
      <c r="BC46" s="2">
        <v>27.398380000000003</v>
      </c>
      <c r="BD46" s="2">
        <v>153.033315515564</v>
      </c>
      <c r="BE46" s="2">
        <v>165.093819999998</v>
      </c>
      <c r="BF46" s="2">
        <v>175.72992626581902</v>
      </c>
      <c r="BG46" s="2">
        <v>121.12514999999999</v>
      </c>
      <c r="BH46" s="2">
        <v>114.99999637777501</v>
      </c>
      <c r="BI46" s="2">
        <v>76.909800000000004</v>
      </c>
      <c r="BJ46" s="2">
        <v>398.10252284529099</v>
      </c>
      <c r="BK46" s="2">
        <v>425.94299999999799</v>
      </c>
      <c r="BL46" s="2">
        <v>417.26414464730203</v>
      </c>
      <c r="BM46" s="2">
        <v>255.67831999999999</v>
      </c>
      <c r="BN46" s="2">
        <v>275.999991306666</v>
      </c>
      <c r="BO46" s="2">
        <v>411.3301899999999</v>
      </c>
      <c r="BP46" s="2">
        <v>27.914365422026002</v>
      </c>
      <c r="BQ46" s="2">
        <v>25.262700000000002</v>
      </c>
      <c r="BR46" s="2">
        <v>25.747957744746003</v>
      </c>
      <c r="BS46" s="2">
        <v>29.1051</v>
      </c>
      <c r="BT46" s="2">
        <v>29.999999055071999</v>
      </c>
      <c r="BU46" s="2">
        <v>27.755599999999998</v>
      </c>
      <c r="BV46" s="2">
        <v>26.116947956820002</v>
      </c>
      <c r="BW46" s="2">
        <v>30.599449999999997</v>
      </c>
      <c r="BX46" s="2">
        <v>29.975967044714999</v>
      </c>
      <c r="BY46" s="2">
        <v>27.859150000000003</v>
      </c>
      <c r="BZ46" s="2">
        <v>30.999999023574002</v>
      </c>
      <c r="CA46" s="2">
        <v>24.433700000000002</v>
      </c>
      <c r="CB46" s="2">
        <v>13.446073415798001</v>
      </c>
      <c r="CC46" s="2">
        <v>14.026959999998999</v>
      </c>
      <c r="CD46" s="2">
        <v>17.741149752485999</v>
      </c>
      <c r="CE46" s="2">
        <v>14.24103</v>
      </c>
      <c r="CF46" s="2">
        <v>13.999999559033</v>
      </c>
      <c r="CG46" s="2">
        <v>6.6985000000000001</v>
      </c>
      <c r="CH46" s="2">
        <v>2</v>
      </c>
      <c r="CI46" s="2">
        <v>2.8535000000000004</v>
      </c>
      <c r="CJ46" s="2">
        <v>2.7953581506230001</v>
      </c>
      <c r="CK46" s="2">
        <v>2.9401999999999999</v>
      </c>
      <c r="CL46" s="2">
        <v>2.9999999055069999</v>
      </c>
      <c r="CM46" s="2">
        <v>0</v>
      </c>
      <c r="CN46" s="2">
        <v>104.89687883756201</v>
      </c>
      <c r="CO46" s="2">
        <v>108.64554999999899</v>
      </c>
      <c r="CP46" s="2">
        <v>104.43183211498399</v>
      </c>
      <c r="CQ46" s="2">
        <v>110.78818000000001</v>
      </c>
      <c r="CR46" s="2">
        <v>149.99999527536099</v>
      </c>
      <c r="CS46" s="2">
        <v>82.023690000000002</v>
      </c>
      <c r="CT46" s="2">
        <v>168.151792717462</v>
      </c>
      <c r="CU46" s="2">
        <v>169.032199999997</v>
      </c>
      <c r="CV46" s="2">
        <v>158.58806522992501</v>
      </c>
      <c r="CW46" s="2">
        <v>152.16899999999998</v>
      </c>
      <c r="CX46" s="2">
        <v>169.999994645409</v>
      </c>
      <c r="CY46" s="2">
        <v>134.10680000000002</v>
      </c>
      <c r="CZ46" s="2">
        <v>0.96997154116100004</v>
      </c>
      <c r="DA46" s="2">
        <v>1.4689999999999999</v>
      </c>
      <c r="DB46" s="2">
        <v>1.4390682051029999</v>
      </c>
      <c r="DC46" s="2">
        <v>1.2252999999999998</v>
      </c>
      <c r="DD46" s="2">
        <v>1.225299961405</v>
      </c>
      <c r="DE46" s="2">
        <v>0.49019999999999997</v>
      </c>
      <c r="DF46" s="2">
        <v>38.666712446882002</v>
      </c>
      <c r="DG46" s="2">
        <v>31.576000000000001</v>
      </c>
      <c r="DH46" s="2">
        <v>30.932619226945999</v>
      </c>
      <c r="DI46" s="2">
        <v>26.136000000000003</v>
      </c>
      <c r="DJ46" s="2">
        <v>31.999998992077</v>
      </c>
      <c r="DK46" s="2">
        <v>15.517000000000001</v>
      </c>
      <c r="DL46" s="2">
        <v>14.440191951282999</v>
      </c>
      <c r="DM46" s="2">
        <v>12.368849999999</v>
      </c>
      <c r="DN46" s="2">
        <v>20.116822628295001</v>
      </c>
      <c r="DO46" s="2">
        <v>18.291900000000002</v>
      </c>
      <c r="DP46" s="2">
        <v>19.999999370047998</v>
      </c>
      <c r="DQ46" s="2">
        <v>13.135999999999999</v>
      </c>
      <c r="DR46" s="2">
        <v>158.810716134605</v>
      </c>
      <c r="DS46" s="2">
        <v>145.977549999997</v>
      </c>
      <c r="DT46" s="2">
        <v>146.003168160614</v>
      </c>
      <c r="DU46" s="2">
        <v>146.91614000000001</v>
      </c>
      <c r="DV46" s="2">
        <v>169.733396832365</v>
      </c>
      <c r="DW46" s="2">
        <v>126.35235</v>
      </c>
      <c r="DX46" s="2">
        <v>25</v>
      </c>
      <c r="DY46" s="2">
        <v>26.928599999999999</v>
      </c>
      <c r="DZ46" s="2">
        <v>24.379913989051001</v>
      </c>
      <c r="EA46" s="2">
        <v>0</v>
      </c>
      <c r="EB46" s="2"/>
      <c r="EC46" s="2"/>
      <c r="ED46" s="2"/>
      <c r="EE46" s="2"/>
      <c r="EF46" s="2"/>
      <c r="EG46" s="2"/>
      <c r="EH46" s="2"/>
      <c r="EI46" s="2"/>
      <c r="EJ46" s="2">
        <v>25.958363731502999</v>
      </c>
      <c r="EK46" s="2">
        <v>23.844000000000001</v>
      </c>
      <c r="EL46" s="2">
        <v>23.358163568763999</v>
      </c>
      <c r="EM46" s="2">
        <v>30.853999999999999</v>
      </c>
      <c r="EN46" s="2">
        <v>23.999999244057999</v>
      </c>
      <c r="EO46" s="2">
        <v>27.842500000000001</v>
      </c>
      <c r="EP46" s="2">
        <v>11.643230038047999</v>
      </c>
      <c r="EQ46" s="2">
        <v>9.2534399999999994</v>
      </c>
      <c r="ER46" s="2">
        <v>9.0648953654480007</v>
      </c>
      <c r="ES46" s="2">
        <v>8.3779599999999999</v>
      </c>
      <c r="ET46" s="2">
        <v>8.9999997165209997</v>
      </c>
      <c r="EU46" s="2">
        <v>2.46502</v>
      </c>
      <c r="EV46" s="2"/>
      <c r="EW46" s="2"/>
      <c r="EX46" s="2"/>
      <c r="EY46" s="2"/>
      <c r="EZ46" s="2"/>
      <c r="FA46" s="2"/>
      <c r="FB46" s="2">
        <v>15</v>
      </c>
      <c r="FC46" s="2">
        <v>0</v>
      </c>
      <c r="FD46" s="2">
        <v>9.000099799989</v>
      </c>
      <c r="FE46" s="2">
        <v>0.24510000000000001</v>
      </c>
      <c r="FF46" s="2">
        <v>0.24509999227900001</v>
      </c>
      <c r="FG46" s="2">
        <v>1.6304799999999999</v>
      </c>
      <c r="FH46" s="2">
        <v>45.138494198925997</v>
      </c>
      <c r="FI46" s="2">
        <v>49.550249999998002</v>
      </c>
      <c r="FJ46" s="2">
        <v>48.540632627627005</v>
      </c>
      <c r="FK46" s="2">
        <v>51.389400000000002</v>
      </c>
      <c r="FL46" s="2">
        <v>49.999998425119998</v>
      </c>
      <c r="FM46" s="2">
        <v>32.003100000000003</v>
      </c>
      <c r="FN46" s="2">
        <v>90.029296329739992</v>
      </c>
      <c r="FO46" s="2">
        <v>77.997159999998999</v>
      </c>
      <c r="FP46" s="2">
        <v>76.407919022775999</v>
      </c>
      <c r="FQ46" s="2">
        <v>85.332300000000004</v>
      </c>
      <c r="FR46" s="2">
        <v>85.999997291206</v>
      </c>
      <c r="FS46" s="2">
        <v>67.607100000000003</v>
      </c>
      <c r="FT46" s="2">
        <v>1199.6574058562389</v>
      </c>
      <c r="FU46" s="2">
        <v>1332.7049799999982</v>
      </c>
      <c r="FV46" s="2">
        <v>1396.5503784049261</v>
      </c>
      <c r="FW46" s="2">
        <v>1478.7004000000002</v>
      </c>
      <c r="FX46" s="2">
        <v>1464.9999538560501</v>
      </c>
      <c r="FY46" s="2">
        <v>838.18991000000005</v>
      </c>
      <c r="FZ46" s="2"/>
      <c r="GA46" s="2"/>
      <c r="GB46" s="2"/>
      <c r="GC46" s="2"/>
      <c r="GD46" s="2"/>
      <c r="GE46" s="2"/>
      <c r="GF46" s="2">
        <v>11.8</v>
      </c>
      <c r="GG46" s="2">
        <v>5.2005999999999997</v>
      </c>
      <c r="GH46" s="2">
        <v>5.094634518356</v>
      </c>
      <c r="GI46" s="2">
        <v>5.3082000000000003</v>
      </c>
      <c r="GJ46" s="2">
        <v>4.9999998425100003</v>
      </c>
      <c r="GK46" s="2">
        <v>3.5938999999999997</v>
      </c>
      <c r="GL46" s="2">
        <v>21096.0343705839</v>
      </c>
      <c r="GM46" s="2">
        <v>21444.12993000001</v>
      </c>
      <c r="GN46" s="2">
        <v>21713.2347576426</v>
      </c>
      <c r="GO46" s="2">
        <v>22269.769490000013</v>
      </c>
      <c r="GP46" s="2">
        <v>22254.999299021401</v>
      </c>
      <c r="GQ46" s="2">
        <v>17050.082450000009</v>
      </c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>
        <v>145.35154963712802</v>
      </c>
      <c r="II46" s="2">
        <v>86.087879999999004</v>
      </c>
      <c r="IJ46" s="2">
        <v>84.333785536326005</v>
      </c>
      <c r="IK46" s="2">
        <v>35.134999999999998</v>
      </c>
      <c r="IL46" s="2">
        <v>85.999997291208004</v>
      </c>
      <c r="IM46" s="2">
        <v>37.871120000000005</v>
      </c>
      <c r="IN46" s="2">
        <v>0</v>
      </c>
      <c r="IO46" s="2">
        <v>1078.2319200000002</v>
      </c>
      <c r="IP46" s="2">
        <v>1272.99954771068</v>
      </c>
      <c r="IQ46" s="2">
        <v>1277.367670000001</v>
      </c>
      <c r="IR46" s="2">
        <v>1304.99996406126</v>
      </c>
      <c r="IS46" s="2">
        <v>954.88324999999998</v>
      </c>
      <c r="IT46" s="2">
        <v>1245.882015565782</v>
      </c>
      <c r="IU46" s="2">
        <v>1126.6591599999981</v>
      </c>
      <c r="IV46" s="2">
        <v>1068.702857553387</v>
      </c>
      <c r="IW46" s="2">
        <v>1029.88922</v>
      </c>
      <c r="IX46" s="2">
        <v>1176.9999672425199</v>
      </c>
      <c r="IY46" s="2">
        <v>889.93462999999997</v>
      </c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>
        <v>106.91627602089901</v>
      </c>
      <c r="JM46" s="2">
        <v>173.50251999999898</v>
      </c>
      <c r="JN46" s="2">
        <v>169.96729750682999</v>
      </c>
      <c r="JO46" s="2">
        <v>94.015999999999991</v>
      </c>
      <c r="JP46" s="2">
        <v>87.999997228213005</v>
      </c>
      <c r="JQ46" s="2">
        <v>76.07795999999999</v>
      </c>
      <c r="JR46" s="2">
        <v>154.94294720784401</v>
      </c>
      <c r="JS46" s="2">
        <v>170.403289999999</v>
      </c>
      <c r="JT46" s="2">
        <v>161.93122272010899</v>
      </c>
      <c r="JU46" s="2">
        <v>146.79232999999999</v>
      </c>
      <c r="JV46" s="2">
        <v>145.99999540135298</v>
      </c>
      <c r="JW46" s="2">
        <v>106.26387</v>
      </c>
      <c r="JX46" s="2"/>
      <c r="JY46" s="2"/>
      <c r="JZ46" s="2"/>
      <c r="KA46" s="2"/>
      <c r="KB46" s="2"/>
      <c r="KC46" s="2"/>
      <c r="KD46" s="2">
        <v>0</v>
      </c>
      <c r="KE46" s="2">
        <v>2.4510000000000001</v>
      </c>
      <c r="KF46" s="2">
        <v>0</v>
      </c>
      <c r="KG46" s="2">
        <v>17.157</v>
      </c>
      <c r="KH46" s="2">
        <v>0</v>
      </c>
      <c r="KI46" s="2">
        <v>8.9760000000000009</v>
      </c>
      <c r="KJ46" s="2">
        <v>-315.37310612768499</v>
      </c>
      <c r="KK46" s="2">
        <v>0</v>
      </c>
      <c r="KL46" s="2">
        <v>-1151.2999526173101</v>
      </c>
      <c r="KM46" s="2">
        <v>0</v>
      </c>
      <c r="KN46" s="2">
        <v>-928.33333333333303</v>
      </c>
      <c r="KO46" s="2">
        <v>0</v>
      </c>
      <c r="KP46" s="2"/>
      <c r="KQ46" s="2"/>
      <c r="KR46" s="2">
        <v>0</v>
      </c>
      <c r="KS46" s="2">
        <v>8.1699999999999995E-2</v>
      </c>
      <c r="KT46" s="2">
        <v>8.1699997425999996E-2</v>
      </c>
      <c r="KU46" s="2">
        <v>0</v>
      </c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>
        <v>0</v>
      </c>
      <c r="LI46" s="2">
        <v>8.1699999999999995E-2</v>
      </c>
      <c r="LJ46" s="2">
        <v>8.1699997425999996E-2</v>
      </c>
      <c r="LK46" s="2">
        <v>8.1600000000000006E-2</v>
      </c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>
        <v>46.661181068825002</v>
      </c>
      <c r="LW46" s="2">
        <v>34.310699999999997</v>
      </c>
      <c r="LX46" s="2">
        <v>53.611599617282003</v>
      </c>
      <c r="LY46" s="2">
        <v>51.295470000000009</v>
      </c>
      <c r="LZ46" s="2">
        <v>68.999998456618002</v>
      </c>
      <c r="MA46" s="2">
        <v>57.070979999999999</v>
      </c>
      <c r="MB46" s="2"/>
      <c r="MC46" s="2"/>
      <c r="MD46" s="2"/>
      <c r="ME46" s="2"/>
      <c r="MF46" s="2">
        <v>0</v>
      </c>
      <c r="MG46" s="2">
        <v>1.6319999999999999</v>
      </c>
      <c r="MH46" s="2"/>
      <c r="MI46" s="2"/>
      <c r="MJ46" s="2"/>
      <c r="MK46" s="2"/>
      <c r="ML46" s="2">
        <v>15</v>
      </c>
      <c r="MM46" s="2">
        <v>9.3219999999999992</v>
      </c>
    </row>
    <row r="47" spans="1:351">
      <c r="A47" s="1" t="s">
        <v>85</v>
      </c>
      <c r="B47" s="2">
        <v>234.72937673803398</v>
      </c>
      <c r="C47" s="2">
        <v>271.357249999999</v>
      </c>
      <c r="D47" s="2">
        <v>275.043331104868</v>
      </c>
      <c r="E47" s="2">
        <v>333.92939999999999</v>
      </c>
      <c r="F47" s="2">
        <v>320.99998988927803</v>
      </c>
      <c r="G47" s="2">
        <v>234.91550000000001</v>
      </c>
      <c r="H47" s="2">
        <v>9.6665054689709997</v>
      </c>
      <c r="I47" s="2">
        <v>8.5983400000000003</v>
      </c>
      <c r="J47" s="2">
        <v>8.4299825692329993</v>
      </c>
      <c r="K47" s="2">
        <v>9.7258200000000006</v>
      </c>
      <c r="L47" s="2">
        <v>12</v>
      </c>
      <c r="M47" s="2">
        <v>7.8498600000000005</v>
      </c>
      <c r="N47" s="2">
        <v>24.563035322318001</v>
      </c>
      <c r="O47" s="2">
        <v>18.603450000000002</v>
      </c>
      <c r="P47" s="2">
        <v>16.239190265516001</v>
      </c>
      <c r="Q47" s="2">
        <v>4.1283799999999999</v>
      </c>
      <c r="R47" s="2">
        <v>8.9999997165209997</v>
      </c>
      <c r="S47" s="2">
        <v>1.4121999999999999</v>
      </c>
      <c r="T47" s="2">
        <v>144.003543088453</v>
      </c>
      <c r="U47" s="2">
        <v>86.255829999998994</v>
      </c>
      <c r="V47" s="2">
        <v>74.566854825505004</v>
      </c>
      <c r="W47" s="2">
        <v>88.328570000000013</v>
      </c>
      <c r="X47" s="2">
        <v>85.689227452133991</v>
      </c>
      <c r="Y47" s="2">
        <v>22.371499999999997</v>
      </c>
      <c r="Z47" s="2">
        <v>89.002028589841004</v>
      </c>
      <c r="AA47" s="2">
        <v>76.03822000000001</v>
      </c>
      <c r="AB47" s="2">
        <v>77.549357896632003</v>
      </c>
      <c r="AC47" s="2">
        <v>72.003870000000006</v>
      </c>
      <c r="AD47" s="2">
        <v>75.999997606183001</v>
      </c>
      <c r="AE47" s="2">
        <v>47.748870000000004</v>
      </c>
      <c r="AF47" s="2">
        <v>775.97856371887895</v>
      </c>
      <c r="AG47" s="2">
        <v>717.123909999999</v>
      </c>
      <c r="AH47" s="2">
        <v>711.08033054041005</v>
      </c>
      <c r="AI47" s="2">
        <v>784.93235000000004</v>
      </c>
      <c r="AJ47" s="2">
        <v>736.99997678628597</v>
      </c>
      <c r="AK47" s="2">
        <v>558.65009999999995</v>
      </c>
      <c r="AL47" s="2">
        <v>84.072570193060002</v>
      </c>
      <c r="AM47" s="2">
        <v>79.956609999999998</v>
      </c>
      <c r="AN47" s="2">
        <v>81.391008282735996</v>
      </c>
      <c r="AO47" s="2">
        <v>84.274460000000005</v>
      </c>
      <c r="AP47" s="2">
        <v>79.999997480193002</v>
      </c>
      <c r="AQ47" s="2">
        <v>60.50949</v>
      </c>
      <c r="AR47" s="2">
        <v>496.615615715025</v>
      </c>
      <c r="AS47" s="2">
        <v>501.54104999999896</v>
      </c>
      <c r="AT47" s="2">
        <v>499.719615770046</v>
      </c>
      <c r="AU47" s="2">
        <v>757.97234000000014</v>
      </c>
      <c r="AV47" s="2">
        <v>511.99998387324001</v>
      </c>
      <c r="AW47" s="2">
        <v>392.81635000000006</v>
      </c>
      <c r="AX47" s="2">
        <v>9.5001873979690004</v>
      </c>
      <c r="AY47" s="2">
        <v>8.0026699999980018</v>
      </c>
      <c r="AZ47" s="2">
        <v>7.8459759217849996</v>
      </c>
      <c r="BA47" s="2">
        <v>4.6682199999999998</v>
      </c>
      <c r="BB47" s="2">
        <v>7.9999997480190004</v>
      </c>
      <c r="BC47" s="2">
        <v>4.7000100000000007</v>
      </c>
      <c r="BD47" s="2">
        <v>6.6501197783070003</v>
      </c>
      <c r="BE47" s="2">
        <v>7.7023799999999998</v>
      </c>
      <c r="BF47" s="2">
        <v>7.5515656675129996</v>
      </c>
      <c r="BG47" s="2">
        <v>3.9710000000000001</v>
      </c>
      <c r="BH47" s="2">
        <v>7.9999997480190004</v>
      </c>
      <c r="BI47" s="2">
        <v>3.8084199999999999</v>
      </c>
      <c r="BJ47" s="2">
        <v>763.41666666666697</v>
      </c>
      <c r="BK47" s="2">
        <v>768.87725</v>
      </c>
      <c r="BL47" s="2">
        <v>745.82141118029006</v>
      </c>
      <c r="BM47" s="2">
        <v>915.32003000000009</v>
      </c>
      <c r="BN47" s="2">
        <v>768.99997577836405</v>
      </c>
      <c r="BO47" s="2">
        <v>531.94293999999991</v>
      </c>
      <c r="BP47" s="2">
        <v>41.846484435008996</v>
      </c>
      <c r="BQ47" s="2">
        <v>4.7714400000000001</v>
      </c>
      <c r="BR47" s="2">
        <v>4.6780141318139998</v>
      </c>
      <c r="BS47" s="2">
        <v>1574.55582</v>
      </c>
      <c r="BT47" s="2">
        <v>9.9999996850239992</v>
      </c>
      <c r="BU47" s="2">
        <v>5.2546299999999997</v>
      </c>
      <c r="BV47" s="2">
        <v>244.84795911918499</v>
      </c>
      <c r="BW47" s="2">
        <v>259.30092999999999</v>
      </c>
      <c r="BX47" s="2">
        <v>254.22375947985699</v>
      </c>
      <c r="BY47" s="2">
        <v>208.99635000000001</v>
      </c>
      <c r="BZ47" s="2">
        <v>228.99999278705499</v>
      </c>
      <c r="CA47" s="2">
        <v>171.94927999999999</v>
      </c>
      <c r="CB47" s="2">
        <v>232.628922268683</v>
      </c>
      <c r="CC47" s="2">
        <v>221.86674999999897</v>
      </c>
      <c r="CD47" s="2">
        <v>227.52225144325502</v>
      </c>
      <c r="CE47" s="2">
        <v>213.07313000000005</v>
      </c>
      <c r="CF47" s="2">
        <v>191.99999395246502</v>
      </c>
      <c r="CG47" s="2">
        <v>123.70620000000002</v>
      </c>
      <c r="CH47" s="2"/>
      <c r="CI47" s="2"/>
      <c r="CJ47" s="2"/>
      <c r="CK47" s="2"/>
      <c r="CL47" s="2"/>
      <c r="CM47" s="2"/>
      <c r="CN47" s="2">
        <v>7.9168513323159999</v>
      </c>
      <c r="CO47" s="2">
        <v>7.1940200000000001</v>
      </c>
      <c r="CP47" s="2">
        <v>7.0531594706309999</v>
      </c>
      <c r="CQ47" s="2">
        <v>9.1567800000000013</v>
      </c>
      <c r="CR47" s="2">
        <v>8.8573840853850001</v>
      </c>
      <c r="CS47" s="2">
        <v>6.1499900000000007</v>
      </c>
      <c r="CT47" s="2">
        <v>0</v>
      </c>
      <c r="CU47" s="2">
        <v>3.9898799999999999</v>
      </c>
      <c r="CV47" s="2">
        <v>3.911757252368</v>
      </c>
      <c r="CW47" s="2">
        <v>10.755380000000001</v>
      </c>
      <c r="CX47" s="2">
        <v>3.9999998740090001</v>
      </c>
      <c r="CY47" s="2">
        <v>0.8901</v>
      </c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>
        <v>28.650608576951999</v>
      </c>
      <c r="DM47" s="2">
        <v>32.08466</v>
      </c>
      <c r="DN47" s="2">
        <v>30.456385172482001</v>
      </c>
      <c r="DO47" s="2">
        <v>30.104089999999996</v>
      </c>
      <c r="DP47" s="2">
        <v>31.999998992077</v>
      </c>
      <c r="DQ47" s="2">
        <v>18.574279999999998</v>
      </c>
      <c r="DR47" s="2">
        <v>0</v>
      </c>
      <c r="DS47" s="2">
        <v>2.10806</v>
      </c>
      <c r="DT47" s="2">
        <v>2.0667837111459999</v>
      </c>
      <c r="DU47" s="2">
        <v>0</v>
      </c>
      <c r="DV47" s="2">
        <v>1.999999937004</v>
      </c>
      <c r="DW47" s="2">
        <v>2.1081599999999998</v>
      </c>
      <c r="DX47" s="2"/>
      <c r="DY47" s="2"/>
      <c r="DZ47" s="2"/>
      <c r="EA47" s="2"/>
      <c r="EB47" s="2"/>
      <c r="EC47" s="2"/>
      <c r="ED47" s="2">
        <v>92.408015352977998</v>
      </c>
      <c r="EE47" s="2">
        <v>75.05543999999999</v>
      </c>
      <c r="EF47" s="2">
        <v>71.585487819205994</v>
      </c>
      <c r="EG47" s="2">
        <v>73.231430000000003</v>
      </c>
      <c r="EH47" s="2">
        <v>74.999997637681005</v>
      </c>
      <c r="EI47" s="2">
        <v>52.126620000000003</v>
      </c>
      <c r="EJ47" s="2">
        <v>304.87633985980904</v>
      </c>
      <c r="EK47" s="2">
        <v>337.11491999999896</v>
      </c>
      <c r="EL47" s="2">
        <v>340.51338451273102</v>
      </c>
      <c r="EM47" s="2">
        <v>371.76397000000003</v>
      </c>
      <c r="EN47" s="2">
        <v>377.48772123495996</v>
      </c>
      <c r="EO47" s="2">
        <v>217.15315000000004</v>
      </c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>
        <v>505.45750609529603</v>
      </c>
      <c r="FC47" s="2">
        <v>490.20222999999896</v>
      </c>
      <c r="FD47" s="2">
        <v>575.60342709220197</v>
      </c>
      <c r="FE47" s="2">
        <v>587.53478999999993</v>
      </c>
      <c r="FF47" s="2">
        <v>539.71703364557902</v>
      </c>
      <c r="FG47" s="2">
        <v>380.97752000000003</v>
      </c>
      <c r="FH47" s="2">
        <v>0</v>
      </c>
      <c r="FI47" s="2">
        <v>1.2554799999999999</v>
      </c>
      <c r="FJ47" s="2">
        <v>1.230897419271</v>
      </c>
      <c r="FK47" s="2">
        <v>0</v>
      </c>
      <c r="FL47" s="2">
        <v>0.99999996850200001</v>
      </c>
      <c r="FM47" s="2">
        <v>0</v>
      </c>
      <c r="FN47" s="2">
        <v>83.12693423922201</v>
      </c>
      <c r="FO47" s="2">
        <v>142.53773999999899</v>
      </c>
      <c r="FP47" s="2">
        <v>130.74663577542299</v>
      </c>
      <c r="FQ47" s="2">
        <v>127.66388000000001</v>
      </c>
      <c r="FR47" s="2">
        <v>123.41059611286499</v>
      </c>
      <c r="FS47" s="2">
        <v>82.34875000000001</v>
      </c>
      <c r="FT47" s="2">
        <v>15.131324538765</v>
      </c>
      <c r="FU47" s="2">
        <v>17.0504</v>
      </c>
      <c r="FV47" s="2">
        <v>19.716532677219998</v>
      </c>
      <c r="FW47" s="2">
        <v>25.101140000000001</v>
      </c>
      <c r="FX47" s="2">
        <v>16.999999464538998</v>
      </c>
      <c r="FY47" s="2">
        <v>8.3138100000000001</v>
      </c>
      <c r="FZ47" s="2"/>
      <c r="GA47" s="2"/>
      <c r="GB47" s="2"/>
      <c r="GC47" s="2"/>
      <c r="GD47" s="2"/>
      <c r="GE47" s="2"/>
      <c r="GF47" s="2">
        <v>35.5</v>
      </c>
      <c r="GG47" s="2">
        <v>37.766089999999004</v>
      </c>
      <c r="GH47" s="2">
        <v>37.026621465085</v>
      </c>
      <c r="GI47" s="2">
        <v>38.378259999999997</v>
      </c>
      <c r="GJ47" s="2">
        <v>47</v>
      </c>
      <c r="GK47" s="2">
        <v>30.669680000000003</v>
      </c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>
        <v>3945.0962754353222</v>
      </c>
      <c r="II47" s="2">
        <v>3854.0446999999999</v>
      </c>
      <c r="IJ47" s="2">
        <v>3878.9310539766311</v>
      </c>
      <c r="IK47" s="2">
        <v>2088.1703500000012</v>
      </c>
      <c r="IL47" s="2">
        <v>4128.9639742144027</v>
      </c>
      <c r="IM47" s="2">
        <v>2907.0460400000006</v>
      </c>
      <c r="IN47" s="2"/>
      <c r="IO47" s="2"/>
      <c r="IP47" s="2"/>
      <c r="IQ47" s="2"/>
      <c r="IR47" s="2"/>
      <c r="IS47" s="2"/>
      <c r="IT47" s="2">
        <v>2157.7351119780624</v>
      </c>
      <c r="IU47" s="2">
        <v>2129.9143700000013</v>
      </c>
      <c r="IV47" s="2">
        <v>2078.0607085173101</v>
      </c>
      <c r="IW47" s="2">
        <v>1951.9770200000009</v>
      </c>
      <c r="IX47" s="2">
        <v>1929.99993920968</v>
      </c>
      <c r="IY47" s="2">
        <v>1365.6617000000001</v>
      </c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>
        <v>17.605757069342999</v>
      </c>
      <c r="JM47" s="2">
        <v>20.39629</v>
      </c>
      <c r="JN47" s="2">
        <v>19.996926055149</v>
      </c>
      <c r="JO47" s="2">
        <v>9.5498399999999997</v>
      </c>
      <c r="JP47" s="2">
        <v>19.999999370047998</v>
      </c>
      <c r="JQ47" s="2">
        <v>19.484870000000004</v>
      </c>
      <c r="JR47" s="2">
        <v>120.348601718712</v>
      </c>
      <c r="JS47" s="2">
        <v>120.81632999999901</v>
      </c>
      <c r="JT47" s="2">
        <v>130.45058152996899</v>
      </c>
      <c r="JU47" s="2">
        <v>145.66738999999998</v>
      </c>
      <c r="JV47" s="2">
        <v>149.99999527536198</v>
      </c>
      <c r="JW47" s="2">
        <v>106.82439000000001</v>
      </c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>
        <v>239.19183194680301</v>
      </c>
      <c r="KK47" s="2">
        <v>0</v>
      </c>
      <c r="KL47" s="2">
        <v>-119.499994077164</v>
      </c>
      <c r="KM47" s="2">
        <v>0</v>
      </c>
      <c r="KN47" s="2">
        <v>-279</v>
      </c>
      <c r="KO47" s="2">
        <v>0</v>
      </c>
      <c r="KP47" s="2"/>
      <c r="KQ47" s="2"/>
      <c r="KR47" s="2"/>
      <c r="KS47" s="2"/>
      <c r="KT47" s="2"/>
      <c r="KU47" s="2"/>
      <c r="KV47" s="2"/>
      <c r="KW47" s="2"/>
      <c r="KX47" s="2">
        <v>0</v>
      </c>
      <c r="KY47" s="2">
        <v>6.9999999999999994E-5</v>
      </c>
      <c r="KZ47" s="2">
        <v>6.9999997795169695E-5</v>
      </c>
      <c r="LA47" s="2">
        <v>0</v>
      </c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>
        <v>10</v>
      </c>
      <c r="MM47" s="2">
        <v>8.9856400000000001</v>
      </c>
    </row>
    <row r="48" spans="1:351">
      <c r="A48" s="1" t="s">
        <v>86</v>
      </c>
      <c r="B48" s="2">
        <v>83.450252303239992</v>
      </c>
      <c r="C48" s="2">
        <v>60.641709999997992</v>
      </c>
      <c r="D48" s="2">
        <v>65.209176723924998</v>
      </c>
      <c r="E48" s="2">
        <v>103.51938000000001</v>
      </c>
      <c r="F48" s="2">
        <v>110.99999650376699</v>
      </c>
      <c r="G48" s="2">
        <v>69.811200000000014</v>
      </c>
      <c r="H48" s="2">
        <v>23.644887273995998</v>
      </c>
      <c r="I48" s="2">
        <v>20.986099999996998</v>
      </c>
      <c r="J48" s="2">
        <v>28.538660250663998</v>
      </c>
      <c r="K48" s="2">
        <v>47.322969999999998</v>
      </c>
      <c r="L48" s="2">
        <v>46.990768859543998</v>
      </c>
      <c r="M48" s="2">
        <v>41.588000000000001</v>
      </c>
      <c r="N48" s="2">
        <v>289.45006248713901</v>
      </c>
      <c r="O48" s="2">
        <v>291.40679999999804</v>
      </c>
      <c r="P48" s="2">
        <v>315.92968150653502</v>
      </c>
      <c r="Q48" s="2">
        <v>209.49227000000002</v>
      </c>
      <c r="R48" s="2">
        <v>289.99999086570102</v>
      </c>
      <c r="S48" s="2">
        <v>82.31644</v>
      </c>
      <c r="T48" s="2">
        <v>52.111139397743003</v>
      </c>
      <c r="U48" s="2">
        <v>31.770409999999</v>
      </c>
      <c r="V48" s="2">
        <v>36.590587451040996</v>
      </c>
      <c r="W48" s="2">
        <v>50.291630000000005</v>
      </c>
      <c r="X48" s="2">
        <v>75.249667460731999</v>
      </c>
      <c r="Y48" s="2">
        <v>57.681990000000006</v>
      </c>
      <c r="Z48" s="2">
        <v>9.5013305735150002</v>
      </c>
      <c r="AA48" s="2">
        <v>7.9838699999999996</v>
      </c>
      <c r="AB48" s="2">
        <v>8.1899797148580014</v>
      </c>
      <c r="AC48" s="2">
        <v>11.36417</v>
      </c>
      <c r="AD48" s="2">
        <v>7.9999997480180003</v>
      </c>
      <c r="AE48" s="2">
        <v>6.5887399999999996</v>
      </c>
      <c r="AF48" s="2">
        <v>92.602902647989993</v>
      </c>
      <c r="AG48" s="2">
        <v>52.315639999997998</v>
      </c>
      <c r="AH48" s="2">
        <v>55.666210442454002</v>
      </c>
      <c r="AI48" s="2">
        <v>74.37509</v>
      </c>
      <c r="AJ48" s="2">
        <v>71.999997732170996</v>
      </c>
      <c r="AK48" s="2">
        <v>81.702160000000006</v>
      </c>
      <c r="AL48" s="2">
        <v>439.85777229771901</v>
      </c>
      <c r="AM48" s="2">
        <v>302.56680999999605</v>
      </c>
      <c r="AN48" s="2">
        <v>307.37780539840901</v>
      </c>
      <c r="AO48" s="2">
        <v>265.13246000000004</v>
      </c>
      <c r="AP48" s="2">
        <v>252.99999203111099</v>
      </c>
      <c r="AQ48" s="2">
        <v>308.33398</v>
      </c>
      <c r="AR48" s="2">
        <v>369.82304471166304</v>
      </c>
      <c r="AS48" s="2">
        <v>328.79275999999908</v>
      </c>
      <c r="AT48" s="2">
        <v>369.2808263697151</v>
      </c>
      <c r="AU48" s="2">
        <v>435.51265999999998</v>
      </c>
      <c r="AV48" s="2">
        <v>503.69610715221899</v>
      </c>
      <c r="AW48" s="2">
        <v>381.04820000000007</v>
      </c>
      <c r="AX48" s="2">
        <v>8.5511177046669999</v>
      </c>
      <c r="AY48" s="2">
        <v>7.1442599999969989</v>
      </c>
      <c r="AZ48" s="2">
        <v>7.3286945400750003</v>
      </c>
      <c r="BA48" s="2">
        <v>8.6111500000000021</v>
      </c>
      <c r="BB48" s="2">
        <v>6.999999779515</v>
      </c>
      <c r="BC48" s="2">
        <v>7.5784700000000011</v>
      </c>
      <c r="BD48" s="2">
        <v>223.43649503651801</v>
      </c>
      <c r="BE48" s="2">
        <v>202.62965999999801</v>
      </c>
      <c r="BF48" s="2">
        <v>209.860702995141</v>
      </c>
      <c r="BG48" s="2">
        <v>197.0634</v>
      </c>
      <c r="BH48" s="2">
        <v>184.99999417294302</v>
      </c>
      <c r="BI48" s="2">
        <v>87.342620000000011</v>
      </c>
      <c r="BJ48" s="2">
        <v>276.12121864395903</v>
      </c>
      <c r="BK48" s="2">
        <v>273.99686999999699</v>
      </c>
      <c r="BL48" s="2">
        <v>925.58971089379793</v>
      </c>
      <c r="BM48" s="2">
        <v>468.71977999999996</v>
      </c>
      <c r="BN48" s="2">
        <v>469.38942183938605</v>
      </c>
      <c r="BO48" s="2">
        <v>77.70514</v>
      </c>
      <c r="BP48" s="2">
        <v>142.69871071103501</v>
      </c>
      <c r="BQ48" s="2">
        <v>144.22289999999899</v>
      </c>
      <c r="BR48" s="2">
        <v>147.94612455089802</v>
      </c>
      <c r="BS48" s="2">
        <v>130.638630000001</v>
      </c>
      <c r="BT48" s="2">
        <v>103.999996724252</v>
      </c>
      <c r="BU48" s="2">
        <v>75.61563000000001</v>
      </c>
      <c r="BV48" s="2">
        <v>8.0359383760780005</v>
      </c>
      <c r="BW48" s="2">
        <v>11.477589999999999</v>
      </c>
      <c r="BX48" s="2">
        <v>7.7738938476119994</v>
      </c>
      <c r="BY48" s="2">
        <v>5.9928000000000008</v>
      </c>
      <c r="BZ48" s="2">
        <v>10.999999653525</v>
      </c>
      <c r="CA48" s="2">
        <v>11.42896</v>
      </c>
      <c r="CB48" s="2">
        <v>2.6960912294290003</v>
      </c>
      <c r="CC48" s="2">
        <v>2.634649999998</v>
      </c>
      <c r="CD48" s="2">
        <v>2.7026655062950002</v>
      </c>
      <c r="CE48" s="2">
        <v>4.3933400000000002</v>
      </c>
      <c r="CF48" s="2">
        <v>2.9999999055059998</v>
      </c>
      <c r="CG48" s="2">
        <v>3.5782499999999997</v>
      </c>
      <c r="CH48" s="2">
        <v>3.8504105736969998</v>
      </c>
      <c r="CI48" s="2">
        <v>3.9399999999990003</v>
      </c>
      <c r="CJ48" s="2">
        <v>4.0417141156529999</v>
      </c>
      <c r="CK48" s="2">
        <v>4.9380000000000006</v>
      </c>
      <c r="CL48" s="2">
        <v>3.9999998740090001</v>
      </c>
      <c r="CM48" s="2">
        <v>6.3410299999999999</v>
      </c>
      <c r="CN48" s="2">
        <v>185.68300780309301</v>
      </c>
      <c r="CO48" s="2">
        <v>249.762429999999</v>
      </c>
      <c r="CP48" s="2">
        <v>297.09548346620596</v>
      </c>
      <c r="CQ48" s="2">
        <v>245.87263999999999</v>
      </c>
      <c r="CR48" s="2">
        <v>267.35731327567203</v>
      </c>
      <c r="CS48" s="2">
        <v>157.45376999999999</v>
      </c>
      <c r="CT48" s="2">
        <v>85.512317210918994</v>
      </c>
      <c r="CU48" s="2">
        <v>86.384609999997011</v>
      </c>
      <c r="CV48" s="2">
        <v>100.614696440763</v>
      </c>
      <c r="CW48" s="2">
        <v>120.96558999999999</v>
      </c>
      <c r="CX48" s="2">
        <v>124.99999606279999</v>
      </c>
      <c r="CY48" s="2">
        <v>91.626739999999998</v>
      </c>
      <c r="CZ48" s="2">
        <v>0.97010093352799998</v>
      </c>
      <c r="DA48" s="2">
        <v>1.39066</v>
      </c>
      <c r="DB48" s="2">
        <v>1.426560952302</v>
      </c>
      <c r="DC48" s="2">
        <v>3.1005000000000003</v>
      </c>
      <c r="DD48" s="2">
        <v>3.1994998992229999</v>
      </c>
      <c r="DE48" s="2">
        <v>2.4050000000000002</v>
      </c>
      <c r="DF48" s="2">
        <v>3</v>
      </c>
      <c r="DG48" s="2">
        <v>1.4633599999990001</v>
      </c>
      <c r="DH48" s="2">
        <v>1.501137758447</v>
      </c>
      <c r="DI48" s="2">
        <v>4.452</v>
      </c>
      <c r="DJ48" s="2">
        <v>3.443999891522</v>
      </c>
      <c r="DK48" s="2">
        <v>3.8479999999999999</v>
      </c>
      <c r="DL48" s="2">
        <v>10.451505436890001</v>
      </c>
      <c r="DM48" s="2">
        <v>3.5932099999999991</v>
      </c>
      <c r="DN48" s="2">
        <v>3.685971466372</v>
      </c>
      <c r="DO48" s="2">
        <v>7.9195399999999987</v>
      </c>
      <c r="DP48" s="2">
        <v>8.1524497432169998</v>
      </c>
      <c r="DQ48" s="2">
        <v>7.9200900000000001</v>
      </c>
      <c r="DR48" s="2">
        <v>187.964424818694</v>
      </c>
      <c r="DS48" s="2">
        <v>155.50898999999998</v>
      </c>
      <c r="DT48" s="2">
        <v>164.52358114071299</v>
      </c>
      <c r="DU48" s="2">
        <v>179.47901999999999</v>
      </c>
      <c r="DV48" s="2">
        <v>184.999994172947</v>
      </c>
      <c r="DW48" s="2">
        <v>123.52491000000001</v>
      </c>
      <c r="DX48" s="2">
        <v>4.800509426144</v>
      </c>
      <c r="DY48" s="2">
        <v>7.2279499999979997</v>
      </c>
      <c r="DZ48" s="2">
        <v>7.4145450614810002</v>
      </c>
      <c r="EA48" s="2">
        <v>9.7634900000000009</v>
      </c>
      <c r="EB48" s="2">
        <v>6.9999997795160001</v>
      </c>
      <c r="EC48" s="2">
        <v>7.3940000000000001</v>
      </c>
      <c r="ED48" s="2">
        <v>9.0263001500409992</v>
      </c>
      <c r="EE48" s="2">
        <v>5.8429999999989999</v>
      </c>
      <c r="EF48" s="2">
        <v>5.9938415171989998</v>
      </c>
      <c r="EG48" s="2">
        <v>5.9203900000000012</v>
      </c>
      <c r="EH48" s="2">
        <v>5.9999998110139998</v>
      </c>
      <c r="EI48" s="2">
        <v>4.3887999999999998</v>
      </c>
      <c r="EJ48" s="2">
        <v>5.6215702320750003</v>
      </c>
      <c r="EK48" s="2">
        <v>7.4624499999990004</v>
      </c>
      <c r="EL48" s="2">
        <v>7.6550988584649993</v>
      </c>
      <c r="EM48" s="2">
        <v>10.015029999999999</v>
      </c>
      <c r="EN48" s="2">
        <v>6.999999779515</v>
      </c>
      <c r="EO48" s="2">
        <v>9.1879999999999988</v>
      </c>
      <c r="EP48" s="2">
        <v>1.8210608059660001</v>
      </c>
      <c r="EQ48" s="2">
        <v>1.4213999999989999</v>
      </c>
      <c r="ER48" s="2">
        <v>1.45809452893</v>
      </c>
      <c r="ES48" s="2">
        <v>1.5771999999999999</v>
      </c>
      <c r="ET48" s="2">
        <v>3.1533999006749998</v>
      </c>
      <c r="EU48" s="2">
        <v>2.2904</v>
      </c>
      <c r="EV48" s="2"/>
      <c r="EW48" s="2"/>
      <c r="EX48" s="2">
        <v>0</v>
      </c>
      <c r="EY48" s="2">
        <v>0.17499999999999999</v>
      </c>
      <c r="EZ48" s="2">
        <v>0.17499999448699999</v>
      </c>
      <c r="FA48" s="2">
        <v>1.09E-2</v>
      </c>
      <c r="FB48" s="2">
        <v>1.90027371581</v>
      </c>
      <c r="FC48" s="2">
        <v>0.69199999999999995</v>
      </c>
      <c r="FD48" s="2">
        <v>2.7098645096520002</v>
      </c>
      <c r="FE48" s="2">
        <v>1.5385600000000001</v>
      </c>
      <c r="FF48" s="2">
        <v>15.999999496037999</v>
      </c>
      <c r="FG48" s="2">
        <v>2.12453</v>
      </c>
      <c r="FH48" s="2">
        <v>3.3254790026459999</v>
      </c>
      <c r="FI48" s="2">
        <v>4.0490000000000004</v>
      </c>
      <c r="FJ48" s="2">
        <v>4.1535280340809999</v>
      </c>
      <c r="FK48" s="2">
        <v>8.5390000000000015</v>
      </c>
      <c r="FL48" s="2">
        <v>3.9999998740080001</v>
      </c>
      <c r="FM48" s="2">
        <v>8.9255400000000016</v>
      </c>
      <c r="FN48" s="2">
        <v>81.049030277998995</v>
      </c>
      <c r="FO48" s="2">
        <v>13.382999999999001</v>
      </c>
      <c r="FP48" s="2">
        <v>10.728492388269999</v>
      </c>
      <c r="FQ48" s="2">
        <v>25.039069999999999</v>
      </c>
      <c r="FR48" s="2">
        <v>23.425359262156</v>
      </c>
      <c r="FS48" s="2">
        <v>9.5037999999999982</v>
      </c>
      <c r="FT48" s="2">
        <v>736.07295166350502</v>
      </c>
      <c r="FU48" s="2">
        <v>660.89721999999699</v>
      </c>
      <c r="FV48" s="2">
        <v>742.95884519437413</v>
      </c>
      <c r="FW48" s="2">
        <v>824.85145000000011</v>
      </c>
      <c r="FX48" s="2">
        <v>830.99997382551214</v>
      </c>
      <c r="FY48" s="2">
        <v>719.48207000000014</v>
      </c>
      <c r="FZ48" s="2">
        <v>0</v>
      </c>
      <c r="GA48" s="2">
        <v>0.98580000000000001</v>
      </c>
      <c r="GB48" s="2">
        <v>1.0112491815240001</v>
      </c>
      <c r="GC48" s="2">
        <v>2.8517999999999999</v>
      </c>
      <c r="GD48" s="2">
        <v>0.99999996850200001</v>
      </c>
      <c r="GE48" s="2">
        <v>2.1040000000000001</v>
      </c>
      <c r="GF48" s="2">
        <v>195</v>
      </c>
      <c r="GG48" s="2">
        <v>113.70424999999899</v>
      </c>
      <c r="GH48" s="2">
        <v>116.63961224234501</v>
      </c>
      <c r="GI48" s="2">
        <v>152.37514999999999</v>
      </c>
      <c r="GJ48" s="2">
        <v>153.99999514937201</v>
      </c>
      <c r="GK48" s="2">
        <v>114.63673000000001</v>
      </c>
      <c r="GL48" s="2">
        <v>0</v>
      </c>
      <c r="GM48" s="2">
        <v>0.69099999999999995</v>
      </c>
      <c r="GN48" s="2">
        <v>49.708838693886996</v>
      </c>
      <c r="GO48" s="2">
        <v>52.961999999999996</v>
      </c>
      <c r="GP48" s="2">
        <v>45.999998551110998</v>
      </c>
      <c r="GQ48" s="2">
        <v>30.3</v>
      </c>
      <c r="GR48" s="2"/>
      <c r="GS48" s="2"/>
      <c r="GT48" s="2"/>
      <c r="GU48" s="2"/>
      <c r="GV48" s="2"/>
      <c r="GW48" s="2"/>
      <c r="GX48" s="2">
        <v>0</v>
      </c>
      <c r="GY48" s="2">
        <v>0.03</v>
      </c>
      <c r="GZ48" s="2">
        <v>3.0774472960999999E-2</v>
      </c>
      <c r="HA48" s="2">
        <v>9.6000000000000002E-2</v>
      </c>
      <c r="HB48" s="2">
        <v>9.5999996975999993E-2</v>
      </c>
      <c r="HC48" s="2">
        <v>4.8000000000000001E-2</v>
      </c>
      <c r="HD48" s="2">
        <v>0</v>
      </c>
      <c r="HE48" s="2">
        <v>0.06</v>
      </c>
      <c r="HF48" s="2">
        <v>6.1548945922999997E-2</v>
      </c>
      <c r="HG48" s="2">
        <v>0.64800000000000002</v>
      </c>
      <c r="HH48" s="2">
        <v>0</v>
      </c>
      <c r="HI48" s="2">
        <v>0.33899999999999997</v>
      </c>
      <c r="HJ48" s="2"/>
      <c r="HK48" s="2"/>
      <c r="HL48" s="2"/>
      <c r="HM48" s="2"/>
      <c r="HN48" s="2"/>
      <c r="HO48" s="2"/>
      <c r="HP48" s="2">
        <v>2.7711976638540001</v>
      </c>
      <c r="HQ48" s="2">
        <v>1.0189999999999999</v>
      </c>
      <c r="HR48" s="2">
        <v>1.0453062649360001</v>
      </c>
      <c r="HS48" s="2">
        <v>1.0900000000000001</v>
      </c>
      <c r="HT48" s="2">
        <v>1.177999962895</v>
      </c>
      <c r="HU48" s="2">
        <v>0.86199999999999988</v>
      </c>
      <c r="HV48" s="2"/>
      <c r="HW48" s="2"/>
      <c r="HX48" s="2">
        <v>0</v>
      </c>
      <c r="HY48" s="2">
        <v>0.96549999999999991</v>
      </c>
      <c r="HZ48" s="2">
        <v>0</v>
      </c>
      <c r="IA48" s="2">
        <v>2.9975000000000001</v>
      </c>
      <c r="IB48" s="2">
        <v>2.9003117212719998</v>
      </c>
      <c r="IC48" s="2">
        <v>1.9649999999999999</v>
      </c>
      <c r="ID48" s="2">
        <v>6.0157279789990001</v>
      </c>
      <c r="IE48" s="2">
        <v>4.1469999999999994</v>
      </c>
      <c r="IF48" s="2">
        <v>1.999999937004</v>
      </c>
      <c r="IG48" s="2">
        <v>3.6020000000000003</v>
      </c>
      <c r="IH48" s="2">
        <v>171.02463442184199</v>
      </c>
      <c r="II48" s="2">
        <v>113.34855</v>
      </c>
      <c r="IJ48" s="2">
        <v>116.27472957459401</v>
      </c>
      <c r="IK48" s="2">
        <v>67.950030000000012</v>
      </c>
      <c r="IL48" s="2">
        <v>112.999996440774</v>
      </c>
      <c r="IM48" s="2">
        <v>64.316300000000012</v>
      </c>
      <c r="IN48" s="2">
        <v>0</v>
      </c>
      <c r="IO48" s="2">
        <v>48.763999999998994</v>
      </c>
      <c r="IP48" s="2">
        <v>50.022879983692</v>
      </c>
      <c r="IQ48" s="2">
        <v>57.312749999999994</v>
      </c>
      <c r="IR48" s="2">
        <v>59.150938165446</v>
      </c>
      <c r="IS48" s="2">
        <v>39.747749999999989</v>
      </c>
      <c r="IT48" s="2">
        <v>221.432015985471</v>
      </c>
      <c r="IU48" s="2">
        <v>121.42669999999801</v>
      </c>
      <c r="IV48" s="2">
        <v>166.56143235329</v>
      </c>
      <c r="IW48" s="2">
        <v>198.91683</v>
      </c>
      <c r="IX48" s="2">
        <v>250.999992094107</v>
      </c>
      <c r="IY48" s="2">
        <v>46.071280000000002</v>
      </c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>
        <v>22.878079302730001</v>
      </c>
      <c r="JM48" s="2">
        <v>17.398979999999</v>
      </c>
      <c r="JN48" s="2">
        <v>17.848147985781001</v>
      </c>
      <c r="JO48" s="2">
        <v>18.566770000000002</v>
      </c>
      <c r="JP48" s="2">
        <v>23.999999244057999</v>
      </c>
      <c r="JQ48" s="2">
        <v>21.85716</v>
      </c>
      <c r="JR48" s="2">
        <v>27.010871752238003</v>
      </c>
      <c r="JS48" s="2">
        <v>29.978699999998994</v>
      </c>
      <c r="JT48" s="2">
        <v>39.752623624465997</v>
      </c>
      <c r="JU48" s="2">
        <v>28.119430000000001</v>
      </c>
      <c r="JV48" s="2">
        <v>29.999999055069999</v>
      </c>
      <c r="JW48" s="2">
        <v>11.833</v>
      </c>
      <c r="JX48" s="2">
        <v>0</v>
      </c>
      <c r="JY48" s="2">
        <v>98.155000000000001</v>
      </c>
      <c r="JZ48" s="2">
        <v>0</v>
      </c>
      <c r="KA48" s="2">
        <v>35.579000000000001</v>
      </c>
      <c r="KB48" s="2">
        <v>0</v>
      </c>
      <c r="KC48" s="2">
        <v>47.19</v>
      </c>
      <c r="KD48" s="2">
        <v>0</v>
      </c>
      <c r="KE48" s="2">
        <v>146.21841999999901</v>
      </c>
      <c r="KF48" s="2">
        <v>0</v>
      </c>
      <c r="KG48" s="2">
        <v>232.10784999999998</v>
      </c>
      <c r="KH48" s="2">
        <v>0</v>
      </c>
      <c r="KI48" s="2">
        <v>100.61145</v>
      </c>
      <c r="KJ48" s="2">
        <v>-186.25532579877901</v>
      </c>
      <c r="KK48" s="2">
        <v>0</v>
      </c>
      <c r="KL48" s="2">
        <v>-942.49995584794704</v>
      </c>
      <c r="KM48" s="2">
        <v>0</v>
      </c>
      <c r="KN48" s="2">
        <v>-200.416666666667</v>
      </c>
      <c r="KO48" s="2">
        <v>0</v>
      </c>
      <c r="KP48" s="2"/>
      <c r="KQ48" s="2"/>
      <c r="KR48" s="2"/>
      <c r="KS48" s="2"/>
      <c r="KT48" s="2"/>
      <c r="KU48" s="2"/>
      <c r="KV48" s="2">
        <v>0</v>
      </c>
      <c r="KW48" s="2">
        <v>0</v>
      </c>
      <c r="KX48" s="2">
        <v>0</v>
      </c>
      <c r="KY48" s="2">
        <v>-184.607</v>
      </c>
      <c r="KZ48" s="2"/>
      <c r="LA48" s="2"/>
      <c r="LB48" s="2"/>
      <c r="LC48" s="2"/>
      <c r="LD48" s="2"/>
      <c r="LE48" s="2"/>
      <c r="LF48" s="2">
        <v>21.802429111466999</v>
      </c>
      <c r="LG48" s="2">
        <v>14.007779999999</v>
      </c>
      <c r="LH48" s="2">
        <v>16.369401562175</v>
      </c>
      <c r="LI48" s="2">
        <v>7.3203199999999997</v>
      </c>
      <c r="LJ48" s="2">
        <v>13.999999559033</v>
      </c>
      <c r="LK48" s="2">
        <v>2.4590000000000001</v>
      </c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>
        <v>4</v>
      </c>
      <c r="LW48" s="2">
        <v>6.9478000000000009</v>
      </c>
      <c r="LX48" s="2">
        <v>17.127162774807001</v>
      </c>
      <c r="LY48" s="2">
        <v>15.418510000000001</v>
      </c>
      <c r="LZ48" s="2">
        <v>18.999999496038001</v>
      </c>
      <c r="MA48" s="2">
        <v>8.3848700000000012</v>
      </c>
      <c r="MB48" s="2"/>
      <c r="MC48" s="2"/>
      <c r="MD48" s="2"/>
      <c r="ME48" s="2"/>
      <c r="MF48" s="2"/>
      <c r="MG48" s="2"/>
      <c r="MH48" s="2">
        <v>0</v>
      </c>
      <c r="MI48" s="2">
        <v>1.3849999999999998</v>
      </c>
      <c r="MJ48" s="2">
        <v>0</v>
      </c>
      <c r="MK48" s="2">
        <v>0.60199999999999998</v>
      </c>
      <c r="ML48" s="2">
        <v>0</v>
      </c>
      <c r="MM48" s="2">
        <v>18.37452</v>
      </c>
    </row>
    <row r="49" spans="1:351">
      <c r="A49" s="1" t="s">
        <v>103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>
        <v>4.0311810563800003</v>
      </c>
      <c r="U49" s="2">
        <v>0</v>
      </c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>
        <v>26.050225294306003</v>
      </c>
      <c r="AS49" s="2">
        <v>0</v>
      </c>
      <c r="AT49" s="2">
        <v>7.9999956924819999</v>
      </c>
      <c r="AU49" s="2">
        <v>45.4572</v>
      </c>
      <c r="AV49" s="2">
        <v>40.999998708599001</v>
      </c>
      <c r="AW49" s="2">
        <v>30.3048</v>
      </c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>
        <v>90.255915105373006</v>
      </c>
      <c r="BQ49" s="2">
        <v>45.4572</v>
      </c>
      <c r="BR49" s="2">
        <v>51.635995551302997</v>
      </c>
      <c r="BS49" s="2">
        <v>75.762</v>
      </c>
      <c r="BT49" s="2">
        <v>144.999997826667</v>
      </c>
      <c r="BU49" s="2">
        <v>98.490600000000001</v>
      </c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>
        <v>78.904921475349994</v>
      </c>
      <c r="FO49" s="2">
        <v>0</v>
      </c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>
        <v>53.768934285415</v>
      </c>
      <c r="II49" s="2">
        <v>42.576689999999999</v>
      </c>
      <c r="IJ49" s="2">
        <v>48.363950604726995</v>
      </c>
      <c r="IK49" s="2">
        <v>0</v>
      </c>
      <c r="IL49" s="2">
        <v>42.999998645604002</v>
      </c>
      <c r="IM49" s="2">
        <v>22.653739999999999</v>
      </c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>
        <v>16.999998051921999</v>
      </c>
      <c r="KK49" s="2">
        <v>0</v>
      </c>
      <c r="KL49" s="2">
        <v>-7.9999956924819999</v>
      </c>
      <c r="KM49" s="2">
        <v>0</v>
      </c>
      <c r="KN49" s="2">
        <v>-70</v>
      </c>
      <c r="KO49" s="2">
        <v>0</v>
      </c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</row>
    <row r="50" spans="1:351">
      <c r="A50" s="1" t="s">
        <v>87</v>
      </c>
      <c r="B50" s="2">
        <v>178.39173066696301</v>
      </c>
      <c r="C50" s="2">
        <v>199.57650000000001</v>
      </c>
      <c r="D50" s="2">
        <v>221.27496580746498</v>
      </c>
      <c r="E50" s="2">
        <v>269.49415999999997</v>
      </c>
      <c r="F50" s="2">
        <v>269.99999149565201</v>
      </c>
      <c r="G50" s="2">
        <v>192.10660000000001</v>
      </c>
      <c r="H50" s="2">
        <v>194.14781505578901</v>
      </c>
      <c r="I50" s="2">
        <v>195.25492999999801</v>
      </c>
      <c r="J50" s="2">
        <v>201.96710562790201</v>
      </c>
      <c r="K50" s="2">
        <v>225.58123999999998</v>
      </c>
      <c r="L50" s="2">
        <v>226</v>
      </c>
      <c r="M50" s="2">
        <v>167.21832000000001</v>
      </c>
      <c r="N50" s="2">
        <v>206.473691838012</v>
      </c>
      <c r="O50" s="2">
        <v>176.89179999999703</v>
      </c>
      <c r="P50" s="2">
        <v>181.39490627771701</v>
      </c>
      <c r="Q50" s="2">
        <v>183.04001</v>
      </c>
      <c r="R50" s="2">
        <v>188.99999404695501</v>
      </c>
      <c r="S50" s="2">
        <v>150.22704999999999</v>
      </c>
      <c r="T50" s="2">
        <v>251.36090517420999</v>
      </c>
      <c r="U50" s="2">
        <v>214.26954999999901</v>
      </c>
      <c r="V50" s="2">
        <v>217.30157104881201</v>
      </c>
      <c r="W50" s="2">
        <v>232.00370999999996</v>
      </c>
      <c r="X50" s="2">
        <v>243.01069505472603</v>
      </c>
      <c r="Y50" s="2">
        <v>171.27375999999998</v>
      </c>
      <c r="Z50" s="2">
        <v>49.803737007282997</v>
      </c>
      <c r="AA50" s="2">
        <v>58.496269999999001</v>
      </c>
      <c r="AB50" s="2">
        <v>62.324021456902003</v>
      </c>
      <c r="AC50" s="2">
        <v>63.8904</v>
      </c>
      <c r="AD50" s="2">
        <v>57.999998173139005</v>
      </c>
      <c r="AE50" s="2">
        <v>29.428100000000001</v>
      </c>
      <c r="AF50" s="2">
        <v>326.35493658148602</v>
      </c>
      <c r="AG50" s="2">
        <v>276.32422999999704</v>
      </c>
      <c r="AH50" s="2">
        <v>287.23436271991699</v>
      </c>
      <c r="AI50" s="2">
        <v>368.98755999999997</v>
      </c>
      <c r="AJ50" s="2">
        <v>344.999989133334</v>
      </c>
      <c r="AK50" s="2">
        <v>261.47866999999997</v>
      </c>
      <c r="AL50" s="2">
        <v>311.71870521508299</v>
      </c>
      <c r="AM50" s="2">
        <v>341.10949999999895</v>
      </c>
      <c r="AN50" s="2">
        <v>354.93638570775704</v>
      </c>
      <c r="AO50" s="2">
        <v>412.62442000000004</v>
      </c>
      <c r="AP50" s="2">
        <v>425.45812692762394</v>
      </c>
      <c r="AQ50" s="2">
        <v>339.84997999999996</v>
      </c>
      <c r="AR50" s="2">
        <v>305.94671243569798</v>
      </c>
      <c r="AS50" s="2">
        <v>351.79805999999604</v>
      </c>
      <c r="AT50" s="2">
        <v>378.91690380158809</v>
      </c>
      <c r="AU50" s="2">
        <v>423.11381999999998</v>
      </c>
      <c r="AV50" s="2">
        <v>442.548938154094</v>
      </c>
      <c r="AW50" s="2">
        <v>316.79614999999995</v>
      </c>
      <c r="AX50" s="2">
        <v>150.778075991207</v>
      </c>
      <c r="AY50" s="2">
        <v>152.400119999998</v>
      </c>
      <c r="AZ50" s="2">
        <v>154.55665506190599</v>
      </c>
      <c r="BA50" s="2">
        <v>128.20649</v>
      </c>
      <c r="BB50" s="2">
        <v>141.999995527343</v>
      </c>
      <c r="BC50" s="2">
        <v>126.38226</v>
      </c>
      <c r="BD50" s="2">
        <v>264.709678145726</v>
      </c>
      <c r="BE50" s="2">
        <v>264.787539999996</v>
      </c>
      <c r="BF50" s="2">
        <v>283.53440900333499</v>
      </c>
      <c r="BG50" s="2">
        <v>292.79241000000002</v>
      </c>
      <c r="BH50" s="2">
        <v>314.65436087575199</v>
      </c>
      <c r="BI50" s="2">
        <v>243.20627999999999</v>
      </c>
      <c r="BJ50" s="2">
        <v>269.099924261696</v>
      </c>
      <c r="BK50" s="2">
        <v>294.87093999999905</v>
      </c>
      <c r="BL50" s="2">
        <v>301.04351436398201</v>
      </c>
      <c r="BM50" s="2">
        <v>296.78433999999993</v>
      </c>
      <c r="BN50" s="2">
        <v>294.99999070821298</v>
      </c>
      <c r="BO50" s="2">
        <v>211.11241000000001</v>
      </c>
      <c r="BP50" s="2">
        <v>85.252079890223982</v>
      </c>
      <c r="BQ50" s="2">
        <v>85.315099999999006</v>
      </c>
      <c r="BR50" s="2">
        <v>88.522353503920996</v>
      </c>
      <c r="BS50" s="2">
        <v>101.00729999999999</v>
      </c>
      <c r="BT50" s="2">
        <v>99.99999685024099</v>
      </c>
      <c r="BU50" s="2">
        <v>77.307700000000011</v>
      </c>
      <c r="BV50" s="2">
        <v>88.764773180956993</v>
      </c>
      <c r="BW50" s="2">
        <v>82.419489999999996</v>
      </c>
      <c r="BX50" s="2">
        <v>98.58577084382199</v>
      </c>
      <c r="BY50" s="2">
        <v>110.56611000000001</v>
      </c>
      <c r="BZ50" s="2">
        <v>111.99999647227</v>
      </c>
      <c r="CA50" s="2">
        <v>69.672930000000008</v>
      </c>
      <c r="CB50" s="2">
        <v>83.454827263276997</v>
      </c>
      <c r="CC50" s="2">
        <v>76.066749999999004</v>
      </c>
      <c r="CD50" s="2">
        <v>80.143137053114003</v>
      </c>
      <c r="CE50" s="2">
        <v>89.165590000000009</v>
      </c>
      <c r="CF50" s="2">
        <v>85.999997291207009</v>
      </c>
      <c r="CG50" s="2">
        <v>72.94865999999999</v>
      </c>
      <c r="CH50" s="2">
        <v>2.7420188655820001</v>
      </c>
      <c r="CI50" s="2">
        <v>3.2250000000000001</v>
      </c>
      <c r="CJ50" s="2">
        <v>3.2706353024829999</v>
      </c>
      <c r="CK50" s="2">
        <v>4.8360000000000003</v>
      </c>
      <c r="CL50" s="2">
        <v>2.9999999055069999</v>
      </c>
      <c r="CM50" s="2">
        <v>3.02216</v>
      </c>
      <c r="CN50" s="2">
        <v>62.552837156593007</v>
      </c>
      <c r="CO50" s="2">
        <v>66.864409999998003</v>
      </c>
      <c r="CP50" s="2">
        <v>82.810575743121007</v>
      </c>
      <c r="CQ50" s="2">
        <v>122.46020999999999</v>
      </c>
      <c r="CR50" s="2">
        <v>247.52042273633799</v>
      </c>
      <c r="CS50" s="2">
        <v>123.92312999999999</v>
      </c>
      <c r="CT50" s="2">
        <v>82.186163484008006</v>
      </c>
      <c r="CU50" s="2">
        <v>89.640619999997995</v>
      </c>
      <c r="CV50" s="2">
        <v>95.909078463543011</v>
      </c>
      <c r="CW50" s="2">
        <v>151.02013999999997</v>
      </c>
      <c r="CX50" s="2">
        <v>154.999995117873</v>
      </c>
      <c r="CY50" s="2">
        <v>102.6478</v>
      </c>
      <c r="CZ50" s="2">
        <v>10.671362040821</v>
      </c>
      <c r="DA50" s="2">
        <v>11.679829999997999</v>
      </c>
      <c r="DB50" s="2">
        <v>12.845105755492</v>
      </c>
      <c r="DC50" s="2">
        <v>14.33672</v>
      </c>
      <c r="DD50" s="2">
        <v>13.999999559032</v>
      </c>
      <c r="DE50" s="2">
        <v>10.21233</v>
      </c>
      <c r="DF50" s="2">
        <v>1.9502251591299999</v>
      </c>
      <c r="DG50" s="2">
        <v>2.6269999999989997</v>
      </c>
      <c r="DH50" s="2">
        <v>2.6641733146100002</v>
      </c>
      <c r="DI50" s="2">
        <v>2.3109999999999999</v>
      </c>
      <c r="DJ50" s="2">
        <v>2.9999999055060003</v>
      </c>
      <c r="DK50" s="2">
        <v>1.5619999999999998</v>
      </c>
      <c r="DL50" s="2">
        <v>21.849062090156998</v>
      </c>
      <c r="DM50" s="2">
        <v>20.388159999999001</v>
      </c>
      <c r="DN50" s="2">
        <v>30.915136126692001</v>
      </c>
      <c r="DO50" s="2">
        <v>26.670249999999996</v>
      </c>
      <c r="DP50" s="2">
        <v>29.999999055071001</v>
      </c>
      <c r="DQ50" s="2">
        <v>21.637499999999999</v>
      </c>
      <c r="DR50" s="2">
        <v>77.972653834822992</v>
      </c>
      <c r="DS50" s="2">
        <v>73.244540000000015</v>
      </c>
      <c r="DT50" s="2">
        <v>74.280985500193992</v>
      </c>
      <c r="DU50" s="2">
        <v>76.297809999999998</v>
      </c>
      <c r="DV50" s="2">
        <v>81.999997606182987</v>
      </c>
      <c r="DW50" s="2">
        <v>62.781910000000003</v>
      </c>
      <c r="DX50" s="2">
        <v>61.056155427394003</v>
      </c>
      <c r="DY50" s="2">
        <v>55.677089999999005</v>
      </c>
      <c r="DZ50" s="2">
        <v>56.464947625896997</v>
      </c>
      <c r="EA50" s="2">
        <v>60.47186</v>
      </c>
      <c r="EB50" s="2">
        <v>61.999998047148992</v>
      </c>
      <c r="EC50" s="2">
        <v>41.890250000000002</v>
      </c>
      <c r="ED50" s="2">
        <v>160.72707461269601</v>
      </c>
      <c r="EE50" s="2">
        <v>158.78915000000001</v>
      </c>
      <c r="EF50" s="2">
        <v>165.03610098861901</v>
      </c>
      <c r="EG50" s="2">
        <v>181.35648999999998</v>
      </c>
      <c r="EH50" s="2">
        <v>178.999994361934</v>
      </c>
      <c r="EI50" s="2">
        <v>133.51475000000002</v>
      </c>
      <c r="EJ50" s="2">
        <v>119.20527524203801</v>
      </c>
      <c r="EK50" s="2">
        <v>126.173959999999</v>
      </c>
      <c r="EL50" s="2">
        <v>128.959383349772</v>
      </c>
      <c r="EM50" s="2">
        <v>155.07627000000002</v>
      </c>
      <c r="EN50" s="2">
        <v>155.600576407007</v>
      </c>
      <c r="EO50" s="2">
        <v>110.01665999999999</v>
      </c>
      <c r="EP50" s="2">
        <v>23.753166467204</v>
      </c>
      <c r="EQ50" s="2">
        <v>22.873980000000003</v>
      </c>
      <c r="ER50" s="2">
        <v>23.197657828305999</v>
      </c>
      <c r="ES50" s="2">
        <v>18.887800000000002</v>
      </c>
      <c r="ET50" s="2">
        <v>22.999999275555002</v>
      </c>
      <c r="EU50" s="2">
        <v>18.0928</v>
      </c>
      <c r="EV50" s="2">
        <v>0.95009017376000005</v>
      </c>
      <c r="EW50" s="2">
        <v>0.8137999999990001</v>
      </c>
      <c r="EX50" s="2">
        <v>0.82531566175500004</v>
      </c>
      <c r="EY50" s="2">
        <v>0</v>
      </c>
      <c r="EZ50" s="2">
        <v>0.99999996850200001</v>
      </c>
      <c r="FA50" s="2">
        <v>0</v>
      </c>
      <c r="FB50" s="2">
        <v>34.363048313987001</v>
      </c>
      <c r="FC50" s="2">
        <v>31.118329999998998</v>
      </c>
      <c r="FD50" s="2">
        <v>33.849374790581003</v>
      </c>
      <c r="FE50" s="2">
        <v>60.676410000000004</v>
      </c>
      <c r="FF50" s="2">
        <v>89.888434913751993</v>
      </c>
      <c r="FG50" s="2">
        <v>16.401399999999999</v>
      </c>
      <c r="FH50" s="2">
        <v>101.03033119305501</v>
      </c>
      <c r="FI50" s="2">
        <v>96.528299999999021</v>
      </c>
      <c r="FJ50" s="2">
        <v>105.894229989362</v>
      </c>
      <c r="FK50" s="2">
        <v>121.34521000000001</v>
      </c>
      <c r="FL50" s="2">
        <v>121.999996157296</v>
      </c>
      <c r="FM50" s="2">
        <v>81.355000000000004</v>
      </c>
      <c r="FN50" s="2">
        <v>86.255762001099001</v>
      </c>
      <c r="FO50" s="2">
        <v>77.134500000000003</v>
      </c>
      <c r="FP50" s="2">
        <v>79.225991383662006</v>
      </c>
      <c r="FQ50" s="2">
        <v>81.492100000000008</v>
      </c>
      <c r="FR50" s="2">
        <v>81.999997417196994</v>
      </c>
      <c r="FS50" s="2">
        <v>66.0565</v>
      </c>
      <c r="FT50" s="2">
        <v>336.577993055626</v>
      </c>
      <c r="FU50" s="2">
        <v>372.55699999999797</v>
      </c>
      <c r="FV50" s="2">
        <v>386.82888027907495</v>
      </c>
      <c r="FW50" s="2">
        <v>404.39947999999993</v>
      </c>
      <c r="FX50" s="2">
        <v>407.999987148988</v>
      </c>
      <c r="FY50" s="2">
        <v>357.59892000000002</v>
      </c>
      <c r="FZ50" s="2">
        <v>42.755768050195002</v>
      </c>
      <c r="GA50" s="2">
        <v>36.998119999999005</v>
      </c>
      <c r="GB50" s="2">
        <v>37.521661208527</v>
      </c>
      <c r="GC50" s="2">
        <v>57.881169999999997</v>
      </c>
      <c r="GD50" s="2">
        <v>48.999998456618002</v>
      </c>
      <c r="GE50" s="2">
        <v>61.77</v>
      </c>
      <c r="GF50" s="2">
        <v>115.14008199838301</v>
      </c>
      <c r="GG50" s="2">
        <v>72.491799999999998</v>
      </c>
      <c r="GH50" s="2">
        <v>73.517593866834005</v>
      </c>
      <c r="GI50" s="2">
        <v>96.952190000000002</v>
      </c>
      <c r="GJ50" s="2">
        <v>91.999997102222011</v>
      </c>
      <c r="GK50" s="2">
        <v>68.466720000000009</v>
      </c>
      <c r="GL50" s="2">
        <v>90.928100019904008</v>
      </c>
      <c r="GM50" s="2">
        <v>83.022999999998007</v>
      </c>
      <c r="GN50" s="2">
        <v>132.19782295460502</v>
      </c>
      <c r="GO50" s="2">
        <v>151.37699999999998</v>
      </c>
      <c r="GP50" s="2">
        <v>127.99999596831</v>
      </c>
      <c r="GQ50" s="2">
        <v>82.185600000000008</v>
      </c>
      <c r="GR50" s="2"/>
      <c r="GS50" s="2"/>
      <c r="GT50" s="2"/>
      <c r="GU50" s="2"/>
      <c r="GV50" s="2"/>
      <c r="GW50" s="2"/>
      <c r="GX50" s="2">
        <v>36.439993674787999</v>
      </c>
      <c r="GY50" s="2">
        <v>27.973800000000001</v>
      </c>
      <c r="GZ50" s="2">
        <v>25.369643813187999</v>
      </c>
      <c r="HA50" s="2">
        <v>17.854600000000001</v>
      </c>
      <c r="HB50" s="2">
        <v>27.633463169397999</v>
      </c>
      <c r="HC50" s="2">
        <v>16.261999999999997</v>
      </c>
      <c r="HD50" s="2">
        <v>49.823317907875001</v>
      </c>
      <c r="HE50" s="2">
        <v>42.142129999999</v>
      </c>
      <c r="HF50" s="2">
        <v>41.738463580062003</v>
      </c>
      <c r="HG50" s="2">
        <v>45.486660000000001</v>
      </c>
      <c r="HH50" s="2">
        <v>41.999998677100997</v>
      </c>
      <c r="HI50" s="2">
        <v>31.7682</v>
      </c>
      <c r="HJ50" s="2"/>
      <c r="HK50" s="2"/>
      <c r="HL50" s="2"/>
      <c r="HM50" s="2"/>
      <c r="HN50" s="2"/>
      <c r="HO50" s="2"/>
      <c r="HP50" s="2">
        <v>25.895667933317</v>
      </c>
      <c r="HQ50" s="2">
        <v>21.338000000000001</v>
      </c>
      <c r="HR50" s="2">
        <v>21.639942971901</v>
      </c>
      <c r="HS50" s="2">
        <v>25.065999999999995</v>
      </c>
      <c r="HT50" s="2">
        <v>25.999999181063</v>
      </c>
      <c r="HU50" s="2">
        <v>14.771999999999998</v>
      </c>
      <c r="HV50" s="2">
        <v>29.998470658214998</v>
      </c>
      <c r="HW50" s="2">
        <v>29.918500000000002</v>
      </c>
      <c r="HX50" s="2">
        <v>30.341861177468999</v>
      </c>
      <c r="HY50" s="2">
        <v>29.870000000000005</v>
      </c>
      <c r="HZ50" s="2">
        <v>30.011999054694002</v>
      </c>
      <c r="IA50" s="2">
        <v>22.44</v>
      </c>
      <c r="IB50" s="2">
        <v>46.831566110576006</v>
      </c>
      <c r="IC50" s="2">
        <v>33.644000000000005</v>
      </c>
      <c r="ID50" s="2">
        <v>44.120079872767</v>
      </c>
      <c r="IE50" s="2">
        <v>40.187800000000003</v>
      </c>
      <c r="IF50" s="2">
        <v>33.999998929081002</v>
      </c>
      <c r="IG50" s="2">
        <v>36.067999999999998</v>
      </c>
      <c r="IH50" s="2">
        <v>472.21374291213999</v>
      </c>
      <c r="II50" s="2">
        <v>565.16054999999994</v>
      </c>
      <c r="IJ50" s="2">
        <v>871.15781423100702</v>
      </c>
      <c r="IK50" s="2">
        <v>817.71064999999999</v>
      </c>
      <c r="IL50" s="2">
        <v>806.99997458145594</v>
      </c>
      <c r="IM50" s="2">
        <v>375.11579</v>
      </c>
      <c r="IN50" s="2">
        <v>171.43101283784401</v>
      </c>
      <c r="IO50" s="2">
        <v>190.005519999999</v>
      </c>
      <c r="IP50" s="2">
        <v>192.69418957477302</v>
      </c>
      <c r="IQ50" s="2">
        <v>208.03110000000001</v>
      </c>
      <c r="IR50" s="2">
        <v>209.74150258043701</v>
      </c>
      <c r="IS50" s="2">
        <v>170.54550000000006</v>
      </c>
      <c r="IT50" s="2">
        <v>279.607662532495</v>
      </c>
      <c r="IU50" s="2">
        <v>267.90005999999698</v>
      </c>
      <c r="IV50" s="2">
        <v>271.690974813433</v>
      </c>
      <c r="IW50" s="2">
        <v>286.62047000000007</v>
      </c>
      <c r="IX50" s="2">
        <v>267.99999155864799</v>
      </c>
      <c r="IY50" s="2">
        <v>195.80232000000001</v>
      </c>
      <c r="IZ50" s="2">
        <v>0</v>
      </c>
      <c r="JA50" s="2">
        <v>1.4999999999999999E-2</v>
      </c>
      <c r="JB50" s="2">
        <v>1.5212257220000001E-2</v>
      </c>
      <c r="JC50" s="2">
        <v>0.14599999999999999</v>
      </c>
      <c r="JD50" s="2">
        <v>0.145999995401</v>
      </c>
      <c r="JE50" s="2">
        <v>0.14199999999999999</v>
      </c>
      <c r="JF50" s="2">
        <v>9.5012437837460002</v>
      </c>
      <c r="JG50" s="2">
        <v>10.939999999998999</v>
      </c>
      <c r="JH50" s="2">
        <v>11.094806266407</v>
      </c>
      <c r="JI50" s="2">
        <v>10.222</v>
      </c>
      <c r="JJ50" s="2">
        <v>10.999999653526</v>
      </c>
      <c r="JK50" s="2">
        <v>5.68</v>
      </c>
      <c r="JL50" s="2">
        <v>150.60079872706399</v>
      </c>
      <c r="JM50" s="2">
        <v>164.51249999999999</v>
      </c>
      <c r="JN50" s="2">
        <v>166.84043106968701</v>
      </c>
      <c r="JO50" s="2">
        <v>168.75314</v>
      </c>
      <c r="JP50" s="2">
        <v>179.99999433043601</v>
      </c>
      <c r="JQ50" s="2">
        <v>152.56539999999998</v>
      </c>
      <c r="JR50" s="2">
        <v>146.612286090694</v>
      </c>
      <c r="JS50" s="2">
        <v>150.18947999999904</v>
      </c>
      <c r="JT50" s="2">
        <v>161.31473667236301</v>
      </c>
      <c r="JU50" s="2">
        <v>211.08709999999999</v>
      </c>
      <c r="JV50" s="2">
        <v>199.99999370048198</v>
      </c>
      <c r="JW50" s="2">
        <v>177.37513999999999</v>
      </c>
      <c r="JX50" s="2"/>
      <c r="JY50" s="2"/>
      <c r="JZ50" s="2">
        <v>0</v>
      </c>
      <c r="KA50" s="2">
        <v>0.50819999999999999</v>
      </c>
      <c r="KB50" s="2"/>
      <c r="KC50" s="2"/>
      <c r="KD50" s="2">
        <v>0</v>
      </c>
      <c r="KE50" s="2">
        <v>48.679299999999003</v>
      </c>
      <c r="KF50" s="2">
        <v>0</v>
      </c>
      <c r="KG50" s="2">
        <v>60.152279999999998</v>
      </c>
      <c r="KH50" s="2">
        <v>0</v>
      </c>
      <c r="KI50" s="2">
        <v>37.3065</v>
      </c>
      <c r="KJ50" s="2">
        <v>-258.239388253931</v>
      </c>
      <c r="KK50" s="2">
        <v>0</v>
      </c>
      <c r="KL50" s="2">
        <v>-522.60959169721605</v>
      </c>
      <c r="KM50" s="2">
        <v>0</v>
      </c>
      <c r="KN50" s="2">
        <v>-335.80021459227402</v>
      </c>
      <c r="KO50" s="2">
        <v>0</v>
      </c>
      <c r="KP50" s="2">
        <v>0</v>
      </c>
      <c r="KQ50" s="2">
        <v>0</v>
      </c>
      <c r="KR50" s="2">
        <v>0</v>
      </c>
      <c r="KS50" s="2">
        <v>0.25559999999999999</v>
      </c>
      <c r="KT50" s="2">
        <v>0.25559999194900002</v>
      </c>
      <c r="KU50" s="2">
        <v>0</v>
      </c>
      <c r="KV50" s="2"/>
      <c r="KW50" s="2"/>
      <c r="KX50" s="2"/>
      <c r="KY50" s="2"/>
      <c r="KZ50" s="2"/>
      <c r="LA50" s="2"/>
      <c r="LB50" s="2">
        <v>0</v>
      </c>
      <c r="LC50" s="2">
        <v>9.999778782798785E-13</v>
      </c>
      <c r="LD50" s="2">
        <v>0.71</v>
      </c>
      <c r="LE50" s="2">
        <v>0</v>
      </c>
      <c r="LF50" s="2">
        <v>11.226116815158999</v>
      </c>
      <c r="LG50" s="2">
        <v>15.938039999998001</v>
      </c>
      <c r="LH50" s="2">
        <v>31.163570938414001</v>
      </c>
      <c r="LI50" s="2">
        <v>12.94444</v>
      </c>
      <c r="LJ50" s="2">
        <v>15.999999496037999</v>
      </c>
      <c r="LK50" s="2">
        <v>10.617039999999999</v>
      </c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>
        <v>21.186248803388001</v>
      </c>
      <c r="LW50" s="2">
        <v>15.00497</v>
      </c>
      <c r="LX50" s="2">
        <v>15.217297548743</v>
      </c>
      <c r="LY50" s="2">
        <v>14.1496</v>
      </c>
      <c r="LZ50" s="2">
        <v>18.999999559033</v>
      </c>
      <c r="MA50" s="2">
        <v>8.6260000000000012</v>
      </c>
      <c r="MB50" s="2">
        <v>0</v>
      </c>
      <c r="MC50" s="2">
        <v>14.56</v>
      </c>
      <c r="MD50" s="2">
        <v>19.999999370047998</v>
      </c>
      <c r="ME50" s="2">
        <v>0</v>
      </c>
      <c r="MF50" s="2">
        <v>0</v>
      </c>
      <c r="MG50" s="2">
        <v>0.56799999999999995</v>
      </c>
      <c r="MH50" s="2">
        <v>0</v>
      </c>
      <c r="MI50" s="2">
        <v>26.000100000000003</v>
      </c>
      <c r="MJ50" s="2">
        <v>0</v>
      </c>
      <c r="MK50" s="2">
        <v>15.19556</v>
      </c>
      <c r="ML50" s="2">
        <v>30</v>
      </c>
      <c r="MM50" s="2">
        <v>14.2</v>
      </c>
    </row>
    <row r="51" spans="1:351">
      <c r="A51" s="1" t="s">
        <v>107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>
        <v>396</v>
      </c>
      <c r="AI51" s="2">
        <v>383.30354</v>
      </c>
      <c r="AJ51" s="2">
        <v>335.999989416814</v>
      </c>
      <c r="AK51" s="2">
        <v>165.161</v>
      </c>
      <c r="AL51" s="2"/>
      <c r="AM51" s="2"/>
      <c r="AN51" s="2">
        <v>58</v>
      </c>
      <c r="AO51" s="2">
        <v>116.39972</v>
      </c>
      <c r="AP51" s="2">
        <v>139.99999559033901</v>
      </c>
      <c r="AQ51" s="2">
        <v>48.099000000000004</v>
      </c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>
        <v>0</v>
      </c>
      <c r="BG51" s="2">
        <v>19.399930000000001</v>
      </c>
      <c r="BH51" s="2">
        <v>19.999999370047998</v>
      </c>
      <c r="BI51" s="2">
        <v>0</v>
      </c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>
        <v>-454</v>
      </c>
      <c r="KM51" s="2">
        <v>0</v>
      </c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</row>
    <row r="52" spans="1:351">
      <c r="A52" s="1" t="s">
        <v>109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>
        <v>15.999999496038001</v>
      </c>
      <c r="BI52" s="2">
        <v>18.216279999999998</v>
      </c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>
        <v>401.99999303903496</v>
      </c>
      <c r="DW52" s="2">
        <v>153.33849000000001</v>
      </c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>
        <v>19.999999370047998</v>
      </c>
      <c r="GK52" s="2">
        <v>0</v>
      </c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>
        <v>0</v>
      </c>
      <c r="KC52" s="2">
        <v>426.2201</v>
      </c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>
        <v>-160</v>
      </c>
      <c r="KO52" s="2">
        <v>0</v>
      </c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</row>
    <row r="53" spans="1:351">
      <c r="A53" s="1" t="s">
        <v>88</v>
      </c>
      <c r="B53" s="2">
        <v>79937.65124545226</v>
      </c>
      <c r="C53" s="2">
        <v>80453.576940000086</v>
      </c>
      <c r="D53" s="2">
        <v>92803.816277566904</v>
      </c>
      <c r="E53" s="2">
        <v>83788.37466000003</v>
      </c>
      <c r="F53" s="2">
        <v>895.99997628232495</v>
      </c>
      <c r="G53" s="2">
        <v>1476.3626399999998</v>
      </c>
      <c r="H53" s="2">
        <v>349.54712024449702</v>
      </c>
      <c r="I53" s="2">
        <v>286.939989999999</v>
      </c>
      <c r="J53" s="2">
        <v>632.17346805713009</v>
      </c>
      <c r="K53" s="2">
        <v>524.95193000000006</v>
      </c>
      <c r="L53" s="2">
        <v>224</v>
      </c>
      <c r="M53" s="2">
        <v>194.30950999999999</v>
      </c>
      <c r="N53" s="2">
        <v>558.46949837953196</v>
      </c>
      <c r="O53" s="2">
        <v>582.67120999999906</v>
      </c>
      <c r="P53" s="2">
        <v>551.66847637328203</v>
      </c>
      <c r="Q53" s="2">
        <v>424.23043999999999</v>
      </c>
      <c r="R53" s="2">
        <v>382.999987936428</v>
      </c>
      <c r="S53" s="2">
        <v>170.47482000000002</v>
      </c>
      <c r="T53" s="2">
        <v>249.99950898008302</v>
      </c>
      <c r="U53" s="2">
        <v>332.50980000000004</v>
      </c>
      <c r="V53" s="2">
        <v>325.50824940368102</v>
      </c>
      <c r="W53" s="2">
        <v>224.13217999999998</v>
      </c>
      <c r="X53" s="2">
        <v>255.88515460941801</v>
      </c>
      <c r="Y53" s="2">
        <v>137.63741000000002</v>
      </c>
      <c r="Z53" s="2">
        <v>1027.93719671701</v>
      </c>
      <c r="AA53" s="2">
        <v>1028.739799999998</v>
      </c>
      <c r="AB53" s="2">
        <v>934.73501393951699</v>
      </c>
      <c r="AC53" s="2">
        <v>929.93592000000012</v>
      </c>
      <c r="AD53" s="2">
        <v>1028.9999675889921</v>
      </c>
      <c r="AE53" s="2">
        <v>635.25121000000001</v>
      </c>
      <c r="AF53" s="2">
        <v>1951.6774360592708</v>
      </c>
      <c r="AG53" s="2">
        <v>2108.1069800000005</v>
      </c>
      <c r="AH53" s="2">
        <v>2001.5215482685339</v>
      </c>
      <c r="AI53" s="2">
        <v>2103.0448900000001</v>
      </c>
      <c r="AJ53" s="2">
        <v>2257.999928878472</v>
      </c>
      <c r="AK53" s="2">
        <v>1354.8913299999999</v>
      </c>
      <c r="AL53" s="2">
        <v>678.41543803622801</v>
      </c>
      <c r="AM53" s="2">
        <v>617.16676999999891</v>
      </c>
      <c r="AN53" s="2">
        <v>625.16392166357605</v>
      </c>
      <c r="AO53" s="2">
        <v>512.49129000000005</v>
      </c>
      <c r="AP53" s="2">
        <v>476.99998497565599</v>
      </c>
      <c r="AQ53" s="2">
        <v>429.74072000000001</v>
      </c>
      <c r="AR53" s="2">
        <v>609.49402329110603</v>
      </c>
      <c r="AS53" s="2">
        <v>527.8983099999989</v>
      </c>
      <c r="AT53" s="2">
        <v>923.99565069540699</v>
      </c>
      <c r="AU53" s="2">
        <v>496.80790999999999</v>
      </c>
      <c r="AV53" s="2">
        <v>497.99998431420602</v>
      </c>
      <c r="AW53" s="2">
        <v>401.01057999999995</v>
      </c>
      <c r="AX53" s="2">
        <v>209.542746525865</v>
      </c>
      <c r="AY53" s="2">
        <v>103.58810000000001</v>
      </c>
      <c r="AZ53" s="2">
        <v>107.587622938149</v>
      </c>
      <c r="BA53" s="2">
        <v>83.506709999999998</v>
      </c>
      <c r="BB53" s="2">
        <v>78.999997511691006</v>
      </c>
      <c r="BC53" s="2">
        <v>57.418520000000001</v>
      </c>
      <c r="BD53" s="2">
        <v>364.98406980567398</v>
      </c>
      <c r="BE53" s="2">
        <v>326.59919000000002</v>
      </c>
      <c r="BF53" s="2">
        <v>325.59766125442002</v>
      </c>
      <c r="BG53" s="2">
        <v>302.42581000000001</v>
      </c>
      <c r="BH53" s="2">
        <v>230.55703764533797</v>
      </c>
      <c r="BI53" s="2">
        <v>82.426110000000008</v>
      </c>
      <c r="BJ53" s="2">
        <v>32.979999999999997</v>
      </c>
      <c r="BK53" s="2">
        <v>30.96716</v>
      </c>
      <c r="BL53" s="2">
        <v>30.967014487322999</v>
      </c>
      <c r="BM53" s="2">
        <v>8.8477599999999992</v>
      </c>
      <c r="BN53" s="2">
        <v>10.999999653526</v>
      </c>
      <c r="BO53" s="2">
        <v>8.8477599999999992</v>
      </c>
      <c r="BP53" s="2">
        <v>659.49827051874115</v>
      </c>
      <c r="BQ53" s="2">
        <v>645.04827999999907</v>
      </c>
      <c r="BR53" s="2">
        <v>711.04530280392601</v>
      </c>
      <c r="BS53" s="2">
        <v>816.51878999999985</v>
      </c>
      <c r="BT53" s="2">
        <v>566.84019422269796</v>
      </c>
      <c r="BU53" s="2">
        <v>294.38925999999992</v>
      </c>
      <c r="BV53" s="2">
        <v>30.771638294740001</v>
      </c>
      <c r="BW53" s="2">
        <v>59.748480000000001</v>
      </c>
      <c r="BX53" s="2">
        <v>58.748205707042004</v>
      </c>
      <c r="BY53" s="2">
        <v>36.51023</v>
      </c>
      <c r="BZ53" s="2">
        <v>59.999998110143999</v>
      </c>
      <c r="CA53" s="2">
        <v>39.053069999999998</v>
      </c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>
        <v>539.004175786053</v>
      </c>
      <c r="CO53" s="2">
        <v>537.64346</v>
      </c>
      <c r="CP53" s="2">
        <v>643.29503684930899</v>
      </c>
      <c r="CQ53" s="2">
        <v>479.16113000000007</v>
      </c>
      <c r="CR53" s="2">
        <v>372.64260085605201</v>
      </c>
      <c r="CS53" s="2">
        <v>240.61061000000001</v>
      </c>
      <c r="CT53" s="2">
        <v>5.4428960305940004</v>
      </c>
      <c r="CU53" s="2">
        <v>107.13131</v>
      </c>
      <c r="CV53" s="2">
        <v>107.13080659692</v>
      </c>
      <c r="CW53" s="2">
        <v>118.76819</v>
      </c>
      <c r="CX53" s="2">
        <v>116.999996314784</v>
      </c>
      <c r="CY53" s="2">
        <v>65.83475</v>
      </c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>
        <v>432.608</v>
      </c>
      <c r="DS53" s="2">
        <v>367.16550000000007</v>
      </c>
      <c r="DT53" s="2">
        <v>354.16378278971797</v>
      </c>
      <c r="DU53" s="2">
        <v>221.79131000000001</v>
      </c>
      <c r="DV53" s="2">
        <v>0</v>
      </c>
      <c r="DW53" s="2">
        <v>1.6067400000000001</v>
      </c>
      <c r="DX53" s="2"/>
      <c r="DY53" s="2"/>
      <c r="DZ53" s="2"/>
      <c r="EA53" s="2"/>
      <c r="EB53" s="2"/>
      <c r="EC53" s="2"/>
      <c r="ED53" s="2">
        <v>1.3080463177899999</v>
      </c>
      <c r="EE53" s="2">
        <v>0</v>
      </c>
      <c r="EF53" s="2"/>
      <c r="EG53" s="2"/>
      <c r="EH53" s="2"/>
      <c r="EI53" s="2"/>
      <c r="EJ53" s="2">
        <v>0</v>
      </c>
      <c r="EK53" s="2">
        <v>1.1375299999999999</v>
      </c>
      <c r="EL53" s="2">
        <v>1.13752465482</v>
      </c>
      <c r="EM53" s="2">
        <v>0.53556999999999999</v>
      </c>
      <c r="EN53" s="2">
        <v>0.69468296249700001</v>
      </c>
      <c r="EO53" s="2">
        <v>1.0711499999999998</v>
      </c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>
        <v>0.71619811461600003</v>
      </c>
      <c r="FC53" s="2">
        <v>0</v>
      </c>
      <c r="FD53" s="2"/>
      <c r="FE53" s="2"/>
      <c r="FF53" s="2"/>
      <c r="FG53" s="2"/>
      <c r="FH53" s="2">
        <v>22.170645596265</v>
      </c>
      <c r="FI53" s="2">
        <v>6.6946499999999993</v>
      </c>
      <c r="FJ53" s="2">
        <v>6.694618542273</v>
      </c>
      <c r="FK53" s="2">
        <v>2.6778</v>
      </c>
      <c r="FL53" s="2">
        <v>6.9999997795160001</v>
      </c>
      <c r="FM53" s="2">
        <v>2.6778500000000003</v>
      </c>
      <c r="FN53" s="2">
        <v>36.455799803883004</v>
      </c>
      <c r="FO53" s="2">
        <v>34.294040000000003</v>
      </c>
      <c r="FP53" s="2">
        <v>34.293878854528003</v>
      </c>
      <c r="FQ53" s="2">
        <v>25.84675</v>
      </c>
      <c r="FR53" s="2">
        <v>33.999998929081997</v>
      </c>
      <c r="FS53" s="2">
        <v>28.931660000000004</v>
      </c>
      <c r="FT53" s="2">
        <v>695.20129782821198</v>
      </c>
      <c r="FU53" s="2">
        <v>605.11064999999905</v>
      </c>
      <c r="FV53" s="2">
        <v>594.10782439280104</v>
      </c>
      <c r="FW53" s="2">
        <v>579.83090000000004</v>
      </c>
      <c r="FX53" s="2">
        <v>604.99998094396494</v>
      </c>
      <c r="FY53" s="2">
        <v>459.96247</v>
      </c>
      <c r="FZ53" s="2"/>
      <c r="GA53" s="2"/>
      <c r="GB53" s="2"/>
      <c r="GC53" s="2"/>
      <c r="GD53" s="2"/>
      <c r="GE53" s="2"/>
      <c r="GF53" s="2">
        <v>27229.015421603443</v>
      </c>
      <c r="GG53" s="2">
        <v>27752.058350000014</v>
      </c>
      <c r="GH53" s="2">
        <v>33201.77513429238</v>
      </c>
      <c r="GI53" s="2">
        <v>35061.192400000014</v>
      </c>
      <c r="GJ53" s="2">
        <v>9471.6529999801332</v>
      </c>
      <c r="GK53" s="2">
        <v>8014.1789200000012</v>
      </c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>
        <v>0</v>
      </c>
      <c r="II53" s="2">
        <v>19.181999999999999</v>
      </c>
      <c r="IJ53" s="2">
        <v>19.181909865024</v>
      </c>
      <c r="IK53" s="2">
        <v>9.1790599999999998</v>
      </c>
      <c r="IL53" s="2">
        <v>6.9999997795160001</v>
      </c>
      <c r="IM53" s="2">
        <v>0</v>
      </c>
      <c r="IN53" s="2"/>
      <c r="IO53" s="2"/>
      <c r="IP53" s="2"/>
      <c r="IQ53" s="2"/>
      <c r="IR53" s="2"/>
      <c r="IS53" s="2"/>
      <c r="IT53" s="2">
        <v>2879.2441630000003</v>
      </c>
      <c r="IU53" s="2">
        <v>2581.4332000000004</v>
      </c>
      <c r="IV53" s="2">
        <v>3271.565355643575</v>
      </c>
      <c r="IW53" s="2">
        <v>3257.2303600000009</v>
      </c>
      <c r="IX53" s="2">
        <v>3031.9999044993501</v>
      </c>
      <c r="IY53" s="2">
        <v>2433.1415000000011</v>
      </c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>
        <v>133.91229611386601</v>
      </c>
      <c r="JM53" s="2">
        <v>170.59527</v>
      </c>
      <c r="JN53" s="2">
        <v>170.594468383888</v>
      </c>
      <c r="JO53" s="2">
        <v>150.43680999999998</v>
      </c>
      <c r="JP53" s="2">
        <v>198.99999467690901</v>
      </c>
      <c r="JQ53" s="2">
        <v>158.07955999999999</v>
      </c>
      <c r="JR53" s="2">
        <v>136.13244099875399</v>
      </c>
      <c r="JS53" s="2">
        <v>146.36216000000002</v>
      </c>
      <c r="JT53" s="2">
        <v>142.361479253417</v>
      </c>
      <c r="JU53" s="2">
        <v>143.18307999999999</v>
      </c>
      <c r="JV53" s="2">
        <v>135.99999571633001</v>
      </c>
      <c r="JW53" s="2">
        <v>87.623130000000003</v>
      </c>
      <c r="JX53" s="2">
        <v>0</v>
      </c>
      <c r="JY53" s="2">
        <v>297.65699999999998</v>
      </c>
      <c r="JZ53" s="2">
        <v>0</v>
      </c>
      <c r="KA53" s="2">
        <v>306.93903</v>
      </c>
      <c r="KB53" s="2">
        <v>0</v>
      </c>
      <c r="KC53" s="2">
        <v>7.6172500000000003</v>
      </c>
      <c r="KD53" s="2">
        <v>0</v>
      </c>
      <c r="KE53" s="2">
        <v>536.76603</v>
      </c>
      <c r="KF53" s="2">
        <v>0</v>
      </c>
      <c r="KG53" s="2">
        <v>72.417120000000011</v>
      </c>
      <c r="KH53" s="2">
        <v>0</v>
      </c>
      <c r="KI53" s="2">
        <v>18.564060000000001</v>
      </c>
      <c r="KJ53" s="2">
        <v>-3353.85719953033</v>
      </c>
      <c r="KK53" s="2">
        <v>0</v>
      </c>
      <c r="KL53" s="2">
        <v>-22097.1703760499</v>
      </c>
      <c r="KM53" s="2">
        <v>0</v>
      </c>
      <c r="KN53" s="2">
        <v>-209.48</v>
      </c>
      <c r="KO53" s="2">
        <v>0</v>
      </c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>
        <v>0</v>
      </c>
      <c r="LW53" s="2">
        <v>13.64917</v>
      </c>
      <c r="LX53" s="2">
        <v>18.649106401874</v>
      </c>
      <c r="LY53" s="2">
        <v>18.517040000000001</v>
      </c>
      <c r="LZ53" s="2">
        <v>18.999999401545999</v>
      </c>
      <c r="MA53" s="2">
        <v>13.88777</v>
      </c>
      <c r="MB53" s="2"/>
      <c r="MC53" s="2"/>
      <c r="MD53" s="2"/>
      <c r="ME53" s="2"/>
      <c r="MF53" s="2"/>
      <c r="MG53" s="2"/>
      <c r="MH53" s="2">
        <v>0</v>
      </c>
      <c r="MI53" s="2">
        <v>2.0790000000000002</v>
      </c>
      <c r="MJ53" s="2"/>
      <c r="MK53" s="2"/>
      <c r="ML53" s="2"/>
      <c r="MM53" s="2"/>
    </row>
    <row r="54" spans="1:351">
      <c r="A54" s="1" t="s">
        <v>89</v>
      </c>
      <c r="B54" s="2">
        <v>21099.9999999994</v>
      </c>
      <c r="C54" s="2">
        <v>20860.399150000019</v>
      </c>
      <c r="D54" s="2">
        <v>23999.487762612502</v>
      </c>
      <c r="E54" s="2">
        <v>26443.399240000006</v>
      </c>
      <c r="F54" s="2">
        <v>26999.999397703301</v>
      </c>
      <c r="G54" s="2">
        <v>16060.432350000001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>
        <v>-1099.8518518518499</v>
      </c>
      <c r="KK54" s="2">
        <v>0</v>
      </c>
      <c r="KL54" s="2">
        <v>-3999.8230144822601</v>
      </c>
      <c r="KM54" s="2">
        <v>0</v>
      </c>
      <c r="KN54" s="2">
        <v>-6140</v>
      </c>
      <c r="KO54" s="2">
        <v>0</v>
      </c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</row>
    <row r="55" spans="1:351">
      <c r="A55" s="1" t="s">
        <v>90</v>
      </c>
      <c r="B55" s="2"/>
      <c r="C55" s="2"/>
      <c r="D55" s="2"/>
      <c r="E55" s="2"/>
      <c r="F55" s="2">
        <v>9149.9998687810894</v>
      </c>
      <c r="G55" s="2">
        <v>6577.3724500000008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>
        <v>0</v>
      </c>
      <c r="GK55" s="2">
        <v>22.825679999999998</v>
      </c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>
        <v>-4150</v>
      </c>
      <c r="KO55" s="2">
        <v>0</v>
      </c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</row>
    <row r="56" spans="1:351">
      <c r="A56" s="1" t="s">
        <v>91</v>
      </c>
      <c r="B56" s="2"/>
      <c r="C56" s="2"/>
      <c r="D56" s="2"/>
      <c r="E56" s="2"/>
      <c r="F56" s="2">
        <v>17889.957841269799</v>
      </c>
      <c r="G56" s="2">
        <v>10577.709670000002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>
        <v>-10015</v>
      </c>
      <c r="KO56" s="2">
        <v>0</v>
      </c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</row>
    <row r="57" spans="1:351">
      <c r="A57" s="1" t="s">
        <v>92</v>
      </c>
      <c r="B57" s="2"/>
      <c r="C57" s="2"/>
      <c r="D57" s="2"/>
      <c r="E57" s="2"/>
      <c r="F57" s="2">
        <v>5859.6144999999997</v>
      </c>
      <c r="G57" s="2">
        <v>4225.5567900000024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>
        <v>-3860</v>
      </c>
      <c r="KO57" s="2">
        <v>0</v>
      </c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</row>
    <row r="58" spans="1:351">
      <c r="A58" s="1" t="s">
        <v>93</v>
      </c>
      <c r="B58" s="2"/>
      <c r="C58" s="2"/>
      <c r="D58" s="2"/>
      <c r="E58" s="2"/>
      <c r="F58" s="2">
        <v>0</v>
      </c>
      <c r="G58" s="2">
        <v>9.4990000000000006</v>
      </c>
      <c r="H58" s="2"/>
      <c r="I58" s="2"/>
      <c r="J58" s="2"/>
      <c r="K58" s="2"/>
      <c r="L58" s="2">
        <v>339.99998929082398</v>
      </c>
      <c r="M58" s="2">
        <v>317.33088999999995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>
        <v>4.9999998425119996</v>
      </c>
      <c r="Y58" s="2">
        <v>0</v>
      </c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>
        <v>247.9999921886</v>
      </c>
      <c r="BU58" s="2">
        <v>282.23698000000002</v>
      </c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>
        <v>164.99999480290001</v>
      </c>
      <c r="CS58" s="2">
        <v>73.475799999999992</v>
      </c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>
        <v>16399.9994834397</v>
      </c>
      <c r="GK58" s="2">
        <v>13399.903649999998</v>
      </c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</row>
    <row r="59" spans="1:351">
      <c r="A59" s="1" t="s">
        <v>94</v>
      </c>
      <c r="B59" s="2"/>
      <c r="C59" s="2"/>
      <c r="D59" s="2"/>
      <c r="E59" s="2"/>
      <c r="F59" s="2">
        <v>8589.9998031401392</v>
      </c>
      <c r="G59" s="2">
        <v>6352.0248500000007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>
        <v>-1090</v>
      </c>
      <c r="KO59" s="2">
        <v>0</v>
      </c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</row>
    <row r="60" spans="1:351">
      <c r="A60" s="1" t="s">
        <v>95</v>
      </c>
      <c r="B60" s="2"/>
      <c r="C60" s="2"/>
      <c r="D60" s="2"/>
      <c r="E60" s="2"/>
      <c r="F60" s="2">
        <v>17199.999488164402</v>
      </c>
      <c r="G60" s="2">
        <v>12495.98134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>
        <v>2300</v>
      </c>
      <c r="KO60" s="2">
        <v>0</v>
      </c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</row>
    <row r="61" spans="1:351">
      <c r="A61" s="1" t="s">
        <v>96</v>
      </c>
      <c r="B61" s="2"/>
      <c r="C61" s="2"/>
      <c r="D61" s="2"/>
      <c r="E61" s="2"/>
      <c r="F61" s="2">
        <v>1299.9999658566301</v>
      </c>
      <c r="G61" s="2">
        <v>605.76601000000005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>
        <v>0</v>
      </c>
      <c r="KO61" s="2">
        <v>0</v>
      </c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</row>
    <row r="62" spans="1:351">
      <c r="A62" s="1" t="s">
        <v>97</v>
      </c>
      <c r="B62" s="2"/>
      <c r="C62" s="2"/>
      <c r="D62" s="2"/>
      <c r="E62" s="2"/>
      <c r="F62" s="2">
        <v>0</v>
      </c>
      <c r="G62" s="2">
        <v>187.67012999999997</v>
      </c>
      <c r="H62" s="2"/>
      <c r="I62" s="2"/>
      <c r="J62" s="2"/>
      <c r="K62" s="2"/>
      <c r="L62" s="2">
        <v>0</v>
      </c>
      <c r="M62" s="2">
        <v>9.351329999999999</v>
      </c>
      <c r="N62" s="2"/>
      <c r="O62" s="2"/>
      <c r="P62" s="2"/>
      <c r="Q62" s="2"/>
      <c r="R62" s="2">
        <v>0</v>
      </c>
      <c r="S62" s="2">
        <v>25.351230000000001</v>
      </c>
      <c r="T62" s="2"/>
      <c r="U62" s="2"/>
      <c r="V62" s="2"/>
      <c r="W62" s="2"/>
      <c r="X62" s="2">
        <v>0</v>
      </c>
      <c r="Y62" s="2">
        <v>42.754860000000001</v>
      </c>
      <c r="Z62" s="2"/>
      <c r="AA62" s="2"/>
      <c r="AB62" s="2"/>
      <c r="AC62" s="2"/>
      <c r="AD62" s="2">
        <v>0</v>
      </c>
      <c r="AE62" s="2">
        <v>1.8257999999999999</v>
      </c>
      <c r="AF62" s="2"/>
      <c r="AG62" s="2"/>
      <c r="AH62" s="2"/>
      <c r="AI62" s="2"/>
      <c r="AJ62" s="2">
        <v>0</v>
      </c>
      <c r="AK62" s="2">
        <v>237.67958999999999</v>
      </c>
      <c r="AL62" s="2"/>
      <c r="AM62" s="2"/>
      <c r="AN62" s="2"/>
      <c r="AO62" s="2"/>
      <c r="AP62" s="2">
        <v>0</v>
      </c>
      <c r="AQ62" s="2">
        <v>1237.9892699999998</v>
      </c>
      <c r="AR62" s="2"/>
      <c r="AS62" s="2"/>
      <c r="AT62" s="2"/>
      <c r="AU62" s="2"/>
      <c r="AV62" s="2">
        <v>0</v>
      </c>
      <c r="AW62" s="2">
        <v>4.1774299999999993</v>
      </c>
      <c r="AX62" s="2"/>
      <c r="AY62" s="2"/>
      <c r="AZ62" s="2"/>
      <c r="BA62" s="2"/>
      <c r="BB62" s="2">
        <v>0</v>
      </c>
      <c r="BC62" s="2">
        <v>238.61982</v>
      </c>
      <c r="BD62" s="2"/>
      <c r="BE62" s="2"/>
      <c r="BF62" s="2"/>
      <c r="BG62" s="2"/>
      <c r="BH62" s="2">
        <v>0</v>
      </c>
      <c r="BI62" s="2">
        <v>110.71056999999999</v>
      </c>
      <c r="BJ62" s="2"/>
      <c r="BK62" s="2"/>
      <c r="BL62" s="2"/>
      <c r="BM62" s="2"/>
      <c r="BN62" s="2">
        <v>0</v>
      </c>
      <c r="BO62" s="2">
        <v>38.122219999999999</v>
      </c>
      <c r="BP62" s="2"/>
      <c r="BQ62" s="2"/>
      <c r="BR62" s="2"/>
      <c r="BS62" s="2"/>
      <c r="BT62" s="2">
        <v>0</v>
      </c>
      <c r="BU62" s="2">
        <v>11.878229999999999</v>
      </c>
      <c r="BV62" s="2"/>
      <c r="BW62" s="2"/>
      <c r="BX62" s="2"/>
      <c r="BY62" s="2"/>
      <c r="BZ62" s="2">
        <v>0</v>
      </c>
      <c r="CA62" s="2">
        <v>323.07772999999997</v>
      </c>
      <c r="CB62" s="2"/>
      <c r="CC62" s="2"/>
      <c r="CD62" s="2"/>
      <c r="CE62" s="2"/>
      <c r="CF62" s="2">
        <v>0</v>
      </c>
      <c r="CG62" s="2">
        <v>69.765599999999992</v>
      </c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>
        <v>0</v>
      </c>
      <c r="CS62" s="2">
        <v>47.629950000000008</v>
      </c>
      <c r="CT62" s="2"/>
      <c r="CU62" s="2"/>
      <c r="CV62" s="2"/>
      <c r="CW62" s="2"/>
      <c r="CX62" s="2">
        <v>0</v>
      </c>
      <c r="CY62" s="2">
        <v>112.85038</v>
      </c>
      <c r="CZ62" s="2"/>
      <c r="DA62" s="2"/>
      <c r="DB62" s="2"/>
      <c r="DC62" s="2"/>
      <c r="DD62" s="2">
        <v>0</v>
      </c>
      <c r="DE62" s="2">
        <v>0.25686999999999999</v>
      </c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>
        <v>0</v>
      </c>
      <c r="DQ62" s="2">
        <v>0.22019</v>
      </c>
      <c r="DR62" s="2"/>
      <c r="DS62" s="2"/>
      <c r="DT62" s="2"/>
      <c r="DU62" s="2"/>
      <c r="DV62" s="2">
        <v>0</v>
      </c>
      <c r="DW62" s="2">
        <v>21.536700000000003</v>
      </c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>
        <v>0</v>
      </c>
      <c r="EI62" s="2">
        <v>7.4749999999999997E-2</v>
      </c>
      <c r="EJ62" s="2"/>
      <c r="EK62" s="2"/>
      <c r="EL62" s="2"/>
      <c r="EM62" s="2"/>
      <c r="EN62" s="2">
        <v>0</v>
      </c>
      <c r="EO62" s="2">
        <v>0.2782</v>
      </c>
      <c r="EP62" s="2"/>
      <c r="EQ62" s="2"/>
      <c r="ER62" s="2"/>
      <c r="ES62" s="2"/>
      <c r="ET62" s="2">
        <v>0</v>
      </c>
      <c r="EU62" s="2">
        <v>0.13956000000000002</v>
      </c>
      <c r="EV62" s="2"/>
      <c r="EW62" s="2"/>
      <c r="EX62" s="2"/>
      <c r="EY62" s="2"/>
      <c r="EZ62" s="2">
        <v>0</v>
      </c>
      <c r="FA62" s="2">
        <v>9.7860000000000003E-2</v>
      </c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>
        <v>0</v>
      </c>
      <c r="FM62" s="2">
        <v>0.15540000000000001</v>
      </c>
      <c r="FN62" s="2"/>
      <c r="FO62" s="2"/>
      <c r="FP62" s="2"/>
      <c r="FQ62" s="2"/>
      <c r="FR62" s="2">
        <v>0</v>
      </c>
      <c r="FS62" s="2">
        <v>8.9705399999999997</v>
      </c>
      <c r="FT62" s="2"/>
      <c r="FU62" s="2"/>
      <c r="FV62" s="2"/>
      <c r="FW62" s="2"/>
      <c r="FX62" s="2">
        <v>0</v>
      </c>
      <c r="FY62" s="2">
        <v>5.5399400000000005</v>
      </c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>
        <v>0</v>
      </c>
      <c r="GK62" s="2">
        <v>8.8087999999999997</v>
      </c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>
        <v>0</v>
      </c>
      <c r="IG62" s="2">
        <v>2.1659000000000002</v>
      </c>
      <c r="IH62" s="2"/>
      <c r="II62" s="2"/>
      <c r="IJ62" s="2"/>
      <c r="IK62" s="2"/>
      <c r="IL62" s="2">
        <v>0</v>
      </c>
      <c r="IM62" s="2">
        <v>140.84622999999999</v>
      </c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>
        <v>0</v>
      </c>
      <c r="IY62" s="2">
        <v>620.62832000000003</v>
      </c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>
        <v>0</v>
      </c>
      <c r="JQ62" s="2">
        <v>117.85919000000001</v>
      </c>
      <c r="JR62" s="2"/>
      <c r="JS62" s="2"/>
      <c r="JT62" s="2"/>
      <c r="JU62" s="2"/>
      <c r="JV62" s="2">
        <v>0</v>
      </c>
      <c r="JW62" s="2">
        <v>37.008189999999999</v>
      </c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>
        <v>0</v>
      </c>
      <c r="KI62" s="2">
        <v>29.185199999999998</v>
      </c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</row>
    <row r="63" spans="1:351">
      <c r="A63" s="1" t="s">
        <v>98</v>
      </c>
      <c r="B63" s="2">
        <v>9.9998700312055308E-6</v>
      </c>
      <c r="C63" s="2">
        <v>0</v>
      </c>
      <c r="D63" s="2">
        <v>0</v>
      </c>
      <c r="E63" s="2">
        <v>0</v>
      </c>
      <c r="F63" s="2"/>
      <c r="G63" s="2"/>
      <c r="H63" s="2">
        <v>867.00100750907404</v>
      </c>
      <c r="I63" s="2">
        <v>812.87910000000011</v>
      </c>
      <c r="J63" s="2">
        <v>1179.55052572554</v>
      </c>
      <c r="K63" s="2">
        <v>1077.6692100000009</v>
      </c>
      <c r="L63" s="2">
        <v>1228.2560000000001</v>
      </c>
      <c r="M63" s="2">
        <v>1061.7653500000001</v>
      </c>
      <c r="N63" s="2"/>
      <c r="O63" s="2"/>
      <c r="P63" s="2"/>
      <c r="Q63" s="2"/>
      <c r="R63" s="2"/>
      <c r="S63" s="2"/>
      <c r="T63" s="2">
        <v>9855.4140190557246</v>
      </c>
      <c r="U63" s="2">
        <v>11145.18846000001</v>
      </c>
      <c r="V63" s="2">
        <v>11098.980824396298</v>
      </c>
      <c r="W63" s="2">
        <v>11378.065590000004</v>
      </c>
      <c r="X63" s="2">
        <v>11470.10768358349</v>
      </c>
      <c r="Y63" s="2">
        <v>8500.0554599999996</v>
      </c>
      <c r="Z63" s="2">
        <v>30.39964289437</v>
      </c>
      <c r="AA63" s="2">
        <v>29.90934</v>
      </c>
      <c r="AB63" s="2">
        <v>29.99994211536</v>
      </c>
      <c r="AC63" s="2">
        <v>28.695160000000001</v>
      </c>
      <c r="AD63" s="2">
        <v>29.999253481936002</v>
      </c>
      <c r="AE63" s="2">
        <v>0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>
        <v>270.73494920046198</v>
      </c>
      <c r="AS63" s="2">
        <v>215.53927999999999</v>
      </c>
      <c r="AT63" s="2">
        <v>823.99967693618908</v>
      </c>
      <c r="AU63" s="2">
        <v>622.73874999999998</v>
      </c>
      <c r="AV63" s="2">
        <v>584.98544289776805</v>
      </c>
      <c r="AW63" s="2">
        <v>306.22366999999997</v>
      </c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>
        <v>72.599999999999994</v>
      </c>
      <c r="BI63" s="2">
        <v>122.59477999999999</v>
      </c>
      <c r="BJ63" s="2">
        <v>90.140104748404994</v>
      </c>
      <c r="BK63" s="2">
        <v>29.645</v>
      </c>
      <c r="BL63" s="2">
        <v>29.99994211536</v>
      </c>
      <c r="BM63" s="2">
        <v>36.179000000000002</v>
      </c>
      <c r="BN63" s="2">
        <v>39.999004642582001</v>
      </c>
      <c r="BO63" s="2">
        <v>24.200240000000001</v>
      </c>
      <c r="BP63" s="2">
        <v>1963.5543340413381</v>
      </c>
      <c r="BQ63" s="2">
        <v>1773.1084200000012</v>
      </c>
      <c r="BR63" s="2">
        <v>1616.996867353696</v>
      </c>
      <c r="BS63" s="2">
        <v>982.9534000000001</v>
      </c>
      <c r="BT63" s="2">
        <v>1132.97180650115</v>
      </c>
      <c r="BU63" s="2">
        <v>494.54892999999998</v>
      </c>
      <c r="BV63" s="2"/>
      <c r="BW63" s="2"/>
      <c r="BX63" s="2">
        <v>0</v>
      </c>
      <c r="BY63" s="2">
        <v>406.35187999999999</v>
      </c>
      <c r="BZ63" s="2">
        <v>243.92053332999899</v>
      </c>
      <c r="CA63" s="2">
        <v>0</v>
      </c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>
        <v>37.310389694931999</v>
      </c>
      <c r="CO63" s="2">
        <v>0</v>
      </c>
      <c r="CP63" s="2">
        <v>0</v>
      </c>
      <c r="CQ63" s="2">
        <v>63.440300000000001</v>
      </c>
      <c r="CR63" s="2">
        <v>49.998755803228001</v>
      </c>
      <c r="CS63" s="2">
        <v>0</v>
      </c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>
        <v>52.099146865192999</v>
      </c>
      <c r="FC63" s="2">
        <v>42.252890000000001</v>
      </c>
      <c r="FD63" s="2">
        <v>41.999918961504001</v>
      </c>
      <c r="FE63" s="2">
        <v>41.462500000000006</v>
      </c>
      <c r="FF63" s="2">
        <v>41.998954874711004</v>
      </c>
      <c r="FG63" s="2">
        <v>25.485399999999998</v>
      </c>
      <c r="FH63" s="2"/>
      <c r="FI63" s="2"/>
      <c r="FJ63" s="2"/>
      <c r="FK63" s="2"/>
      <c r="FL63" s="2"/>
      <c r="FM63" s="2"/>
      <c r="FN63" s="2">
        <v>226.08540053925799</v>
      </c>
      <c r="FO63" s="2">
        <v>219.67143000000002</v>
      </c>
      <c r="FP63" s="2">
        <v>162.999600909208</v>
      </c>
      <c r="FQ63" s="2">
        <v>180.15065999999999</v>
      </c>
      <c r="FR63" s="2">
        <v>209.99477437355799</v>
      </c>
      <c r="FS63" s="2">
        <v>192.76853</v>
      </c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>
        <v>0</v>
      </c>
      <c r="GI63" s="2">
        <v>18.149999999999999</v>
      </c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>
        <v>322.25052251254499</v>
      </c>
      <c r="II63" s="2">
        <v>701.09712000000002</v>
      </c>
      <c r="IJ63" s="2">
        <v>615.01981819411401</v>
      </c>
      <c r="IK63" s="2">
        <v>520.93394000000001</v>
      </c>
      <c r="IL63" s="2">
        <v>667.98337753112503</v>
      </c>
      <c r="IM63" s="2">
        <v>475.13992000000002</v>
      </c>
      <c r="IN63" s="2"/>
      <c r="IO63" s="2"/>
      <c r="IP63" s="2"/>
      <c r="IQ63" s="2"/>
      <c r="IR63" s="2"/>
      <c r="IS63" s="2"/>
      <c r="IT63" s="2">
        <v>633.21959133815506</v>
      </c>
      <c r="IU63" s="2">
        <v>192.12885</v>
      </c>
      <c r="IV63" s="2">
        <v>223.99986924614399</v>
      </c>
      <c r="IW63" s="2">
        <v>51.674290000000013</v>
      </c>
      <c r="IX63" s="2">
        <v>61.998457196002001</v>
      </c>
      <c r="IY63" s="2">
        <v>187.58566000000002</v>
      </c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>
        <v>0</v>
      </c>
      <c r="KE63" s="2">
        <v>140.30590000000001</v>
      </c>
      <c r="KF63" s="2">
        <v>0</v>
      </c>
      <c r="KG63" s="2">
        <v>157.65820000000002</v>
      </c>
      <c r="KH63" s="2">
        <v>0</v>
      </c>
      <c r="KI63" s="2">
        <v>35.055</v>
      </c>
      <c r="KJ63" s="2">
        <v>-894.25055789365103</v>
      </c>
      <c r="KK63" s="2">
        <v>0</v>
      </c>
      <c r="KL63" s="2">
        <v>-723.128491401053</v>
      </c>
      <c r="KM63" s="2">
        <v>0</v>
      </c>
      <c r="KN63" s="2">
        <v>260</v>
      </c>
      <c r="KO63" s="2">
        <v>0</v>
      </c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</row>
    <row r="64" spans="1:351">
      <c r="A64" s="1" t="s">
        <v>99</v>
      </c>
      <c r="B64" s="2"/>
      <c r="C64" s="2"/>
      <c r="D64" s="2"/>
      <c r="E64" s="2"/>
      <c r="F64" s="2">
        <v>1800</v>
      </c>
      <c r="G64" s="2">
        <v>645.82343000000003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>
        <v>-1800</v>
      </c>
      <c r="KO64" s="2">
        <v>0</v>
      </c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</row>
    <row r="65" spans="1:351">
      <c r="A65" s="1" t="s">
        <v>113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>
        <v>3922</v>
      </c>
      <c r="GK65" s="2">
        <v>1612.9263799999999</v>
      </c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>
        <v>-3922</v>
      </c>
      <c r="KO65" s="2">
        <v>0</v>
      </c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</row>
    <row r="66" spans="1:351">
      <c r="A66" s="1" t="s">
        <v>101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>
        <v>1000</v>
      </c>
      <c r="S66" s="2">
        <v>642.33940000000007</v>
      </c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>
        <v>-1000</v>
      </c>
      <c r="KO66" s="2">
        <v>0</v>
      </c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</row>
    <row r="67" spans="1:351">
      <c r="A67" s="1" t="s">
        <v>132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>
        <v>20</v>
      </c>
      <c r="DQ67" s="2">
        <v>0</v>
      </c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>
        <v>-20</v>
      </c>
      <c r="KO67" s="2">
        <v>0</v>
      </c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</row>
    <row r="68" spans="1:351">
      <c r="A68" s="1" t="s">
        <v>108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>
        <v>0</v>
      </c>
      <c r="AY68" s="2">
        <v>0.21611</v>
      </c>
      <c r="AZ68" s="2">
        <v>0.22067453692399999</v>
      </c>
      <c r="BA68" s="2">
        <v>0</v>
      </c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>
        <v>0</v>
      </c>
      <c r="BQ68" s="2">
        <v>0.16250000000000001</v>
      </c>
      <c r="BR68" s="2">
        <v>0.16593222086000001</v>
      </c>
      <c r="BS68" s="2">
        <v>0</v>
      </c>
      <c r="BT68" s="2"/>
      <c r="BU68" s="2"/>
      <c r="BV68" s="2">
        <v>3</v>
      </c>
      <c r="BW68" s="2">
        <v>8.5059700000000014</v>
      </c>
      <c r="BX68" s="2">
        <v>8.6856276472319998</v>
      </c>
      <c r="BY68" s="2">
        <v>3.456</v>
      </c>
      <c r="BZ68" s="2">
        <v>8.9999997165209997</v>
      </c>
      <c r="CA68" s="2">
        <v>0</v>
      </c>
      <c r="CB68" s="2">
        <v>0</v>
      </c>
      <c r="CC68" s="2">
        <v>1.18483</v>
      </c>
      <c r="CD68" s="2">
        <v>1.2098552199529999</v>
      </c>
      <c r="CE68" s="2">
        <v>0</v>
      </c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>
        <v>3633.1961207530098</v>
      </c>
      <c r="EE68" s="2">
        <v>3465.7323100000012</v>
      </c>
      <c r="EF68" s="2">
        <v>3531.9338074854199</v>
      </c>
      <c r="EG68" s="2">
        <v>3455.6821700000005</v>
      </c>
      <c r="EH68" s="2">
        <v>3477.99989045143</v>
      </c>
      <c r="EI68" s="2">
        <v>2428.0249100000001</v>
      </c>
      <c r="EJ68" s="2">
        <v>1311.3378309501709</v>
      </c>
      <c r="EK68" s="2">
        <v>927.22190999999793</v>
      </c>
      <c r="EL68" s="2">
        <v>1029.806114196766</v>
      </c>
      <c r="EM68" s="2">
        <v>842.44778999999892</v>
      </c>
      <c r="EN68" s="2">
        <v>914.37142469865205</v>
      </c>
      <c r="EO68" s="2">
        <v>435.33032000000003</v>
      </c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>
        <v>0</v>
      </c>
      <c r="FA68" s="2">
        <v>-40.517989999999998</v>
      </c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>
        <v>0</v>
      </c>
      <c r="GY68" s="2">
        <v>0.83535999999999999</v>
      </c>
      <c r="GZ68" s="2">
        <v>0.85300393857300005</v>
      </c>
      <c r="HA68" s="2">
        <v>0.29289999999999999</v>
      </c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>
        <v>1</v>
      </c>
      <c r="JM68" s="2">
        <v>3.0585</v>
      </c>
      <c r="JN68" s="2">
        <v>3.1230996769389998</v>
      </c>
      <c r="JO68" s="2">
        <v>3.5675900000000009</v>
      </c>
      <c r="JP68" s="2">
        <v>2.9999999055069999</v>
      </c>
      <c r="JQ68" s="2">
        <v>1.9917600000000002</v>
      </c>
      <c r="JR68" s="2"/>
      <c r="JS68" s="2"/>
      <c r="JT68" s="2"/>
      <c r="JU68" s="2"/>
      <c r="JV68" s="2"/>
      <c r="JW68" s="2"/>
      <c r="JX68" s="2"/>
      <c r="JY68" s="2"/>
      <c r="JZ68" s="2">
        <v>0</v>
      </c>
      <c r="KA68" s="2">
        <v>0.74818000000000007</v>
      </c>
      <c r="KB68" s="2"/>
      <c r="KC68" s="2"/>
      <c r="KD68" s="2"/>
      <c r="KE68" s="2"/>
      <c r="KF68" s="2"/>
      <c r="KG68" s="2"/>
      <c r="KH68" s="2"/>
      <c r="KI68" s="2"/>
      <c r="KJ68" s="2">
        <v>-419.50020162602698</v>
      </c>
      <c r="KK68" s="2">
        <v>0</v>
      </c>
      <c r="KL68" s="2">
        <v>-76.3</v>
      </c>
      <c r="KM68" s="2">
        <v>0</v>
      </c>
      <c r="KN68" s="2">
        <v>119.999996220291</v>
      </c>
      <c r="KO68" s="2">
        <v>0</v>
      </c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</row>
    <row r="69" spans="1:351">
      <c r="A69" s="1" t="s">
        <v>121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>
        <v>-110000</v>
      </c>
      <c r="KK69" s="2">
        <v>-196246.39041000011</v>
      </c>
      <c r="KL69" s="2">
        <v>-80000.004687232096</v>
      </c>
      <c r="KM69" s="2">
        <v>-142440.11381000001</v>
      </c>
      <c r="KN69" s="2">
        <v>-55000</v>
      </c>
      <c r="KO69" s="2">
        <v>-69354.961179999998</v>
      </c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</row>
  </sheetData>
  <sortState columnSort="1" ref="A1:MK66">
    <sortCondition ref="C4"/>
  </sortState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Léky_SZM</vt:lpstr>
      <vt:lpstr>Berger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Berger Martin, Mgr.</dc:creator>
  <cp:lastModifiedBy>64428</cp:lastModifiedBy>
  <dcterms:created xsi:type="dcterms:W3CDTF">2015-10-14T06:45:43Z</dcterms:created>
  <dcterms:modified xsi:type="dcterms:W3CDTF">2015-11-23T08:26:08Z</dcterms:modified>
</cp:coreProperties>
</file>