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/>
  </bookViews>
  <sheets>
    <sheet name="CoY" sheetId="5" r:id="rId1"/>
    <sheet name="CoM" sheetId="6" r:id="rId2"/>
    <sheet name="2016" sheetId="7" r:id="rId3"/>
    <sheet name="2017" sheetId="1" r:id="rId4"/>
  </sheets>
  <definedNames>
    <definedName name="_xlnm.Print_Area" localSheetId="2">'2016'!$B$1:$AQ$26</definedName>
    <definedName name="_xlnm.Print_Area" localSheetId="3">'2017'!$B$1:$AQ$26</definedName>
    <definedName name="_xlnm.Print_Area" localSheetId="1">CoM!$A$1:$M$26</definedName>
    <definedName name="_xlnm.Print_Area" localSheetId="0">CoY!$B$1:$K$39</definedName>
  </definedNames>
  <calcPr calcId="125725"/>
</workbook>
</file>

<file path=xl/calcChain.xml><?xml version="1.0" encoding="utf-8"?>
<calcChain xmlns="http://schemas.openxmlformats.org/spreadsheetml/2006/main">
  <c r="H6" i="5"/>
  <c r="H5"/>
  <c r="D27"/>
  <c r="G27"/>
  <c r="G10"/>
  <c r="G8"/>
  <c r="G5"/>
  <c r="E6"/>
  <c r="E5"/>
  <c r="D10"/>
  <c r="D8"/>
  <c r="D5"/>
  <c r="F4" l="1"/>
  <c r="J32"/>
  <c r="J31"/>
  <c r="G30"/>
  <c r="D30"/>
  <c r="J30" l="1"/>
  <c r="AQ20" i="1"/>
  <c r="AQ19"/>
  <c r="AQ18"/>
  <c r="P20"/>
  <c r="P8"/>
  <c r="P6"/>
  <c r="P5"/>
  <c r="Q24" i="7"/>
  <c r="Q22"/>
  <c r="P22"/>
  <c r="Q21"/>
  <c r="Q23" s="1"/>
  <c r="R20"/>
  <c r="P20"/>
  <c r="P24" s="1"/>
  <c r="R19"/>
  <c r="R18"/>
  <c r="P15"/>
  <c r="P14"/>
  <c r="P13"/>
  <c r="R12"/>
  <c r="R11"/>
  <c r="P9"/>
  <c r="Q9" s="1"/>
  <c r="Q8"/>
  <c r="P8"/>
  <c r="P26" s="1"/>
  <c r="P7"/>
  <c r="P16" s="1"/>
  <c r="Q6"/>
  <c r="P6"/>
  <c r="R6" s="1"/>
  <c r="R5"/>
  <c r="Q5"/>
  <c r="Q7" l="1"/>
  <c r="R8"/>
  <c r="R9" s="1"/>
  <c r="P21"/>
  <c r="P23"/>
  <c r="R7"/>
  <c r="H20" i="6" l="1"/>
  <c r="H19"/>
  <c r="H18"/>
  <c r="G20"/>
  <c r="G19"/>
  <c r="G18"/>
  <c r="G12"/>
  <c r="G11"/>
  <c r="G8"/>
  <c r="G6"/>
  <c r="G5"/>
  <c r="I4"/>
  <c r="E20"/>
  <c r="D20"/>
  <c r="E19"/>
  <c r="D19"/>
  <c r="E18"/>
  <c r="D18"/>
  <c r="D12"/>
  <c r="D11"/>
  <c r="D8"/>
  <c r="D7"/>
  <c r="D6"/>
  <c r="D5"/>
  <c r="F4"/>
  <c r="M20" i="1"/>
  <c r="M8"/>
  <c r="M6"/>
  <c r="M5"/>
  <c r="N24" i="7"/>
  <c r="N22"/>
  <c r="M22"/>
  <c r="N21"/>
  <c r="N23" s="1"/>
  <c r="O20"/>
  <c r="M20"/>
  <c r="M24" s="1"/>
  <c r="O19"/>
  <c r="O18"/>
  <c r="M15"/>
  <c r="O12"/>
  <c r="O11"/>
  <c r="M8"/>
  <c r="M26" s="1"/>
  <c r="M6"/>
  <c r="O6" s="1"/>
  <c r="M5"/>
  <c r="M14" s="1"/>
  <c r="N5" l="1"/>
  <c r="O8"/>
  <c r="M13"/>
  <c r="M21"/>
  <c r="M23"/>
  <c r="O5"/>
  <c r="N6"/>
  <c r="M7"/>
  <c r="N8"/>
  <c r="M9"/>
  <c r="N9" s="1"/>
  <c r="M16" l="1"/>
  <c r="N7"/>
  <c r="O9"/>
  <c r="O7"/>
  <c r="J20" i="1" l="1"/>
  <c r="L20" s="1"/>
  <c r="J8"/>
  <c r="J6"/>
  <c r="J5"/>
  <c r="K24" i="7"/>
  <c r="K22"/>
  <c r="J22"/>
  <c r="K21"/>
  <c r="K23" s="1"/>
  <c r="J20"/>
  <c r="L20" s="1"/>
  <c r="L19"/>
  <c r="L18"/>
  <c r="J15"/>
  <c r="J14"/>
  <c r="J13"/>
  <c r="L12"/>
  <c r="L11"/>
  <c r="J8"/>
  <c r="K8" s="1"/>
  <c r="J6"/>
  <c r="J9" s="1"/>
  <c r="K9" s="1"/>
  <c r="L5"/>
  <c r="K5"/>
  <c r="J26" l="1"/>
  <c r="L6"/>
  <c r="L9" s="1"/>
  <c r="L8"/>
  <c r="J21"/>
  <c r="J23" s="1"/>
  <c r="J24"/>
  <c r="K6"/>
  <c r="J7"/>
  <c r="L7"/>
  <c r="J16" l="1"/>
  <c r="K7"/>
  <c r="G20" i="1" l="1"/>
  <c r="G8"/>
  <c r="G6"/>
  <c r="H24" i="7"/>
  <c r="H22"/>
  <c r="G22"/>
  <c r="H21"/>
  <c r="H23" s="1"/>
  <c r="G20"/>
  <c r="I20" s="1"/>
  <c r="I19"/>
  <c r="I18"/>
  <c r="G15"/>
  <c r="G14"/>
  <c r="G13"/>
  <c r="I12"/>
  <c r="I11"/>
  <c r="G8"/>
  <c r="H8" s="1"/>
  <c r="G6"/>
  <c r="G9" s="1"/>
  <c r="H9" s="1"/>
  <c r="I5"/>
  <c r="H5"/>
  <c r="I6" l="1"/>
  <c r="I9" s="1"/>
  <c r="I8"/>
  <c r="G21"/>
  <c r="G23"/>
  <c r="G24"/>
  <c r="G26"/>
  <c r="H6"/>
  <c r="G7"/>
  <c r="I7"/>
  <c r="G16" l="1"/>
  <c r="H7"/>
  <c r="D20" i="1" l="1"/>
  <c r="D8"/>
  <c r="D6"/>
  <c r="E24" i="7"/>
  <c r="E22"/>
  <c r="D22"/>
  <c r="E21"/>
  <c r="E23" s="1"/>
  <c r="D20"/>
  <c r="F20" s="1"/>
  <c r="F19"/>
  <c r="F18"/>
  <c r="D15"/>
  <c r="F12"/>
  <c r="F11"/>
  <c r="D8"/>
  <c r="E8" s="1"/>
  <c r="D6"/>
  <c r="E6" s="1"/>
  <c r="E5"/>
  <c r="D5"/>
  <c r="D14" s="1"/>
  <c r="F6" l="1"/>
  <c r="F8"/>
  <c r="D13"/>
  <c r="D21"/>
  <c r="D23"/>
  <c r="D24"/>
  <c r="D26"/>
  <c r="F5"/>
  <c r="D7"/>
  <c r="D9"/>
  <c r="E9" s="1"/>
  <c r="D16" l="1"/>
  <c r="E7"/>
  <c r="F9"/>
  <c r="F7"/>
  <c r="AK26" i="1" l="1"/>
  <c r="AK24"/>
  <c r="AK22"/>
  <c r="AK21"/>
  <c r="AK23" s="1"/>
  <c r="AK15"/>
  <c r="AK14"/>
  <c r="AK13"/>
  <c r="AK9"/>
  <c r="AK7"/>
  <c r="AK16" s="1"/>
  <c r="AH26"/>
  <c r="AH24"/>
  <c r="AH22"/>
  <c r="AH21"/>
  <c r="AH23" s="1"/>
  <c r="AH15"/>
  <c r="AH14"/>
  <c r="AH13"/>
  <c r="AH9"/>
  <c r="AH7"/>
  <c r="AH16" s="1"/>
  <c r="AE26"/>
  <c r="AE24"/>
  <c r="AE22"/>
  <c r="AE21"/>
  <c r="AE23" s="1"/>
  <c r="AE15"/>
  <c r="AE14"/>
  <c r="AE13"/>
  <c r="AE9"/>
  <c r="AE7"/>
  <c r="AE16" s="1"/>
  <c r="AB26"/>
  <c r="AB24"/>
  <c r="AB22"/>
  <c r="AB21"/>
  <c r="AB23" s="1"/>
  <c r="AB15"/>
  <c r="AB14"/>
  <c r="AB13"/>
  <c r="AB9"/>
  <c r="AB7"/>
  <c r="AB16" s="1"/>
  <c r="Y26"/>
  <c r="Y24"/>
  <c r="Y22"/>
  <c r="Y21"/>
  <c r="Y23" s="1"/>
  <c r="Y15"/>
  <c r="Y14"/>
  <c r="Y13"/>
  <c r="Y9"/>
  <c r="Y7"/>
  <c r="Y16" s="1"/>
  <c r="V26"/>
  <c r="V24"/>
  <c r="V22"/>
  <c r="V21"/>
  <c r="V23" s="1"/>
  <c r="V15"/>
  <c r="V14"/>
  <c r="V13"/>
  <c r="V9"/>
  <c r="V7"/>
  <c r="V16" s="1"/>
  <c r="S26"/>
  <c r="S24"/>
  <c r="S22"/>
  <c r="S21"/>
  <c r="S23" s="1"/>
  <c r="S15"/>
  <c r="S14"/>
  <c r="S13"/>
  <c r="S9"/>
  <c r="S7"/>
  <c r="S16" s="1"/>
  <c r="P26"/>
  <c r="P24"/>
  <c r="P22"/>
  <c r="P21"/>
  <c r="P23" s="1"/>
  <c r="P15"/>
  <c r="P14"/>
  <c r="P13"/>
  <c r="P9"/>
  <c r="G9" i="6" s="1"/>
  <c r="P7" i="1"/>
  <c r="M26"/>
  <c r="M24"/>
  <c r="M22"/>
  <c r="M21"/>
  <c r="M23" s="1"/>
  <c r="M15"/>
  <c r="M14"/>
  <c r="M13"/>
  <c r="M9"/>
  <c r="M7"/>
  <c r="J26"/>
  <c r="J24"/>
  <c r="J22"/>
  <c r="J21"/>
  <c r="J23" s="1"/>
  <c r="J15"/>
  <c r="J14"/>
  <c r="J13"/>
  <c r="J9"/>
  <c r="J7"/>
  <c r="P16" l="1"/>
  <c r="G7" i="6"/>
  <c r="M16" i="1"/>
  <c r="J16"/>
  <c r="AK26" i="7"/>
  <c r="AK24"/>
  <c r="AK22"/>
  <c r="AK21"/>
  <c r="AK23" s="1"/>
  <c r="AK15"/>
  <c r="AK14"/>
  <c r="AK13"/>
  <c r="AK9"/>
  <c r="AK7"/>
  <c r="AK16" s="1"/>
  <c r="AH26"/>
  <c r="AH24"/>
  <c r="AH22"/>
  <c r="AH21"/>
  <c r="AH23" s="1"/>
  <c r="AH15"/>
  <c r="AH14"/>
  <c r="AH13"/>
  <c r="AH9"/>
  <c r="AH7"/>
  <c r="AH16" s="1"/>
  <c r="AE26"/>
  <c r="AE24"/>
  <c r="AE22"/>
  <c r="AE21"/>
  <c r="AE23" s="1"/>
  <c r="AE15"/>
  <c r="AE14"/>
  <c r="AE13"/>
  <c r="AE9"/>
  <c r="AE7"/>
  <c r="AE16" s="1"/>
  <c r="AB26"/>
  <c r="AB24"/>
  <c r="AB22"/>
  <c r="AB21"/>
  <c r="AB23" s="1"/>
  <c r="AB15"/>
  <c r="AB14"/>
  <c r="AB13"/>
  <c r="AB9"/>
  <c r="AB7"/>
  <c r="AB16" s="1"/>
  <c r="Y26"/>
  <c r="Y24"/>
  <c r="Y22"/>
  <c r="Y21"/>
  <c r="Y23" s="1"/>
  <c r="Y15"/>
  <c r="Y14"/>
  <c r="Y13"/>
  <c r="Y9"/>
  <c r="Y7"/>
  <c r="Y16" s="1"/>
  <c r="V26"/>
  <c r="V24"/>
  <c r="V22"/>
  <c r="V21"/>
  <c r="V23" s="1"/>
  <c r="V15"/>
  <c r="V14"/>
  <c r="V13"/>
  <c r="V9"/>
  <c r="V7"/>
  <c r="V16" s="1"/>
  <c r="S26"/>
  <c r="S24"/>
  <c r="S22"/>
  <c r="S21"/>
  <c r="S23" s="1"/>
  <c r="S15"/>
  <c r="S14"/>
  <c r="S13"/>
  <c r="S9"/>
  <c r="S7"/>
  <c r="S16" s="1"/>
  <c r="AC24" l="1"/>
  <c r="AC22"/>
  <c r="AC21"/>
  <c r="AC23" s="1"/>
  <c r="AD20"/>
  <c r="AD19"/>
  <c r="AD18"/>
  <c r="AD12"/>
  <c r="AD11"/>
  <c r="AD8"/>
  <c r="AC7"/>
  <c r="AD6"/>
  <c r="AC6"/>
  <c r="AD5"/>
  <c r="AC5"/>
  <c r="AD9" l="1"/>
  <c r="AD7"/>
  <c r="AC8"/>
  <c r="AC9"/>
  <c r="AP11" l="1"/>
  <c r="AP11" i="1" l="1"/>
  <c r="AS11" s="1"/>
  <c r="AS11" i="7"/>
  <c r="T8"/>
  <c r="T6"/>
  <c r="T5"/>
  <c r="E8" i="1"/>
  <c r="E6"/>
  <c r="E5"/>
  <c r="H8"/>
  <c r="H6"/>
  <c r="H5"/>
  <c r="K8"/>
  <c r="K6"/>
  <c r="K5"/>
  <c r="N8"/>
  <c r="N6"/>
  <c r="N5"/>
  <c r="Q8"/>
  <c r="Q6"/>
  <c r="Q5"/>
  <c r="T8"/>
  <c r="T6"/>
  <c r="T5"/>
  <c r="D15"/>
  <c r="D14"/>
  <c r="D13"/>
  <c r="D7"/>
  <c r="D9"/>
  <c r="E9" l="1"/>
  <c r="D16"/>
  <c r="E7"/>
  <c r="AL24" i="7"/>
  <c r="AI24"/>
  <c r="AF24"/>
  <c r="Z24"/>
  <c r="W24"/>
  <c r="T24"/>
  <c r="AL22"/>
  <c r="AI22"/>
  <c r="AF22"/>
  <c r="Z22"/>
  <c r="W22"/>
  <c r="T22"/>
  <c r="AL21"/>
  <c r="AL23" s="1"/>
  <c r="AI21"/>
  <c r="AI23" s="1"/>
  <c r="AF21"/>
  <c r="AF23" s="1"/>
  <c r="Z21"/>
  <c r="Z23" s="1"/>
  <c r="W21"/>
  <c r="W23" s="1"/>
  <c r="T21"/>
  <c r="T23" s="1"/>
  <c r="AQ20"/>
  <c r="AT20" s="1"/>
  <c r="AP20"/>
  <c r="AM20"/>
  <c r="AJ20"/>
  <c r="AG20"/>
  <c r="AA20"/>
  <c r="X20"/>
  <c r="U20"/>
  <c r="AQ19"/>
  <c r="AT19" s="1"/>
  <c r="AP19"/>
  <c r="D20" i="5" s="1"/>
  <c r="AM19" i="7"/>
  <c r="AJ19"/>
  <c r="AG19"/>
  <c r="AA19"/>
  <c r="X19"/>
  <c r="U19"/>
  <c r="AQ18"/>
  <c r="AT18" s="1"/>
  <c r="AP18"/>
  <c r="AM18"/>
  <c r="AJ18"/>
  <c r="AG18"/>
  <c r="AA18"/>
  <c r="X18"/>
  <c r="U18"/>
  <c r="AP12"/>
  <c r="D13" i="5" s="1"/>
  <c r="AM12" i="7"/>
  <c r="AJ12"/>
  <c r="AG12"/>
  <c r="AA12"/>
  <c r="X12"/>
  <c r="U12"/>
  <c r="AM11"/>
  <c r="AJ11"/>
  <c r="AG11"/>
  <c r="AA11"/>
  <c r="X11"/>
  <c r="U11"/>
  <c r="AL9"/>
  <c r="AI9"/>
  <c r="AF9"/>
  <c r="Z9"/>
  <c r="W9"/>
  <c r="T9"/>
  <c r="AP8"/>
  <c r="D9" i="5" s="1"/>
  <c r="AM8" i="7"/>
  <c r="AL8"/>
  <c r="AJ8"/>
  <c r="AI8"/>
  <c r="AG8"/>
  <c r="AF8"/>
  <c r="AA8"/>
  <c r="Z8"/>
  <c r="X8"/>
  <c r="W8"/>
  <c r="U8"/>
  <c r="AI7"/>
  <c r="AP6"/>
  <c r="AM6"/>
  <c r="AL6"/>
  <c r="AJ6"/>
  <c r="AI6"/>
  <c r="AG6"/>
  <c r="AF6"/>
  <c r="AA6"/>
  <c r="Z6"/>
  <c r="X6"/>
  <c r="W6"/>
  <c r="U6"/>
  <c r="AP5"/>
  <c r="AP14" s="1"/>
  <c r="AM5"/>
  <c r="AL5"/>
  <c r="AJ5"/>
  <c r="AJ9" s="1"/>
  <c r="AI5"/>
  <c r="AG5"/>
  <c r="AF5"/>
  <c r="AA5"/>
  <c r="AA9" s="1"/>
  <c r="Z5"/>
  <c r="X5"/>
  <c r="X9" s="1"/>
  <c r="W5"/>
  <c r="U5"/>
  <c r="AR4"/>
  <c r="AU4" s="1"/>
  <c r="T9" i="1"/>
  <c r="Q9"/>
  <c r="N9"/>
  <c r="K9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K24"/>
  <c r="K22"/>
  <c r="K21"/>
  <c r="K23" s="1"/>
  <c r="L19"/>
  <c r="L18"/>
  <c r="L12"/>
  <c r="L11"/>
  <c r="L8"/>
  <c r="L6"/>
  <c r="L5"/>
  <c r="N24"/>
  <c r="N22"/>
  <c r="N21"/>
  <c r="N23" s="1"/>
  <c r="O20"/>
  <c r="O19"/>
  <c r="O18"/>
  <c r="O12"/>
  <c r="O11"/>
  <c r="O8"/>
  <c r="O6"/>
  <c r="O5"/>
  <c r="Q24"/>
  <c r="Q22"/>
  <c r="Q21"/>
  <c r="Q23" s="1"/>
  <c r="R20"/>
  <c r="R19"/>
  <c r="R18"/>
  <c r="R12"/>
  <c r="R11"/>
  <c r="R8"/>
  <c r="R6"/>
  <c r="R5"/>
  <c r="W24"/>
  <c r="W22"/>
  <c r="W21"/>
  <c r="W23" s="1"/>
  <c r="X20"/>
  <c r="X19"/>
  <c r="X18"/>
  <c r="X12"/>
  <c r="X11"/>
  <c r="W8"/>
  <c r="X8"/>
  <c r="W7"/>
  <c r="X6"/>
  <c r="W6"/>
  <c r="X5"/>
  <c r="X7" s="1"/>
  <c r="W5"/>
  <c r="Z24"/>
  <c r="Z22"/>
  <c r="Z21"/>
  <c r="Z23" s="1"/>
  <c r="Z8"/>
  <c r="Z6"/>
  <c r="Z5"/>
  <c r="AC6"/>
  <c r="AC5"/>
  <c r="H7" l="1"/>
  <c r="H9"/>
  <c r="I9"/>
  <c r="AM9" i="7"/>
  <c r="AG9"/>
  <c r="F9" i="1"/>
  <c r="W7" i="7"/>
  <c r="T7" i="1"/>
  <c r="U9" i="7"/>
  <c r="T7"/>
  <c r="AP9" i="1"/>
  <c r="Q7"/>
  <c r="AP7"/>
  <c r="R7"/>
  <c r="O7"/>
  <c r="N7"/>
  <c r="L7"/>
  <c r="K7"/>
  <c r="AR6" i="7"/>
  <c r="AR18"/>
  <c r="E21" i="5"/>
  <c r="E20"/>
  <c r="E19"/>
  <c r="AP22" i="7"/>
  <c r="AP24"/>
  <c r="D19" i="5"/>
  <c r="D21"/>
  <c r="D12"/>
  <c r="E12" s="1"/>
  <c r="D7"/>
  <c r="AP26" i="7"/>
  <c r="AP9"/>
  <c r="AQ9" s="1"/>
  <c r="AT24"/>
  <c r="AT21"/>
  <c r="AT23" s="1"/>
  <c r="AT22"/>
  <c r="AU11"/>
  <c r="AR5"/>
  <c r="AQ6"/>
  <c r="AS6"/>
  <c r="AU6" s="1"/>
  <c r="X7"/>
  <c r="Z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O9"/>
  <c r="R9"/>
  <c r="X9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M20" l="1"/>
  <c r="AM19"/>
  <c r="AM18"/>
  <c r="AM12" l="1"/>
  <c r="AM11"/>
  <c r="AL5"/>
  <c r="AM5"/>
  <c r="AM6" l="1"/>
  <c r="AM7" s="1"/>
  <c r="AL6"/>
  <c r="AL9" l="1"/>
  <c r="AL8"/>
  <c r="AM8"/>
  <c r="AM9" s="1"/>
  <c r="AL7"/>
  <c r="AJ6" l="1"/>
  <c r="AI8"/>
  <c r="AI6"/>
  <c r="AI5"/>
  <c r="AI24"/>
  <c r="AI22"/>
  <c r="AI21"/>
  <c r="AI23" s="1"/>
  <c r="AJ20"/>
  <c r="AJ19"/>
  <c r="AJ18"/>
  <c r="AJ12"/>
  <c r="AJ11"/>
  <c r="AI9"/>
  <c r="AJ8"/>
  <c r="AI7"/>
  <c r="AJ5"/>
  <c r="AJ9" l="1"/>
  <c r="AJ7"/>
  <c r="AF24" l="1"/>
  <c r="AF22"/>
  <c r="AF21"/>
  <c r="AF23" s="1"/>
  <c r="AG20"/>
  <c r="AG19"/>
  <c r="AG18"/>
  <c r="AG12"/>
  <c r="AG11"/>
  <c r="AG8"/>
  <c r="AF7"/>
  <c r="AG6"/>
  <c r="AF6"/>
  <c r="AG5"/>
  <c r="AF5"/>
  <c r="AG9" l="1"/>
  <c r="AG7"/>
  <c r="AF8"/>
  <c r="AF9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T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2" i="5"/>
  <c r="H12" s="1"/>
  <c r="AC21" i="1"/>
  <c r="AC23" s="1"/>
  <c r="AC9"/>
  <c r="H19" i="5"/>
  <c r="G20"/>
  <c r="G19"/>
  <c r="G13"/>
  <c r="T21" i="1"/>
  <c r="T23" s="1"/>
  <c r="AR6" l="1"/>
  <c r="G7" i="5"/>
  <c r="AR8" i="1"/>
  <c r="G9" i="5"/>
  <c r="F12"/>
  <c r="F13"/>
  <c r="F9"/>
  <c r="D24" i="6"/>
  <c r="F20"/>
  <c r="L5"/>
  <c r="I7"/>
  <c r="I9"/>
  <c r="H24"/>
  <c r="E22"/>
  <c r="L8"/>
  <c r="L12"/>
  <c r="L19"/>
  <c r="F21" i="5"/>
  <c r="F9" i="6"/>
  <c r="F7"/>
  <c r="E24"/>
  <c r="G24"/>
  <c r="I20"/>
  <c r="L20" s="1"/>
  <c r="L6"/>
  <c r="L11"/>
  <c r="L18"/>
  <c r="H22"/>
  <c r="I13" i="5"/>
  <c r="L13" s="1"/>
  <c r="AR12" i="1"/>
  <c r="I20" i="5"/>
  <c r="AR19" i="1"/>
  <c r="AQ22"/>
  <c r="I5" i="5"/>
  <c r="AR5" i="1"/>
  <c r="AS18"/>
  <c r="AU18" s="1"/>
  <c r="AR18"/>
  <c r="H21" i="5"/>
  <c r="AQ24" i="1"/>
  <c r="AU11"/>
  <c r="AR11"/>
  <c r="E7" i="6"/>
  <c r="E22" i="5"/>
  <c r="AC7" i="1"/>
  <c r="D16" i="5"/>
  <c r="F19"/>
  <c r="F7"/>
  <c r="D14" i="6"/>
  <c r="J18"/>
  <c r="E6"/>
  <c r="D22"/>
  <c r="AQ21" i="1"/>
  <c r="AQ23" s="1"/>
  <c r="AS6"/>
  <c r="AU6" s="1"/>
  <c r="AQ6"/>
  <c r="I7" i="5"/>
  <c r="AS8" i="1"/>
  <c r="AU8" s="1"/>
  <c r="AP26"/>
  <c r="AQ8"/>
  <c r="I9" i="5"/>
  <c r="K13"/>
  <c r="AQ5" i="1"/>
  <c r="AP13"/>
  <c r="AP15"/>
  <c r="G21" i="5"/>
  <c r="AP22" i="1"/>
  <c r="AS5"/>
  <c r="AS12"/>
  <c r="AU12" s="1"/>
  <c r="AS19"/>
  <c r="AT19"/>
  <c r="H20" i="5"/>
  <c r="H23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G21"/>
  <c r="G23" s="1"/>
  <c r="J12"/>
  <c r="K5"/>
  <c r="L9" i="5" l="1"/>
  <c r="E24"/>
  <c r="L7"/>
  <c r="G14"/>
  <c r="H22"/>
  <c r="L22" s="1"/>
  <c r="J13"/>
  <c r="J24" i="6"/>
  <c r="K24"/>
  <c r="L9"/>
  <c r="E25" i="5"/>
  <c r="D25"/>
  <c r="E23"/>
  <c r="L7" i="6"/>
  <c r="AP24" i="1"/>
  <c r="AR20"/>
  <c r="AR7"/>
  <c r="AR9"/>
  <c r="H25" i="5"/>
  <c r="H24"/>
  <c r="AS22" i="1"/>
  <c r="AU19"/>
  <c r="AS14"/>
  <c r="AU5"/>
  <c r="AT24"/>
  <c r="AT22"/>
  <c r="G23" i="5"/>
  <c r="I19"/>
  <c r="L19" s="1"/>
  <c r="D14"/>
  <c r="J14" s="1"/>
  <c r="F5"/>
  <c r="K20"/>
  <c r="F20"/>
  <c r="L20" s="1"/>
  <c r="G16"/>
  <c r="K16" s="1"/>
  <c r="I12"/>
  <c r="L12" s="1"/>
  <c r="I8"/>
  <c r="I10"/>
  <c r="E7"/>
  <c r="K12"/>
  <c r="G15"/>
  <c r="J12"/>
  <c r="D17"/>
  <c r="E9"/>
  <c r="J5"/>
  <c r="K5"/>
  <c r="D23"/>
  <c r="J23" s="1"/>
  <c r="J20"/>
  <c r="K7"/>
  <c r="D22"/>
  <c r="D24" s="1"/>
  <c r="E10"/>
  <c r="D15"/>
  <c r="K20" i="6"/>
  <c r="L21"/>
  <c r="AT21" i="1"/>
  <c r="AT23" s="1"/>
  <c r="K19" i="5"/>
  <c r="J19"/>
  <c r="AS20" i="1"/>
  <c r="AP21"/>
  <c r="AP23" s="1"/>
  <c r="K9" i="5"/>
  <c r="J9"/>
  <c r="J8" i="6"/>
  <c r="K14" i="5"/>
  <c r="M22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M21" i="6"/>
  <c r="J22"/>
  <c r="K22"/>
  <c r="D23"/>
  <c r="K23" s="1"/>
  <c r="K21"/>
  <c r="D16"/>
  <c r="H7" i="5"/>
  <c r="J7"/>
  <c r="E8"/>
  <c r="H9"/>
  <c r="J16" l="1"/>
  <c r="K23"/>
  <c r="I21"/>
  <c r="L21" s="1"/>
  <c r="G25"/>
  <c r="AS21" i="1"/>
  <c r="AS23" s="1"/>
  <c r="AS24"/>
  <c r="AU20"/>
  <c r="AU9"/>
  <c r="AU7"/>
  <c r="F8" i="5"/>
  <c r="L8" s="1"/>
  <c r="F10"/>
  <c r="L10" s="1"/>
  <c r="L5"/>
  <c r="K8"/>
  <c r="K15"/>
  <c r="K14" i="6"/>
  <c r="K15"/>
  <c r="J8" i="5"/>
  <c r="J13" i="6"/>
  <c r="J23"/>
  <c r="J15" i="5"/>
  <c r="AS7" i="1"/>
  <c r="AS16" s="1"/>
  <c r="AQ7"/>
  <c r="AP16"/>
  <c r="K21" i="5"/>
  <c r="G22"/>
  <c r="G24" s="1"/>
  <c r="J21"/>
  <c r="AS9" i="1"/>
  <c r="AQ9"/>
  <c r="K27" i="5"/>
  <c r="J27"/>
  <c r="K10"/>
  <c r="J10"/>
  <c r="H10"/>
  <c r="H8"/>
  <c r="G17"/>
  <c r="J25" l="1"/>
  <c r="K25"/>
  <c r="K24"/>
  <c r="J24"/>
  <c r="K22"/>
  <c r="J22"/>
  <c r="G16" i="6"/>
  <c r="K7"/>
  <c r="J7"/>
  <c r="H7"/>
  <c r="K17" i="5"/>
  <c r="J17"/>
  <c r="J6" i="6"/>
  <c r="K6"/>
  <c r="H6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<sst xmlns="http://schemas.openxmlformats.org/spreadsheetml/2006/main" count="351" uniqueCount="88">
  <si>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</si>
  <si>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</si>
  <si>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</si>
  <si>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</si>
  <si>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</si>
  <si>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</si>
  <si>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</si>
  <si>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</si>
  <si>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</si>
  <si>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</si>
  <si>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</si>
  <si>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</si>
  <si>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</si>
  <si>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</si>
  <si>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</si>
  <si>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</si>
  <si>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</si>
  <si>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</si>
  <si>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</si>
  <si>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</si>
  <si>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</si>
  <si>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</si>
  <si>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</si>
  <si>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</si>
  <si>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</si>
  <si>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</si>
  <si>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</si>
  <si>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</si>
  <si>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</si>
  <si>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</si>
  <si>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</si>
  <si>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</si>
  <si>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</si>
  <si>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</si>
  <si>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</si>
  <si>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</si>
  <si>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>Tržby - 6xx + 8xx</t>
  </si>
  <si>
    <t>VN - 50112001+50112002+50118+51102027</t>
  </si>
  <si>
    <t>FN - 5xx + 7xx - VN</t>
  </si>
  <si>
    <t>Os.N. - 52x</t>
  </si>
  <si>
    <t>PHM v tis. Kč - 50112001+50112002</t>
  </si>
  <si>
    <t>PHM v litrech - viz CCS výpisy</t>
  </si>
  <si>
    <t xml:space="preserve"> leden 2016</t>
  </si>
  <si>
    <t xml:space="preserve"> únor 2016</t>
  </si>
  <si>
    <t xml:space="preserve"> březen 2016</t>
  </si>
  <si>
    <t xml:space="preserve"> duben 2016</t>
  </si>
  <si>
    <t xml:space="preserve"> květen 2016</t>
  </si>
  <si>
    <t xml:space="preserve"> červen 2016</t>
  </si>
  <si>
    <t xml:space="preserve"> červenec 2016</t>
  </si>
  <si>
    <t xml:space="preserve"> srpen 2016</t>
  </si>
  <si>
    <t xml:space="preserve"> září 2016</t>
  </si>
  <si>
    <t xml:space="preserve"> říjen 2016</t>
  </si>
  <si>
    <t xml:space="preserve"> listopad 2016</t>
  </si>
  <si>
    <t xml:space="preserve"> prosinec 2016</t>
  </si>
  <si>
    <t>2017/2016</t>
  </si>
  <si>
    <t>2017 - 2016</t>
  </si>
  <si>
    <t xml:space="preserve"> leden 2017</t>
  </si>
  <si>
    <t xml:space="preserve"> únor 2017</t>
  </si>
  <si>
    <t xml:space="preserve"> březen 2017</t>
  </si>
  <si>
    <t xml:space="preserve"> duben 2017</t>
  </si>
  <si>
    <t xml:space="preserve"> květen 2017</t>
  </si>
  <si>
    <t xml:space="preserve"> červen 2017</t>
  </si>
  <si>
    <t xml:space="preserve"> červenec 2017</t>
  </si>
  <si>
    <t xml:space="preserve"> srpen 2017</t>
  </si>
  <si>
    <t xml:space="preserve"> září 2017</t>
  </si>
  <si>
    <t xml:space="preserve"> říjen 2017</t>
  </si>
  <si>
    <t xml:space="preserve"> listopad 2017</t>
  </si>
  <si>
    <t xml:space="preserve"> prosinec 2017</t>
  </si>
  <si>
    <t xml:space="preserve"> 1 - 5 2016</t>
  </si>
  <si>
    <t xml:space="preserve"> 1 - 5 2017</t>
  </si>
  <si>
    <t>1)</t>
  </si>
  <si>
    <t>HV ze zisku do ztráty</t>
  </si>
  <si>
    <t>2)</t>
  </si>
  <si>
    <t>3)</t>
  </si>
  <si>
    <t>nárůst mzdové nákladovosti tržeb</t>
  </si>
  <si>
    <t>4)</t>
  </si>
  <si>
    <t>5)</t>
  </si>
  <si>
    <t>zvýšená spotřeba vozidel na 100 km v L i Kč</t>
  </si>
  <si>
    <t>vyšší bod zvratu</t>
  </si>
  <si>
    <t>přes zvýšený počet km, nižší tržby</t>
  </si>
  <si>
    <t>6)</t>
  </si>
  <si>
    <t>navýšení o pracovníka, nárůst mezd</t>
  </si>
  <si>
    <t>počet km</t>
  </si>
  <si>
    <t>tržby dle VC</t>
  </si>
  <si>
    <t>počet převozů</t>
  </si>
  <si>
    <t>22/km</t>
  </si>
  <si>
    <t>370/ převoz</t>
  </si>
  <si>
    <t>Tržby ostatní</t>
  </si>
</sst>
</file>

<file path=xl/styles.xml><?xml version="1.0" encoding="utf-8"?>
<styleSheet xmlns="http://schemas.openxmlformats.org/spreadsheetml/2006/main">
  <numFmts count="7">
    <numFmt numFmtId="8" formatCode="#,##0.00\ &quot;Kč&quot;;[Red]\-#,##0.00\ &quot;Kč&quot;"/>
    <numFmt numFmtId="164" formatCode="0.0%"/>
    <numFmt numFmtId="165" formatCode="#,##0;[Red]#,##0"/>
    <numFmt numFmtId="166" formatCode="#,##0.00\ &quot;Kč&quot;"/>
    <numFmt numFmtId="167" formatCode="#,##0.00;[Red]#,##0.00"/>
    <numFmt numFmtId="168" formatCode="#,##0_ ;[Red]\-#,##0\ "/>
    <numFmt numFmtId="169" formatCode="#,##0.00_ ;[Red]\-#,##0.00\ 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  <xf numFmtId="0" fontId="32" fillId="0" borderId="0" xfId="0" applyFont="1"/>
    <xf numFmtId="0" fontId="33" fillId="0" borderId="0" xfId="0" applyFont="1"/>
    <xf numFmtId="168" fontId="9" fillId="0" borderId="0" xfId="0" applyNumberFormat="1" applyFont="1"/>
    <xf numFmtId="168" fontId="12" fillId="0" borderId="0" xfId="0" applyNumberFormat="1" applyFont="1"/>
    <xf numFmtId="168" fontId="9" fillId="0" borderId="0" xfId="0" applyNumberFormat="1" applyFont="1" applyAlignment="1"/>
    <xf numFmtId="168" fontId="8" fillId="0" borderId="0" xfId="0" applyNumberFormat="1" applyFont="1"/>
    <xf numFmtId="168" fontId="0" fillId="0" borderId="0" xfId="0" applyNumberFormat="1"/>
    <xf numFmtId="168" fontId="14" fillId="0" borderId="0" xfId="0" applyNumberFormat="1" applyFont="1"/>
    <xf numFmtId="168" fontId="22" fillId="0" borderId="0" xfId="0" applyNumberFormat="1" applyFont="1"/>
    <xf numFmtId="168" fontId="23" fillId="0" borderId="0" xfId="0" applyNumberFormat="1" applyFont="1"/>
    <xf numFmtId="168" fontId="15" fillId="0" borderId="0" xfId="0" applyNumberFormat="1" applyFont="1"/>
    <xf numFmtId="8" fontId="9" fillId="0" borderId="0" xfId="0" applyNumberFormat="1" applyFont="1" applyAlignment="1"/>
    <xf numFmtId="169" fontId="9" fillId="0" borderId="0" xfId="0" applyNumberFormat="1" applyFont="1"/>
    <xf numFmtId="169" fontId="11" fillId="0" borderId="0" xfId="0" applyNumberFormat="1" applyFont="1"/>
    <xf numFmtId="0" fontId="0" fillId="0" borderId="0" xfId="0" applyAlignment="1">
      <alignment horizontal="right"/>
    </xf>
    <xf numFmtId="164" fontId="14" fillId="0" borderId="0" xfId="0" applyNumberFormat="1" applyFont="1" applyBorder="1"/>
    <xf numFmtId="0" fontId="34" fillId="0" borderId="0" xfId="0" applyFont="1"/>
    <xf numFmtId="0" fontId="35" fillId="0" borderId="0" xfId="0" applyFont="1"/>
    <xf numFmtId="3" fontId="34" fillId="0" borderId="0" xfId="0" applyNumberFormat="1" applyFont="1"/>
    <xf numFmtId="0" fontId="36" fillId="0" borderId="0" xfId="0" applyFont="1"/>
    <xf numFmtId="1" fontId="3" fillId="0" borderId="0" xfId="0" applyNumberFormat="1" applyFont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4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30</v>
      </c>
      <c r="D2" s="3" t="s">
        <v>2</v>
      </c>
      <c r="E2" s="5" t="s">
        <v>19</v>
      </c>
      <c r="F2" s="52" t="s">
        <v>32</v>
      </c>
      <c r="G2" s="3" t="s">
        <v>2</v>
      </c>
      <c r="H2" s="5" t="s">
        <v>19</v>
      </c>
      <c r="I2" s="52" t="s">
        <v>32</v>
      </c>
      <c r="J2" s="26" t="s">
        <v>25</v>
      </c>
      <c r="K2" s="1" t="s">
        <v>26</v>
      </c>
      <c r="L2" s="88" t="s">
        <v>35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68</v>
      </c>
      <c r="E3" s="23" t="s">
        <v>20</v>
      </c>
      <c r="F3" s="3" t="s">
        <v>33</v>
      </c>
      <c r="G3" s="4" t="s">
        <v>69</v>
      </c>
      <c r="H3" s="6" t="s">
        <v>20</v>
      </c>
      <c r="I3" s="3" t="s">
        <v>33</v>
      </c>
      <c r="J3" s="27" t="s">
        <v>54</v>
      </c>
      <c r="K3" s="24" t="s">
        <v>55</v>
      </c>
      <c r="L3" s="24" t="s">
        <v>55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21</v>
      </c>
      <c r="E4" s="3" t="s">
        <v>22</v>
      </c>
      <c r="F4" s="3">
        <f>+'2016'!AR4+1</f>
        <v>10</v>
      </c>
      <c r="G4" s="22" t="s">
        <v>21</v>
      </c>
      <c r="H4" s="3" t="s">
        <v>22</v>
      </c>
      <c r="I4" s="113">
        <f>+'2017'!AR4</f>
        <v>10.199999999999999</v>
      </c>
      <c r="J4" s="25"/>
    </row>
    <row r="5" spans="2:21">
      <c r="B5" s="10" t="s">
        <v>3</v>
      </c>
      <c r="C5" s="16"/>
      <c r="D5" s="8">
        <f>+'2016'!AP5-17.841</f>
        <v>6487.2639999999992</v>
      </c>
      <c r="E5" s="54">
        <f>+D5/(D5+D6)</f>
        <v>0.99725738477703274</v>
      </c>
      <c r="F5" s="85">
        <f>+D5/F4</f>
        <v>648.7263999999999</v>
      </c>
      <c r="G5" s="95">
        <f>+'2017'!AP5-41.9176</f>
        <v>6391.1854000000003</v>
      </c>
      <c r="H5" s="54">
        <f>+G5/(G5+G6)</f>
        <v>0.99348407759055002</v>
      </c>
      <c r="I5" s="85">
        <f>+G5/I4</f>
        <v>626.58680392156873</v>
      </c>
      <c r="J5" s="77">
        <f t="shared" ref="J5:J25" si="0">+G5/D5</f>
        <v>0.98518965776635592</v>
      </c>
      <c r="K5" s="101">
        <f>+G5-D5</f>
        <v>-96.078599999998914</v>
      </c>
      <c r="L5" s="78">
        <f>+I5-F5</f>
        <v>-22.139596078431168</v>
      </c>
      <c r="M5" s="57"/>
    </row>
    <row r="6" spans="2:21">
      <c r="B6" s="10" t="s">
        <v>87</v>
      </c>
      <c r="C6" s="16"/>
      <c r="D6" s="8">
        <v>17.841000000000001</v>
      </c>
      <c r="E6" s="54">
        <f>+D6/(D5+D6)</f>
        <v>2.7426152229671932E-3</v>
      </c>
      <c r="F6" s="85"/>
      <c r="G6" s="95">
        <v>41.9176</v>
      </c>
      <c r="H6" s="54">
        <f>+G6/(G5+G6)</f>
        <v>6.515922409449996E-3</v>
      </c>
      <c r="I6" s="85"/>
      <c r="J6" s="77"/>
      <c r="K6" s="101"/>
      <c r="L6" s="78"/>
      <c r="M6" s="57"/>
    </row>
    <row r="7" spans="2:21">
      <c r="B7" s="7" t="s">
        <v>4</v>
      </c>
      <c r="C7" s="16"/>
      <c r="D7" s="11">
        <f>+'2016'!AP6</f>
        <v>313.58118999999999</v>
      </c>
      <c r="E7" s="55">
        <f>+D7/$D$5</f>
        <v>4.8337972680008091E-2</v>
      </c>
      <c r="F7" s="67">
        <f>+D7/F4</f>
        <v>31.358118999999999</v>
      </c>
      <c r="G7" s="96">
        <f>+'2017'!AP6</f>
        <v>435.42556000000002</v>
      </c>
      <c r="H7" s="55">
        <f>+G7/$G$5</f>
        <v>6.8129076649849657E-2</v>
      </c>
      <c r="I7" s="67">
        <f>+G7/I4</f>
        <v>42.688780392156865</v>
      </c>
      <c r="J7" s="79">
        <f t="shared" si="0"/>
        <v>1.3885576491370546</v>
      </c>
      <c r="K7" s="102">
        <f>+G7-D7</f>
        <v>121.84437000000003</v>
      </c>
      <c r="L7" s="80">
        <f>+I7-F7</f>
        <v>11.330661392156866</v>
      </c>
      <c r="M7" s="57"/>
    </row>
    <row r="8" spans="2:21">
      <c r="B8" s="10" t="s">
        <v>6</v>
      </c>
      <c r="C8" s="16"/>
      <c r="D8" s="8">
        <f>+D5-D7+D6</f>
        <v>6191.5238099999997</v>
      </c>
      <c r="E8" s="56">
        <f>+D8/$D$5</f>
        <v>0.95441218516773796</v>
      </c>
      <c r="F8" s="87">
        <f>+F5-F7</f>
        <v>617.36828099999991</v>
      </c>
      <c r="G8" s="97">
        <f>+G5-G7+G6</f>
        <v>5997.6774400000004</v>
      </c>
      <c r="H8" s="56">
        <f>+G8/$G$5</f>
        <v>0.93842958146699984</v>
      </c>
      <c r="I8" s="87">
        <f>+I5-I7</f>
        <v>583.89802352941183</v>
      </c>
      <c r="J8" s="81">
        <f t="shared" si="0"/>
        <v>0.96869165395327794</v>
      </c>
      <c r="K8" s="101">
        <f>+G8-D8</f>
        <v>-193.8463699999993</v>
      </c>
      <c r="L8" s="78">
        <f>+I8-F8</f>
        <v>-33.470257470588081</v>
      </c>
      <c r="M8" s="57"/>
    </row>
    <row r="9" spans="2:21">
      <c r="B9" s="7" t="s">
        <v>5</v>
      </c>
      <c r="C9" s="16"/>
      <c r="D9" s="11">
        <f>+'2016'!AP8</f>
        <v>6063.358220000001</v>
      </c>
      <c r="E9" s="55">
        <f>+D9/$D$5</f>
        <v>0.93465569152110994</v>
      </c>
      <c r="F9" s="67">
        <f>+D9/F4</f>
        <v>606.33582200000012</v>
      </c>
      <c r="G9" s="96">
        <f>+'2017'!AP8</f>
        <v>6829.0612099999998</v>
      </c>
      <c r="H9" s="55">
        <f>+G9/$G$5</f>
        <v>1.0685124562338624</v>
      </c>
      <c r="I9" s="67">
        <f>+G9/I4</f>
        <v>669.51580490196079</v>
      </c>
      <c r="J9" s="79">
        <f t="shared" si="0"/>
        <v>1.126283647150242</v>
      </c>
      <c r="K9" s="102">
        <f>+G9-D9</f>
        <v>765.70298999999886</v>
      </c>
      <c r="L9" s="80">
        <f>+I9-F9</f>
        <v>63.17998290196067</v>
      </c>
      <c r="M9" s="57"/>
    </row>
    <row r="10" spans="2:21">
      <c r="B10" s="18" t="s">
        <v>9</v>
      </c>
      <c r="C10" s="16"/>
      <c r="D10" s="15">
        <f>+D5-D7-D9+D6</f>
        <v>128.16558999999836</v>
      </c>
      <c r="E10" s="54">
        <f>+D10/$D$5</f>
        <v>1.9756493646627973E-2</v>
      </c>
      <c r="F10" s="15">
        <f>+F5-F7-F9</f>
        <v>11.03245899999979</v>
      </c>
      <c r="G10" s="97">
        <f>+G5-G7-G9+G6</f>
        <v>-831.38376999999923</v>
      </c>
      <c r="H10" s="54">
        <f>+G10/$G$5</f>
        <v>-0.13008287476686237</v>
      </c>
      <c r="I10" s="15">
        <f>+I5-I7-I9</f>
        <v>-85.617781372548961</v>
      </c>
      <c r="J10" s="81">
        <f t="shared" si="0"/>
        <v>-6.4867939202715013</v>
      </c>
      <c r="K10" s="101">
        <f>+G10-D10</f>
        <v>-959.54935999999759</v>
      </c>
      <c r="L10" s="78">
        <f>+I10-F10</f>
        <v>-96.650240372548751</v>
      </c>
      <c r="M10" s="57"/>
    </row>
    <row r="11" spans="2:21" ht="7.5" customHeight="1">
      <c r="B11" s="16"/>
      <c r="C11" s="16"/>
      <c r="D11" s="32"/>
      <c r="E11" s="57"/>
      <c r="F11" s="57"/>
      <c r="G11" s="98"/>
      <c r="H11" s="57"/>
      <c r="I11" s="57"/>
      <c r="J11" s="82"/>
      <c r="K11" s="103"/>
      <c r="L11" s="57"/>
      <c r="M11" s="57"/>
    </row>
    <row r="12" spans="2:21">
      <c r="B12" s="17" t="s">
        <v>13</v>
      </c>
      <c r="C12" s="16"/>
      <c r="D12" s="32">
        <f>+'2016'!AP11</f>
        <v>144</v>
      </c>
      <c r="E12" s="86">
        <f>+D12/5</f>
        <v>28.8</v>
      </c>
      <c r="F12" s="67">
        <f>+D12/F4</f>
        <v>14.4</v>
      </c>
      <c r="G12" s="98">
        <f>+'2017'!AP11</f>
        <v>150</v>
      </c>
      <c r="H12" s="57">
        <f>+G12/5</f>
        <v>30</v>
      </c>
      <c r="I12" s="67">
        <f>+G12/I4</f>
        <v>14.705882352941178</v>
      </c>
      <c r="J12" s="79">
        <f t="shared" si="0"/>
        <v>1.0416666666666667</v>
      </c>
      <c r="K12" s="102">
        <f t="shared" ref="K12:K17" si="1">+G12-D12</f>
        <v>6</v>
      </c>
      <c r="L12" s="80">
        <f>+I12-F12</f>
        <v>0.30588235294117716</v>
      </c>
      <c r="M12" s="57"/>
    </row>
    <row r="13" spans="2:21">
      <c r="B13" s="17" t="s">
        <v>10</v>
      </c>
      <c r="C13" s="16"/>
      <c r="D13" s="32">
        <f>+'2016'!AP12</f>
        <v>5052.7672000000002</v>
      </c>
      <c r="E13" s="57"/>
      <c r="F13" s="67">
        <f>+D13/F4</f>
        <v>505.27672000000001</v>
      </c>
      <c r="G13" s="96">
        <f>+'2017'!AP12</f>
        <v>5622.69956</v>
      </c>
      <c r="H13" s="57"/>
      <c r="I13" s="67">
        <f>+G13/I4</f>
        <v>551.24505490196077</v>
      </c>
      <c r="J13" s="79">
        <f t="shared" si="0"/>
        <v>1.1127960852817442</v>
      </c>
      <c r="K13" s="102">
        <f t="shared" si="1"/>
        <v>569.93235999999979</v>
      </c>
      <c r="L13" s="80">
        <f>+I13-F13</f>
        <v>45.968334901960759</v>
      </c>
      <c r="M13" s="57"/>
    </row>
    <row r="14" spans="2:21">
      <c r="B14" s="18" t="s">
        <v>15</v>
      </c>
      <c r="C14" s="16"/>
      <c r="D14" s="33">
        <f>+D13/D5</f>
        <v>0.77887491552679233</v>
      </c>
      <c r="E14" s="57"/>
      <c r="F14" s="33"/>
      <c r="G14" s="33">
        <f>+G13/G5</f>
        <v>0.87975848111056199</v>
      </c>
      <c r="H14" s="57"/>
      <c r="I14" s="33"/>
      <c r="J14" s="77">
        <f t="shared" si="0"/>
        <v>1.1295247331409268</v>
      </c>
      <c r="K14" s="101">
        <f t="shared" si="1"/>
        <v>0.10088356558376965</v>
      </c>
      <c r="L14" s="57"/>
      <c r="M14" s="57"/>
    </row>
    <row r="15" spans="2:21">
      <c r="B15" s="18" t="s">
        <v>11</v>
      </c>
      <c r="C15" s="16"/>
      <c r="D15" s="8">
        <f>+D5/D12</f>
        <v>45.050444444444437</v>
      </c>
      <c r="E15" s="57"/>
      <c r="F15" s="8"/>
      <c r="G15" s="97">
        <f>+G5/G12</f>
        <v>42.607902666666668</v>
      </c>
      <c r="H15" s="57"/>
      <c r="I15" s="8"/>
      <c r="J15" s="77">
        <f t="shared" si="0"/>
        <v>0.9457820714557017</v>
      </c>
      <c r="K15" s="101">
        <f t="shared" si="1"/>
        <v>-2.4425417777777696</v>
      </c>
      <c r="L15" s="57"/>
      <c r="M15" s="57"/>
    </row>
    <row r="16" spans="2:21">
      <c r="B16" s="10" t="s">
        <v>29</v>
      </c>
      <c r="C16" s="16"/>
      <c r="D16" s="8">
        <f>+D13/D12</f>
        <v>35.088661111111115</v>
      </c>
      <c r="E16" s="57"/>
      <c r="F16" s="8"/>
      <c r="G16" s="97">
        <f>+G13/G12</f>
        <v>37.484663733333335</v>
      </c>
      <c r="H16" s="57"/>
      <c r="I16" s="8"/>
      <c r="J16" s="77">
        <f t="shared" si="0"/>
        <v>1.0682842418704743</v>
      </c>
      <c r="K16" s="101">
        <f t="shared" si="1"/>
        <v>2.3960026222222197</v>
      </c>
      <c r="L16" s="57"/>
      <c r="M16" s="57"/>
    </row>
    <row r="17" spans="2:13">
      <c r="B17" s="18" t="s">
        <v>16</v>
      </c>
      <c r="C17" s="16"/>
      <c r="D17" s="33">
        <f>+D13/D8</f>
        <v>0.81607813440678678</v>
      </c>
      <c r="E17" s="57"/>
      <c r="F17" s="33"/>
      <c r="G17" s="33">
        <f>+G13/G8</f>
        <v>0.93747948539226533</v>
      </c>
      <c r="H17" s="57"/>
      <c r="I17" s="33"/>
      <c r="J17" s="77">
        <f t="shared" si="0"/>
        <v>1.1487619210306697</v>
      </c>
      <c r="K17" s="101">
        <f t="shared" si="1"/>
        <v>0.12140135098547855</v>
      </c>
      <c r="L17" s="57"/>
      <c r="M17" s="57"/>
    </row>
    <row r="18" spans="2:13" ht="7.5" customHeight="1">
      <c r="B18" s="7"/>
      <c r="C18" s="16"/>
      <c r="D18" s="32"/>
      <c r="E18" s="57"/>
      <c r="F18" s="57"/>
      <c r="G18" s="98"/>
      <c r="H18" s="57"/>
      <c r="I18" s="57"/>
      <c r="J18" s="82"/>
      <c r="K18" s="103"/>
      <c r="L18" s="57"/>
      <c r="M18" s="57"/>
    </row>
    <row r="19" spans="2:13">
      <c r="B19" s="17"/>
      <c r="C19" s="16"/>
      <c r="D19" s="11">
        <f>+'2016'!AP18</f>
        <v>43043</v>
      </c>
      <c r="E19" s="58">
        <f>+'2016'!AQ18</f>
        <v>43043</v>
      </c>
      <c r="F19" s="67">
        <f>+D19/F4</f>
        <v>4304.3</v>
      </c>
      <c r="G19" s="96">
        <f>+'2017'!AP18</f>
        <v>47808</v>
      </c>
      <c r="H19" s="67">
        <f>+'2017'!AQ18</f>
        <v>47808</v>
      </c>
      <c r="I19" s="67">
        <f>+G19/I4</f>
        <v>4687.0588235294117</v>
      </c>
      <c r="J19" s="79">
        <f t="shared" si="0"/>
        <v>1.110703250238134</v>
      </c>
      <c r="K19" s="102">
        <f t="shared" ref="K19:K25" si="2">+G19-D19</f>
        <v>4765</v>
      </c>
      <c r="L19" s="80">
        <f>+I19-F19</f>
        <v>382.75882352941153</v>
      </c>
      <c r="M19" s="57"/>
    </row>
    <row r="20" spans="2:13">
      <c r="B20" s="17" t="s">
        <v>12</v>
      </c>
      <c r="C20" s="16"/>
      <c r="D20" s="11">
        <f>+'2016'!AP19</f>
        <v>3892.41</v>
      </c>
      <c r="E20" s="59">
        <f>+'2016'!AQ19</f>
        <v>3892.41</v>
      </c>
      <c r="F20" s="67">
        <f>+D20/F4</f>
        <v>389.24099999999999</v>
      </c>
      <c r="G20" s="96">
        <f>+'2017'!AP19</f>
        <v>4629.68</v>
      </c>
      <c r="H20" s="67">
        <f>+'2017'!AQ19</f>
        <v>4629.68</v>
      </c>
      <c r="I20" s="67">
        <f>+G20/I4</f>
        <v>453.89019607843142</v>
      </c>
      <c r="J20" s="79">
        <f t="shared" si="0"/>
        <v>1.1894122150544266</v>
      </c>
      <c r="K20" s="102">
        <f t="shared" si="2"/>
        <v>737.27000000000044</v>
      </c>
      <c r="L20" s="80">
        <f>+I20-F20</f>
        <v>64.64919607843143</v>
      </c>
      <c r="M20" s="57"/>
    </row>
    <row r="21" spans="2:13">
      <c r="B21" s="17" t="s">
        <v>23</v>
      </c>
      <c r="C21" s="16"/>
      <c r="D21" s="11">
        <f>+'2016'!AP20</f>
        <v>96.807700000000011</v>
      </c>
      <c r="E21" s="59">
        <f>+'2016'!AQ20</f>
        <v>96.807689999999994</v>
      </c>
      <c r="F21" s="67">
        <f>+D21/F4</f>
        <v>9.6807700000000008</v>
      </c>
      <c r="G21" s="96">
        <f>+'2017'!AP20</f>
        <v>134.59829999999999</v>
      </c>
      <c r="H21" s="67">
        <f>+'2017'!AQ20</f>
        <v>134.5985</v>
      </c>
      <c r="I21" s="67">
        <f>+G21/I4</f>
        <v>13.195911764705883</v>
      </c>
      <c r="J21" s="79">
        <f t="shared" si="0"/>
        <v>1.3903677083537773</v>
      </c>
      <c r="K21" s="102">
        <f t="shared" si="2"/>
        <v>37.790599999999984</v>
      </c>
      <c r="L21" s="80">
        <f>+I21-F21</f>
        <v>3.5151417647058825</v>
      </c>
      <c r="M21" s="57"/>
    </row>
    <row r="22" spans="2:13">
      <c r="B22" s="18" t="s">
        <v>14</v>
      </c>
      <c r="C22" s="16"/>
      <c r="D22" s="44">
        <f>+D21/D20*1000</f>
        <v>24.870889757245518</v>
      </c>
      <c r="E22" s="60">
        <f>+E21/E20*1000</f>
        <v>24.87088718814308</v>
      </c>
      <c r="F22" s="60"/>
      <c r="G22" s="104">
        <f>+G21/G20*1000</f>
        <v>29.072916486668621</v>
      </c>
      <c r="H22" s="75">
        <f>+H21/H20*1000</f>
        <v>29.072959686198615</v>
      </c>
      <c r="I22" s="75"/>
      <c r="J22" s="77">
        <f t="shared" si="0"/>
        <v>1.1689536148661086</v>
      </c>
      <c r="K22" s="101">
        <f t="shared" si="2"/>
        <v>4.2020267294231033</v>
      </c>
      <c r="L22" s="83">
        <f>+H22/E22</f>
        <v>1.1689554725678957</v>
      </c>
      <c r="M22" s="84">
        <f>+H22-E22</f>
        <v>4.2020724980555357</v>
      </c>
    </row>
    <row r="23" spans="2:13">
      <c r="B23" s="18" t="s">
        <v>17</v>
      </c>
      <c r="C23" s="16"/>
      <c r="D23" s="46">
        <f>+D20/D19</f>
        <v>9.0430732058639038E-2</v>
      </c>
      <c r="E23" s="46">
        <f>+E20/E19</f>
        <v>9.0430732058639038E-2</v>
      </c>
      <c r="F23" s="61"/>
      <c r="G23" s="105">
        <f>+G20/G19</f>
        <v>9.6839022757697457E-2</v>
      </c>
      <c r="H23" s="46">
        <f>+H20/H19</f>
        <v>9.6839022757697457E-2</v>
      </c>
      <c r="I23" s="76"/>
      <c r="J23" s="77">
        <f t="shared" si="0"/>
        <v>1.0708640807519176</v>
      </c>
      <c r="K23" s="101">
        <f t="shared" si="2"/>
        <v>6.4082906990584193E-3</v>
      </c>
      <c r="L23" s="57"/>
      <c r="M23" s="57"/>
    </row>
    <row r="24" spans="2:13">
      <c r="B24" s="10" t="s">
        <v>24</v>
      </c>
      <c r="C24" s="10"/>
      <c r="D24" s="48">
        <f>+D21*1000/(D19*D22)*100</f>
        <v>9.0430732058639016</v>
      </c>
      <c r="E24" s="48">
        <f>+E21*1000/(E19*E22)*100</f>
        <v>9.0430732058639016</v>
      </c>
      <c r="F24" s="62"/>
      <c r="G24" s="106">
        <f>+G21/(G19*G22)*1000*100</f>
        <v>9.6839022757697464</v>
      </c>
      <c r="H24" s="48">
        <f>+H21*1000/(H19*H22)*100</f>
        <v>9.6839022757697464</v>
      </c>
      <c r="I24" s="62"/>
      <c r="J24" s="77">
        <f t="shared" si="0"/>
        <v>1.0708640807519179</v>
      </c>
      <c r="K24" s="101">
        <f t="shared" si="2"/>
        <v>0.64082906990584476</v>
      </c>
      <c r="L24" s="57"/>
      <c r="M24" s="57"/>
    </row>
    <row r="25" spans="2:13">
      <c r="B25" s="18" t="s">
        <v>34</v>
      </c>
      <c r="C25" s="10"/>
      <c r="D25" s="48">
        <f>+D21/D19*1000</f>
        <v>2.2490927676974191</v>
      </c>
      <c r="E25" s="48">
        <f>+E21/E19*1000</f>
        <v>2.2490925353716049</v>
      </c>
      <c r="F25" s="62"/>
      <c r="G25" s="106">
        <f>+G21/G19*1000</f>
        <v>2.8153928212851405</v>
      </c>
      <c r="H25" s="48">
        <f>+H21/H19*1000</f>
        <v>2.815397004685408</v>
      </c>
      <c r="I25" s="62"/>
      <c r="J25" s="77">
        <f t="shared" si="0"/>
        <v>1.2517904382252267</v>
      </c>
      <c r="K25" s="101">
        <f t="shared" si="2"/>
        <v>0.5663000535877214</v>
      </c>
      <c r="L25" s="57"/>
      <c r="M25" s="57"/>
    </row>
    <row r="26" spans="2:13" ht="7.5" customHeight="1">
      <c r="B26" s="16"/>
      <c r="E26" s="63"/>
      <c r="F26" s="63"/>
      <c r="G26" s="99"/>
      <c r="H26" s="63"/>
      <c r="I26" s="63"/>
      <c r="J26" s="82"/>
      <c r="K26" s="103"/>
      <c r="L26" s="63"/>
      <c r="M26" s="63"/>
    </row>
    <row r="27" spans="2:13">
      <c r="B27" s="20" t="s">
        <v>31</v>
      </c>
      <c r="C27" s="19"/>
      <c r="D27" s="21">
        <f>+D9/(1-D7/(D5+D6))</f>
        <v>6370.448226333011</v>
      </c>
      <c r="E27" s="63"/>
      <c r="F27" s="63"/>
      <c r="G27" s="100">
        <f>+G9/(1-G7/(G5+G6))</f>
        <v>7324.8444246502568</v>
      </c>
      <c r="H27" s="63"/>
      <c r="I27" s="63"/>
      <c r="J27" s="37">
        <f>+G27/D27</f>
        <v>1.1498161768856601</v>
      </c>
      <c r="K27" s="100">
        <f>+G27-D27</f>
        <v>954.39619831724576</v>
      </c>
    </row>
    <row r="28" spans="2:13">
      <c r="B28" s="20"/>
      <c r="C28" s="19"/>
      <c r="D28" s="21"/>
      <c r="E28" s="63"/>
      <c r="F28" s="63"/>
      <c r="G28" s="100"/>
      <c r="H28" s="63"/>
      <c r="I28" s="63"/>
      <c r="J28" s="108"/>
      <c r="K28" s="100"/>
    </row>
    <row r="29" spans="2:13">
      <c r="B29" s="20"/>
      <c r="C29" s="19"/>
      <c r="D29" s="21"/>
      <c r="E29" s="63"/>
      <c r="F29" s="63"/>
      <c r="G29" s="100"/>
      <c r="H29" s="63"/>
      <c r="I29" s="63"/>
      <c r="J29" s="108"/>
      <c r="K29" s="100"/>
    </row>
    <row r="30" spans="2:13">
      <c r="B30" s="40" t="s">
        <v>83</v>
      </c>
      <c r="C30" s="19"/>
      <c r="D30" s="21">
        <f>+(D31*22+D32*370)/1000</f>
        <v>6992.0540000000001</v>
      </c>
      <c r="E30" s="63"/>
      <c r="F30" s="63"/>
      <c r="G30" s="21">
        <f>+(G31*22+G32*370)/1000</f>
        <v>6915.2060000000001</v>
      </c>
      <c r="H30" s="63"/>
      <c r="I30" s="63"/>
      <c r="J30" s="79">
        <f t="shared" ref="J30:J32" si="3">+G30/D30</f>
        <v>0.98900923820096354</v>
      </c>
      <c r="K30" s="100"/>
    </row>
    <row r="31" spans="2:13">
      <c r="B31" s="109" t="s">
        <v>82</v>
      </c>
      <c r="C31" s="110"/>
      <c r="D31" s="111">
        <v>25672</v>
      </c>
      <c r="E31" s="112" t="s">
        <v>85</v>
      </c>
      <c r="F31" s="112"/>
      <c r="G31" s="111">
        <v>30958</v>
      </c>
      <c r="H31" s="112" t="s">
        <v>85</v>
      </c>
      <c r="I31" s="63"/>
      <c r="J31" s="79">
        <f t="shared" si="3"/>
        <v>1.2059052664381427</v>
      </c>
      <c r="K31" s="100"/>
    </row>
    <row r="32" spans="2:13">
      <c r="B32" s="109" t="s">
        <v>84</v>
      </c>
      <c r="C32" s="110"/>
      <c r="D32" s="111">
        <v>17371</v>
      </c>
      <c r="E32" s="112" t="s">
        <v>86</v>
      </c>
      <c r="F32" s="110"/>
      <c r="G32" s="111">
        <v>16849</v>
      </c>
      <c r="H32" s="112" t="s">
        <v>86</v>
      </c>
      <c r="J32" s="79">
        <f t="shared" si="3"/>
        <v>0.96994991652754592</v>
      </c>
    </row>
    <row r="33" spans="2:7">
      <c r="B33" s="40"/>
      <c r="D33" s="39"/>
      <c r="G33" s="39"/>
    </row>
    <row r="34" spans="2:7">
      <c r="B34" s="107" t="s">
        <v>70</v>
      </c>
      <c r="D34" t="s">
        <v>71</v>
      </c>
      <c r="G34" s="12"/>
    </row>
    <row r="35" spans="2:7">
      <c r="B35" s="107" t="s">
        <v>72</v>
      </c>
      <c r="D35" t="s">
        <v>81</v>
      </c>
      <c r="G35" s="12"/>
    </row>
    <row r="36" spans="2:7">
      <c r="B36" s="107" t="s">
        <v>73</v>
      </c>
      <c r="D36" t="s">
        <v>79</v>
      </c>
      <c r="G36" s="12"/>
    </row>
    <row r="37" spans="2:7">
      <c r="B37" s="107" t="s">
        <v>75</v>
      </c>
      <c r="D37" t="s">
        <v>74</v>
      </c>
      <c r="G37" s="12"/>
    </row>
    <row r="38" spans="2:7">
      <c r="B38" s="107" t="s">
        <v>76</v>
      </c>
      <c r="D38" t="s">
        <v>77</v>
      </c>
      <c r="G38" s="12"/>
    </row>
    <row r="39" spans="2:7">
      <c r="B39" s="107" t="s">
        <v>80</v>
      </c>
      <c r="D39" t="s">
        <v>78</v>
      </c>
      <c r="G39" s="12"/>
    </row>
    <row r="40" spans="2:7">
      <c r="G40" s="12"/>
    </row>
    <row r="41" spans="2:7">
      <c r="G41" s="12"/>
    </row>
    <row r="42" spans="2:7">
      <c r="G42" s="12"/>
    </row>
    <row r="43" spans="2:7">
      <c r="G43" s="12"/>
    </row>
    <row r="44" spans="2:7">
      <c r="G44" s="12"/>
    </row>
    <row r="45" spans="2:7">
      <c r="G45" s="12"/>
    </row>
    <row r="46" spans="2:7">
      <c r="G46" s="12"/>
    </row>
    <row r="47" spans="2:7">
      <c r="G47" s="12"/>
    </row>
    <row r="48" spans="2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  <row r="79" spans="7:7">
      <c r="G79" s="12"/>
    </row>
    <row r="80" spans="7:7">
      <c r="G80" s="12"/>
    </row>
    <row r="81" spans="7:7">
      <c r="G81" s="12"/>
    </row>
    <row r="82" spans="7:7">
      <c r="G82" s="12"/>
    </row>
    <row r="83" spans="7:7">
      <c r="G83" s="12"/>
    </row>
    <row r="84" spans="7:7">
      <c r="G84" s="12"/>
    </row>
  </sheetData>
  <pageMargins left="0.18" right="0.17" top="0.28999999999999998" bottom="0.31" header="0.1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30</v>
      </c>
      <c r="D2" s="3" t="s">
        <v>2</v>
      </c>
      <c r="E2" s="5" t="s">
        <v>19</v>
      </c>
      <c r="F2" s="52" t="s">
        <v>32</v>
      </c>
      <c r="G2" s="3" t="s">
        <v>2</v>
      </c>
      <c r="H2" s="5" t="s">
        <v>19</v>
      </c>
      <c r="I2" s="52" t="s">
        <v>32</v>
      </c>
      <c r="J2" s="26" t="s">
        <v>25</v>
      </c>
      <c r="K2" s="1" t="s">
        <v>26</v>
      </c>
      <c r="L2" s="88" t="s">
        <v>35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46</v>
      </c>
      <c r="E3" s="23" t="s">
        <v>20</v>
      </c>
      <c r="F3" s="3" t="s">
        <v>33</v>
      </c>
      <c r="G3" s="4" t="s">
        <v>60</v>
      </c>
      <c r="H3" s="6" t="s">
        <v>20</v>
      </c>
      <c r="I3" s="3" t="s">
        <v>33</v>
      </c>
      <c r="J3" s="27" t="s">
        <v>54</v>
      </c>
      <c r="K3" s="24" t="s">
        <v>55</v>
      </c>
      <c r="L3" s="24" t="s">
        <v>55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21</v>
      </c>
      <c r="E4" s="3" t="s">
        <v>22</v>
      </c>
      <c r="F4" s="3">
        <f>+'2016'!R4</f>
        <v>9</v>
      </c>
      <c r="G4" s="22" t="s">
        <v>21</v>
      </c>
      <c r="H4" s="3" t="s">
        <v>22</v>
      </c>
      <c r="I4" s="3">
        <f>+'2017'!R4</f>
        <v>10</v>
      </c>
      <c r="J4" s="25"/>
    </row>
    <row r="5" spans="2:21">
      <c r="B5" s="10" t="s">
        <v>3</v>
      </c>
      <c r="C5" s="16"/>
      <c r="D5" s="8">
        <f>+'2016'!P5</f>
        <v>1300.498</v>
      </c>
      <c r="E5" s="54">
        <f>+D5/$D$5</f>
        <v>1</v>
      </c>
      <c r="F5" s="85">
        <f>+D5/F4</f>
        <v>144.49977777777778</v>
      </c>
      <c r="G5" s="13">
        <f>+'2017'!P5</f>
        <v>1331.115</v>
      </c>
      <c r="H5" s="54">
        <f>+G5/$G$5</f>
        <v>1</v>
      </c>
      <c r="I5" s="85">
        <f>+G5/I4</f>
        <v>133.11150000000001</v>
      </c>
      <c r="J5" s="77">
        <f t="shared" ref="J5:J24" si="0">+G5/D5</f>
        <v>1.0235425198654668</v>
      </c>
      <c r="K5" s="78">
        <f>+G5-D5</f>
        <v>30.616999999999962</v>
      </c>
      <c r="L5" s="78">
        <f>+I5-F5</f>
        <v>-11.388277777777773</v>
      </c>
      <c r="M5" s="57"/>
    </row>
    <row r="6" spans="2:21">
      <c r="B6" s="7" t="s">
        <v>4</v>
      </c>
      <c r="C6" s="16"/>
      <c r="D6" s="11">
        <f>+'2016'!P6</f>
        <v>38.103299999999997</v>
      </c>
      <c r="E6" s="55">
        <f>+D6/$D$5</f>
        <v>2.9299006995781612E-2</v>
      </c>
      <c r="F6" s="67">
        <f>+D6/F4</f>
        <v>4.2336999999999998</v>
      </c>
      <c r="G6" s="14">
        <f>+'2017'!P6</f>
        <v>92.659000000000006</v>
      </c>
      <c r="H6" s="55">
        <f>+G6/$G$5</f>
        <v>6.9610063743553344E-2</v>
      </c>
      <c r="I6" s="67">
        <f>+G6/I4</f>
        <v>9.2659000000000002</v>
      </c>
      <c r="J6" s="79">
        <f t="shared" si="0"/>
        <v>2.4317841236848254</v>
      </c>
      <c r="K6" s="80">
        <f>+G6-D6</f>
        <v>54.555700000000009</v>
      </c>
      <c r="L6" s="80">
        <f>+I6-F6</f>
        <v>5.0322000000000005</v>
      </c>
      <c r="M6" s="57"/>
    </row>
    <row r="7" spans="2:21">
      <c r="B7" s="10" t="s">
        <v>6</v>
      </c>
      <c r="C7" s="16"/>
      <c r="D7" s="9">
        <f>+'2016'!P7</f>
        <v>1262.3947000000001</v>
      </c>
      <c r="E7" s="56">
        <f>+D7/$D$5</f>
        <v>0.97070099300421842</v>
      </c>
      <c r="F7" s="87">
        <f>+F5-F6</f>
        <v>140.26607777777778</v>
      </c>
      <c r="G7" s="8">
        <f>+'2017'!P7</f>
        <v>1238.4559999999999</v>
      </c>
      <c r="H7" s="56">
        <f>+G7/$G$5</f>
        <v>0.93038993625644661</v>
      </c>
      <c r="I7" s="87">
        <f>+I5-I6</f>
        <v>123.8456</v>
      </c>
      <c r="J7" s="81">
        <f t="shared" si="0"/>
        <v>0.98103707184448719</v>
      </c>
      <c r="K7" s="78">
        <f>+G7-D7</f>
        <v>-23.938700000000154</v>
      </c>
      <c r="L7" s="78">
        <f>+I7-F7</f>
        <v>-16.420477777777776</v>
      </c>
      <c r="M7" s="57"/>
    </row>
    <row r="8" spans="2:21">
      <c r="B8" s="7" t="s">
        <v>5</v>
      </c>
      <c r="C8" s="16"/>
      <c r="D8" s="11">
        <f>+'2016'!P8</f>
        <v>1209.7197000000001</v>
      </c>
      <c r="E8" s="55">
        <f>+D8/$D$5</f>
        <v>0.93019727827339993</v>
      </c>
      <c r="F8" s="67">
        <f>+D8/F4</f>
        <v>134.41330000000002</v>
      </c>
      <c r="G8" s="14">
        <f>+'2017'!P8</f>
        <v>1399.9649999999997</v>
      </c>
      <c r="H8" s="55">
        <f>+G8/$G$5</f>
        <v>1.0517235550647388</v>
      </c>
      <c r="I8" s="67">
        <f>+G8/I4</f>
        <v>139.99649999999997</v>
      </c>
      <c r="J8" s="79">
        <f t="shared" si="0"/>
        <v>1.1572639513103735</v>
      </c>
      <c r="K8" s="80">
        <f>+G8-D8</f>
        <v>190.24529999999959</v>
      </c>
      <c r="L8" s="80">
        <f>+I8-F8</f>
        <v>5.5831999999999482</v>
      </c>
      <c r="M8" s="57"/>
    </row>
    <row r="9" spans="2:21">
      <c r="B9" s="18" t="s">
        <v>9</v>
      </c>
      <c r="C9" s="16"/>
      <c r="D9" s="15">
        <f>+D5-D6-D8</f>
        <v>52.674999999999955</v>
      </c>
      <c r="E9" s="54">
        <f>+D9/$D$5</f>
        <v>4.0503714730818464E-2</v>
      </c>
      <c r="F9" s="15">
        <f>+F5-F6-F8</f>
        <v>5.8527777777777601</v>
      </c>
      <c r="G9" s="15">
        <f>+'2017'!P9</f>
        <v>-161.50899999999979</v>
      </c>
      <c r="H9" s="54">
        <f>+G9/$G$5</f>
        <v>-0.12133361880829213</v>
      </c>
      <c r="I9" s="15">
        <f>+I5-I6-I8</f>
        <v>-16.150899999999965</v>
      </c>
      <c r="J9" s="81">
        <f t="shared" si="0"/>
        <v>-3.0661414333175117</v>
      </c>
      <c r="K9" s="78">
        <f>+G9-D9</f>
        <v>-214.18399999999974</v>
      </c>
      <c r="L9" s="78">
        <f>+I9-F9</f>
        <v>-22.003677777777725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13</v>
      </c>
      <c r="C11" s="16"/>
      <c r="D11" s="32">
        <f>+'2016'!P11</f>
        <v>28</v>
      </c>
      <c r="E11" s="57"/>
      <c r="F11" s="67">
        <f>+D11/F4</f>
        <v>3.1111111111111112</v>
      </c>
      <c r="G11" s="28">
        <f>+'2017'!P11</f>
        <v>30</v>
      </c>
      <c r="H11" s="57"/>
      <c r="I11" s="67">
        <f>+G11/I4</f>
        <v>3</v>
      </c>
      <c r="J11" s="79">
        <f t="shared" si="0"/>
        <v>1.0714285714285714</v>
      </c>
      <c r="K11" s="80">
        <f t="shared" ref="K11:K16" si="1">+G11-D11</f>
        <v>2</v>
      </c>
      <c r="L11" s="80">
        <f>+I11-F11</f>
        <v>-0.11111111111111116</v>
      </c>
      <c r="M11" s="57"/>
    </row>
    <row r="12" spans="2:21">
      <c r="B12" s="17" t="s">
        <v>10</v>
      </c>
      <c r="C12" s="16"/>
      <c r="D12" s="32">
        <f>+'2016'!P12</f>
        <v>1028.713</v>
      </c>
      <c r="E12" s="57"/>
      <c r="F12" s="67">
        <f>+D12/F4</f>
        <v>114.30144444444444</v>
      </c>
      <c r="G12" s="14">
        <f>+'2017'!P12</f>
        <v>1179.5619999999999</v>
      </c>
      <c r="H12" s="57"/>
      <c r="I12" s="67">
        <f>+G12/I4</f>
        <v>117.9562</v>
      </c>
      <c r="J12" s="79">
        <f t="shared" si="0"/>
        <v>1.1466385668305932</v>
      </c>
      <c r="K12" s="80">
        <f t="shared" si="1"/>
        <v>150.84899999999993</v>
      </c>
      <c r="L12" s="80">
        <f>+I12-F12</f>
        <v>3.6547555555555533</v>
      </c>
      <c r="M12" s="57"/>
    </row>
    <row r="13" spans="2:21">
      <c r="B13" s="18" t="s">
        <v>15</v>
      </c>
      <c r="C13" s="16"/>
      <c r="D13" s="33">
        <f>+D12/D5</f>
        <v>0.7910146728407117</v>
      </c>
      <c r="E13" s="57"/>
      <c r="F13" s="33"/>
      <c r="G13" s="33">
        <f>+G12/G5</f>
        <v>0.88614582511653761</v>
      </c>
      <c r="H13" s="57"/>
      <c r="I13" s="33"/>
      <c r="J13" s="77">
        <f t="shared" si="0"/>
        <v>1.1202647125800949</v>
      </c>
      <c r="K13" s="54">
        <f t="shared" si="1"/>
        <v>9.5131152275825914E-2</v>
      </c>
      <c r="L13" s="57"/>
      <c r="M13" s="57"/>
    </row>
    <row r="14" spans="2:21">
      <c r="B14" s="18" t="s">
        <v>11</v>
      </c>
      <c r="C14" s="16"/>
      <c r="D14" s="8">
        <f>+D5/D11</f>
        <v>46.446357142857146</v>
      </c>
      <c r="E14" s="57"/>
      <c r="F14" s="8"/>
      <c r="G14" s="8">
        <f>+G5/G11</f>
        <v>44.3705</v>
      </c>
      <c r="H14" s="57"/>
      <c r="I14" s="8"/>
      <c r="J14" s="77">
        <f t="shared" si="0"/>
        <v>0.95530635187443569</v>
      </c>
      <c r="K14" s="78">
        <f t="shared" si="1"/>
        <v>-2.0758571428571457</v>
      </c>
      <c r="L14" s="57"/>
      <c r="M14" s="57"/>
    </row>
    <row r="15" spans="2:21">
      <c r="B15" s="10" t="s">
        <v>29</v>
      </c>
      <c r="C15" s="16"/>
      <c r="D15" s="8">
        <f>+D12/D11</f>
        <v>36.739750000000001</v>
      </c>
      <c r="E15" s="57"/>
      <c r="F15" s="8"/>
      <c r="G15" s="8">
        <f>+G12/G11</f>
        <v>39.318733333333327</v>
      </c>
      <c r="H15" s="57"/>
      <c r="I15" s="8"/>
      <c r="J15" s="77">
        <f t="shared" si="0"/>
        <v>1.0701959957085534</v>
      </c>
      <c r="K15" s="78">
        <f t="shared" si="1"/>
        <v>2.5789833333333263</v>
      </c>
      <c r="L15" s="57"/>
      <c r="M15" s="57"/>
    </row>
    <row r="16" spans="2:21">
      <c r="B16" s="18" t="s">
        <v>16</v>
      </c>
      <c r="C16" s="16"/>
      <c r="D16" s="33">
        <f>+D12/D7</f>
        <v>0.81489014489683764</v>
      </c>
      <c r="E16" s="57"/>
      <c r="F16" s="33"/>
      <c r="G16" s="33">
        <f>+G12/G7</f>
        <v>0.95244562584379255</v>
      </c>
      <c r="H16" s="57"/>
      <c r="I16" s="33"/>
      <c r="J16" s="77">
        <f t="shared" si="0"/>
        <v>1.1688024843696803</v>
      </c>
      <c r="K16" s="54">
        <f t="shared" si="1"/>
        <v>0.13755548094695491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18</v>
      </c>
      <c r="C18" s="16"/>
      <c r="D18" s="11">
        <f>+'2016'!P18</f>
        <v>8323</v>
      </c>
      <c r="E18" s="58">
        <f>+'2016'!Q18</f>
        <v>8323</v>
      </c>
      <c r="F18" s="67">
        <f>+D18/F4</f>
        <v>924.77777777777783</v>
      </c>
      <c r="G18" s="14">
        <f>+'2017'!P18</f>
        <v>10406</v>
      </c>
      <c r="H18" s="67">
        <f>+'2017'!Q18</f>
        <v>10406</v>
      </c>
      <c r="I18" s="67">
        <f>+G18/I4</f>
        <v>1040.5999999999999</v>
      </c>
      <c r="J18" s="79">
        <f t="shared" si="0"/>
        <v>1.2502703352156674</v>
      </c>
      <c r="K18" s="80">
        <f t="shared" ref="K18:K24" si="2">+G18-D18</f>
        <v>2083</v>
      </c>
      <c r="L18" s="80">
        <f>+I18-F18</f>
        <v>115.82222222222208</v>
      </c>
      <c r="M18" s="57"/>
    </row>
    <row r="19" spans="2:13">
      <c r="B19" s="17" t="s">
        <v>12</v>
      </c>
      <c r="C19" s="16"/>
      <c r="D19" s="11">
        <f>+'2016'!P19</f>
        <v>692.08</v>
      </c>
      <c r="E19" s="58">
        <f>+'2016'!Q19</f>
        <v>692.08</v>
      </c>
      <c r="F19" s="67">
        <f>+D19/F4</f>
        <v>76.897777777777776</v>
      </c>
      <c r="G19" s="14">
        <f>+'2017'!P19</f>
        <v>808.51</v>
      </c>
      <c r="H19" s="67">
        <f>+'2017'!Q19</f>
        <v>808.51</v>
      </c>
      <c r="I19" s="67">
        <f>+G19/I4</f>
        <v>80.850999999999999</v>
      </c>
      <c r="J19" s="79">
        <f t="shared" si="0"/>
        <v>1.1682319963010055</v>
      </c>
      <c r="K19" s="80">
        <f t="shared" si="2"/>
        <v>116.42999999999995</v>
      </c>
      <c r="L19" s="80">
        <f>+I19-F19</f>
        <v>3.9532222222222231</v>
      </c>
      <c r="M19" s="57"/>
    </row>
    <row r="20" spans="2:13">
      <c r="B20" s="17" t="s">
        <v>23</v>
      </c>
      <c r="C20" s="16"/>
      <c r="D20" s="11">
        <f>+'2016'!P20</f>
        <v>18.3963</v>
      </c>
      <c r="E20" s="58">
        <f>+'2016'!Q20</f>
        <v>18.39629</v>
      </c>
      <c r="F20" s="67">
        <f>+D20/F4</f>
        <v>2.0440333333333331</v>
      </c>
      <c r="G20" s="14">
        <f>+'2017'!P20</f>
        <v>23.116700000000002</v>
      </c>
      <c r="H20" s="67">
        <f>+'2017'!Q20</f>
        <v>23.11674</v>
      </c>
      <c r="I20" s="67">
        <f>+G20/I4</f>
        <v>2.3116700000000003</v>
      </c>
      <c r="J20" s="79">
        <f t="shared" si="0"/>
        <v>1.2565950761837978</v>
      </c>
      <c r="K20" s="80">
        <f t="shared" si="2"/>
        <v>4.7204000000000015</v>
      </c>
      <c r="L20" s="80">
        <f>+I20-F20</f>
        <v>0.26763666666666719</v>
      </c>
      <c r="M20" s="57"/>
    </row>
    <row r="21" spans="2:13">
      <c r="B21" s="18" t="s">
        <v>14</v>
      </c>
      <c r="C21" s="16"/>
      <c r="D21" s="44">
        <f>+D20/D19*1000</f>
        <v>26.581175586637382</v>
      </c>
      <c r="E21" s="60">
        <f>+E20/E19*1000</f>
        <v>26.581161137440755</v>
      </c>
      <c r="F21" s="60"/>
      <c r="G21" s="44">
        <f>+G20/G19*1000</f>
        <v>28.591730467155632</v>
      </c>
      <c r="H21" s="75">
        <f>+H20/H19*1000</f>
        <v>28.591779940878901</v>
      </c>
      <c r="I21" s="60"/>
      <c r="J21" s="77">
        <f t="shared" si="0"/>
        <v>1.075638298011506</v>
      </c>
      <c r="K21" s="78">
        <f t="shared" si="2"/>
        <v>2.0105548805182494</v>
      </c>
      <c r="L21" s="83">
        <f>+H21/E21</f>
        <v>1.0756407439480173</v>
      </c>
      <c r="M21" s="84">
        <f>+H21-E21</f>
        <v>2.0106188034381454</v>
      </c>
    </row>
    <row r="22" spans="2:13">
      <c r="B22" s="18" t="s">
        <v>17</v>
      </c>
      <c r="C22" s="16"/>
      <c r="D22" s="46">
        <f>+D19/D18</f>
        <v>8.315270935960592E-2</v>
      </c>
      <c r="E22" s="46">
        <f>+E19/E18</f>
        <v>8.315270935960592E-2</v>
      </c>
      <c r="F22" s="61"/>
      <c r="G22" s="53">
        <f>+G19/G18</f>
        <v>7.7696521237747451E-2</v>
      </c>
      <c r="H22" s="46">
        <f>+H19/H18</f>
        <v>7.7696521237747451E-2</v>
      </c>
      <c r="I22" s="61"/>
      <c r="J22" s="77">
        <f t="shared" si="0"/>
        <v>0.93438351962456934</v>
      </c>
      <c r="K22" s="78">
        <f t="shared" si="2"/>
        <v>-5.4561881218584685E-3</v>
      </c>
      <c r="L22" s="57"/>
      <c r="M22" s="57"/>
    </row>
    <row r="23" spans="2:13">
      <c r="B23" s="10" t="s">
        <v>24</v>
      </c>
      <c r="C23" s="10"/>
      <c r="D23" s="48">
        <f>+D20*1000/(D18*D21)*100</f>
        <v>8.3152709359605907</v>
      </c>
      <c r="E23" s="48">
        <f>+E20*1000/(E18*E21)*100</f>
        <v>8.3152709359605925</v>
      </c>
      <c r="F23" s="62"/>
      <c r="G23" s="48">
        <f>+G20/(G18*G21)*1000*100</f>
        <v>7.7696521237747467</v>
      </c>
      <c r="H23" s="48">
        <f>+H20*1000/(H18*H21)*100</f>
        <v>7.7696521237747449</v>
      </c>
      <c r="I23" s="62"/>
      <c r="J23" s="77">
        <f t="shared" si="0"/>
        <v>0.93438351962456967</v>
      </c>
      <c r="K23" s="78">
        <f t="shared" si="2"/>
        <v>-0.54561881218584407</v>
      </c>
      <c r="L23" s="57"/>
      <c r="M23" s="57"/>
    </row>
    <row r="24" spans="2:13">
      <c r="B24" s="18" t="s">
        <v>34</v>
      </c>
      <c r="C24" s="10"/>
      <c r="D24" s="48">
        <f>+D20/D18*1000</f>
        <v>2.2102967679923102</v>
      </c>
      <c r="E24" s="48">
        <f>+E20/E18*1000</f>
        <v>2.2102955665024631</v>
      </c>
      <c r="F24" s="62"/>
      <c r="G24" s="48">
        <f>+G20/G18*1000</f>
        <v>2.2214779934653088</v>
      </c>
      <c r="H24" s="48">
        <f>+H20/H18*1000</f>
        <v>2.2214818374014991</v>
      </c>
      <c r="I24" s="62"/>
      <c r="J24" s="77">
        <f t="shared" si="0"/>
        <v>1.0050586987389729</v>
      </c>
      <c r="K24" s="78">
        <f t="shared" si="2"/>
        <v>1.1181225472998602E-2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31</v>
      </c>
      <c r="C26" s="40"/>
      <c r="D26" s="21">
        <f>+D8/(1-D6/D5)</f>
        <v>1246.233092083324</v>
      </c>
      <c r="E26" s="57"/>
      <c r="F26" s="57"/>
      <c r="G26" s="21">
        <f>+G8/(1-G6/G5)</f>
        <v>1504.7078063128604</v>
      </c>
      <c r="H26" s="57"/>
      <c r="I26" s="57"/>
      <c r="J26" s="37">
        <f>+G26/D26</f>
        <v>1.2074047911835217</v>
      </c>
      <c r="K26" s="21">
        <f>+G26-D26</f>
        <v>258.4747142295364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X8" sqref="AX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6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30</v>
      </c>
      <c r="C2" s="50"/>
      <c r="D2" s="34" t="s">
        <v>2</v>
      </c>
      <c r="E2" s="52" t="s">
        <v>19</v>
      </c>
      <c r="F2" s="52" t="s">
        <v>32</v>
      </c>
      <c r="G2" s="34" t="s">
        <v>2</v>
      </c>
      <c r="H2" s="52" t="s">
        <v>19</v>
      </c>
      <c r="I2" s="52" t="s">
        <v>32</v>
      </c>
      <c r="J2" s="34" t="s">
        <v>2</v>
      </c>
      <c r="K2" s="52" t="s">
        <v>19</v>
      </c>
      <c r="L2" s="52" t="s">
        <v>32</v>
      </c>
      <c r="M2" s="34" t="s">
        <v>2</v>
      </c>
      <c r="N2" s="52" t="s">
        <v>19</v>
      </c>
      <c r="O2" s="52" t="s">
        <v>32</v>
      </c>
      <c r="P2" s="34" t="s">
        <v>2</v>
      </c>
      <c r="Q2" s="52" t="s">
        <v>19</v>
      </c>
      <c r="R2" s="52" t="s">
        <v>32</v>
      </c>
      <c r="S2" s="34" t="s">
        <v>2</v>
      </c>
      <c r="T2" s="52" t="s">
        <v>19</v>
      </c>
      <c r="U2" s="52" t="s">
        <v>32</v>
      </c>
      <c r="V2" s="34" t="s">
        <v>2</v>
      </c>
      <c r="W2" s="72" t="s">
        <v>19</v>
      </c>
      <c r="X2" s="52" t="s">
        <v>32</v>
      </c>
      <c r="Y2" s="34" t="s">
        <v>2</v>
      </c>
      <c r="Z2" s="72" t="s">
        <v>19</v>
      </c>
      <c r="AA2" s="52" t="s">
        <v>32</v>
      </c>
      <c r="AB2" s="3" t="s">
        <v>2</v>
      </c>
      <c r="AC2" s="72" t="s">
        <v>19</v>
      </c>
      <c r="AD2" s="52" t="s">
        <v>32</v>
      </c>
      <c r="AE2" s="3" t="s">
        <v>2</v>
      </c>
      <c r="AF2" s="72" t="s">
        <v>19</v>
      </c>
      <c r="AG2" s="52" t="s">
        <v>32</v>
      </c>
      <c r="AH2" s="3" t="s">
        <v>2</v>
      </c>
      <c r="AI2" s="72" t="s">
        <v>19</v>
      </c>
      <c r="AJ2" s="52" t="s">
        <v>32</v>
      </c>
      <c r="AK2" s="3" t="s">
        <v>2</v>
      </c>
      <c r="AL2" s="72" t="s">
        <v>19</v>
      </c>
      <c r="AM2" s="52" t="s">
        <v>32</v>
      </c>
      <c r="AN2" s="50"/>
      <c r="AO2" s="50"/>
      <c r="AP2" s="3" t="s">
        <v>2</v>
      </c>
      <c r="AQ2" s="52" t="s">
        <v>19</v>
      </c>
      <c r="AR2" s="52" t="s">
        <v>32</v>
      </c>
      <c r="AS2" s="42" t="s">
        <v>8</v>
      </c>
      <c r="AT2" s="50"/>
      <c r="AU2" s="52" t="s">
        <v>32</v>
      </c>
    </row>
    <row r="3" spans="2:47">
      <c r="B3" s="42" t="s">
        <v>1</v>
      </c>
      <c r="C3" s="50"/>
      <c r="D3" s="89" t="s">
        <v>42</v>
      </c>
      <c r="E3" s="23" t="s">
        <v>20</v>
      </c>
      <c r="F3" s="3" t="s">
        <v>33</v>
      </c>
      <c r="G3" s="89" t="s">
        <v>43</v>
      </c>
      <c r="H3" s="23" t="s">
        <v>20</v>
      </c>
      <c r="I3" s="3" t="s">
        <v>33</v>
      </c>
      <c r="J3" s="89" t="s">
        <v>44</v>
      </c>
      <c r="K3" s="23" t="s">
        <v>20</v>
      </c>
      <c r="L3" s="3" t="s">
        <v>33</v>
      </c>
      <c r="M3" s="89" t="s">
        <v>45</v>
      </c>
      <c r="N3" s="23" t="s">
        <v>20</v>
      </c>
      <c r="O3" s="3" t="s">
        <v>33</v>
      </c>
      <c r="P3" s="89" t="s">
        <v>46</v>
      </c>
      <c r="Q3" s="23" t="s">
        <v>20</v>
      </c>
      <c r="R3" s="3" t="s">
        <v>33</v>
      </c>
      <c r="S3" s="89" t="s">
        <v>47</v>
      </c>
      <c r="T3" s="23" t="s">
        <v>20</v>
      </c>
      <c r="U3" s="3" t="s">
        <v>33</v>
      </c>
      <c r="V3" s="89" t="s">
        <v>48</v>
      </c>
      <c r="W3" s="73" t="s">
        <v>20</v>
      </c>
      <c r="X3" s="3" t="s">
        <v>33</v>
      </c>
      <c r="Y3" s="89" t="s">
        <v>49</v>
      </c>
      <c r="Z3" s="73" t="s">
        <v>20</v>
      </c>
      <c r="AA3" s="3" t="s">
        <v>33</v>
      </c>
      <c r="AB3" s="4" t="s">
        <v>50</v>
      </c>
      <c r="AC3" s="73" t="s">
        <v>20</v>
      </c>
      <c r="AD3" s="3" t="s">
        <v>33</v>
      </c>
      <c r="AE3" s="4" t="s">
        <v>51</v>
      </c>
      <c r="AF3" s="73" t="s">
        <v>20</v>
      </c>
      <c r="AG3" s="3" t="s">
        <v>33</v>
      </c>
      <c r="AH3" s="4" t="s">
        <v>52</v>
      </c>
      <c r="AI3" s="73" t="s">
        <v>20</v>
      </c>
      <c r="AJ3" s="3" t="s">
        <v>33</v>
      </c>
      <c r="AK3" s="4" t="s">
        <v>53</v>
      </c>
      <c r="AL3" s="73" t="s">
        <v>20</v>
      </c>
      <c r="AM3" s="3" t="s">
        <v>33</v>
      </c>
      <c r="AN3" s="50"/>
      <c r="AO3" s="50"/>
      <c r="AP3" s="4" t="s">
        <v>7</v>
      </c>
      <c r="AQ3" s="23" t="s">
        <v>20</v>
      </c>
      <c r="AR3" s="3" t="s">
        <v>33</v>
      </c>
      <c r="AS3" s="42" t="s">
        <v>27</v>
      </c>
      <c r="AT3" s="23" t="s">
        <v>20</v>
      </c>
      <c r="AU3" s="3" t="s">
        <v>33</v>
      </c>
    </row>
    <row r="4" spans="2:47">
      <c r="B4" s="43">
        <v>9402</v>
      </c>
      <c r="C4" s="50"/>
      <c r="D4" s="42"/>
      <c r="E4" s="3" t="s">
        <v>22</v>
      </c>
      <c r="F4" s="3">
        <v>9</v>
      </c>
      <c r="G4" s="42"/>
      <c r="H4" s="3" t="s">
        <v>22</v>
      </c>
      <c r="I4" s="3">
        <v>9</v>
      </c>
      <c r="J4" s="42"/>
      <c r="K4" s="3" t="s">
        <v>22</v>
      </c>
      <c r="L4" s="3">
        <v>9</v>
      </c>
      <c r="M4" s="42"/>
      <c r="N4" s="3" t="s">
        <v>22</v>
      </c>
      <c r="O4" s="3">
        <v>9</v>
      </c>
      <c r="P4" s="42"/>
      <c r="Q4" s="3" t="s">
        <v>22</v>
      </c>
      <c r="R4" s="3">
        <v>9</v>
      </c>
      <c r="S4" s="42"/>
      <c r="T4" s="3" t="s">
        <v>22</v>
      </c>
      <c r="U4" s="3">
        <v>0</v>
      </c>
      <c r="V4" s="90"/>
      <c r="W4" s="34" t="s">
        <v>22</v>
      </c>
      <c r="X4" s="3">
        <v>0</v>
      </c>
      <c r="Y4" s="90"/>
      <c r="Z4" s="34" t="s">
        <v>22</v>
      </c>
      <c r="AA4" s="3">
        <v>0</v>
      </c>
      <c r="AB4" s="50"/>
      <c r="AC4" s="34" t="s">
        <v>22</v>
      </c>
      <c r="AD4" s="3">
        <v>0</v>
      </c>
      <c r="AE4" s="50"/>
      <c r="AF4" s="34" t="s">
        <v>22</v>
      </c>
      <c r="AG4" s="3">
        <v>0</v>
      </c>
      <c r="AH4" s="50"/>
      <c r="AI4" s="34" t="s">
        <v>22</v>
      </c>
      <c r="AJ4" s="3">
        <v>0</v>
      </c>
      <c r="AK4" s="50"/>
      <c r="AL4" s="34" t="s">
        <v>22</v>
      </c>
      <c r="AM4" s="3">
        <v>0</v>
      </c>
      <c r="AN4" s="50"/>
      <c r="AO4" s="50"/>
      <c r="AP4" s="50"/>
      <c r="AQ4" s="3" t="s">
        <v>22</v>
      </c>
      <c r="AR4" s="3">
        <f>+(+AD4+AG4+AJ4+AM4+AA4+X4+U4+R4+O4+L4+I4+F4)/AS4</f>
        <v>9</v>
      </c>
      <c r="AS4" s="42">
        <v>5</v>
      </c>
      <c r="AT4" s="3" t="s">
        <v>22</v>
      </c>
      <c r="AU4" s="3">
        <f>+AR4</f>
        <v>9</v>
      </c>
    </row>
    <row r="5" spans="2:47">
      <c r="B5" s="10" t="s">
        <v>3</v>
      </c>
      <c r="C5" s="16"/>
      <c r="D5" s="9">
        <f>2.386+1297.268</f>
        <v>1299.654</v>
      </c>
      <c r="E5" s="54">
        <f>+D5/D5</f>
        <v>1</v>
      </c>
      <c r="F5" s="85">
        <f>+D5/F4</f>
        <v>144.40600000000001</v>
      </c>
      <c r="G5" s="9">
        <v>1255.896</v>
      </c>
      <c r="H5" s="54">
        <f>+G5/G5</f>
        <v>1</v>
      </c>
      <c r="I5" s="85">
        <f>+G5/I4</f>
        <v>139.54399999999998</v>
      </c>
      <c r="J5" s="9">
        <v>1320.922</v>
      </c>
      <c r="K5" s="54">
        <f>+J5/J5</f>
        <v>1</v>
      </c>
      <c r="L5" s="85">
        <f>+J5/L4</f>
        <v>146.7691111111111</v>
      </c>
      <c r="M5" s="9">
        <f>15.455+1312.68</f>
        <v>1328.135</v>
      </c>
      <c r="N5" s="54">
        <f>+M5/M5</f>
        <v>1</v>
      </c>
      <c r="O5" s="85">
        <f>+M5/O4</f>
        <v>147.57055555555556</v>
      </c>
      <c r="P5" s="9">
        <v>1300.498</v>
      </c>
      <c r="Q5" s="54">
        <f>+P5/P5</f>
        <v>1</v>
      </c>
      <c r="R5" s="85">
        <f>+P5/R4</f>
        <v>144.49977777777778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>
        <f>+AB5/$J$5</f>
        <v>0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6505.1049999999996</v>
      </c>
      <c r="AQ5" s="64">
        <f>+AP5/$AP$5</f>
        <v>1</v>
      </c>
      <c r="AR5" s="85">
        <f>+AP5/AR4</f>
        <v>722.78944444444437</v>
      </c>
      <c r="AS5" s="30">
        <f>+AP5/$AS$4</f>
        <v>1301.021</v>
      </c>
      <c r="AT5" s="57"/>
      <c r="AU5" s="85">
        <f>+AS5/AU4</f>
        <v>144.5578888888889</v>
      </c>
    </row>
    <row r="6" spans="2:47">
      <c r="B6" s="7" t="s">
        <v>4</v>
      </c>
      <c r="C6" s="16"/>
      <c r="D6" s="11">
        <f>5.2372+14.4223+27.68</f>
        <v>47.339500000000001</v>
      </c>
      <c r="E6" s="55">
        <f>+D6/D5</f>
        <v>3.6424694572555469E-2</v>
      </c>
      <c r="F6" s="86">
        <f>+D6/F4</f>
        <v>5.2599444444444448</v>
      </c>
      <c r="G6" s="11">
        <f>4.0699+13.2756+8.52093+19.472</f>
        <v>45.338430000000002</v>
      </c>
      <c r="H6" s="55">
        <f>+G6/G5</f>
        <v>3.6100465325154318E-2</v>
      </c>
      <c r="I6" s="86">
        <f>+G6/I4</f>
        <v>5.0376033333333332</v>
      </c>
      <c r="J6" s="11">
        <f>5.035+18.6766+48.564</f>
        <v>72.275599999999997</v>
      </c>
      <c r="K6" s="55">
        <f>+J6/J5</f>
        <v>5.471602411043195E-2</v>
      </c>
      <c r="L6" s="86">
        <f>+J6/L4</f>
        <v>8.0306222222222221</v>
      </c>
      <c r="M6" s="11">
        <f>3.6037+14.0911+8.63556+84.194</f>
        <v>110.52436</v>
      </c>
      <c r="N6" s="55">
        <f>+M6/M5</f>
        <v>8.3217715066615974E-2</v>
      </c>
      <c r="O6" s="86">
        <f>+M6/O4</f>
        <v>12.280484444444445</v>
      </c>
      <c r="P6" s="11">
        <f>5.868+12.5283+14.185+5.522</f>
        <v>38.103299999999997</v>
      </c>
      <c r="Q6" s="55">
        <f>+P6/P5</f>
        <v>2.9299006995781612E-2</v>
      </c>
      <c r="R6" s="86">
        <f>+P6/R4</f>
        <v>4.2336999999999998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>
        <f>+AB6/$J$5</f>
        <v>0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1">
        <f>+S6+AB6+AE6+AH6+AK6+Y6+P6+M6+J6+G6+D6+V6</f>
        <v>313.58118999999999</v>
      </c>
      <c r="AQ6" s="65">
        <f>+AP6/$AP$5</f>
        <v>4.8205400220288526E-2</v>
      </c>
      <c r="AR6" s="86">
        <f>+AP6/AR4</f>
        <v>34.842354444444446</v>
      </c>
      <c r="AS6" s="14">
        <f t="shared" ref="AS6:AS9" si="0">+AP6/$AS$4</f>
        <v>62.716237999999997</v>
      </c>
      <c r="AT6" s="57"/>
      <c r="AU6" s="86">
        <f>+AS6/AU4</f>
        <v>6.9684708888888887</v>
      </c>
    </row>
    <row r="7" spans="2:47">
      <c r="B7" s="10" t="s">
        <v>6</v>
      </c>
      <c r="C7" s="16"/>
      <c r="D7" s="8">
        <f>+D5-D6</f>
        <v>1252.3145</v>
      </c>
      <c r="E7" s="56">
        <f>+D7/D5</f>
        <v>0.96357530542744452</v>
      </c>
      <c r="F7" s="87">
        <f>+F5-F6</f>
        <v>139.14605555555556</v>
      </c>
      <c r="G7" s="8">
        <f>+G5-G6</f>
        <v>1210.5575699999999</v>
      </c>
      <c r="H7" s="56">
        <f>+G7/G5</f>
        <v>0.96389953467484568</v>
      </c>
      <c r="I7" s="87">
        <f>+I5-I6</f>
        <v>134.50639666666666</v>
      </c>
      <c r="J7" s="8">
        <f>+J5-J6</f>
        <v>1248.6464000000001</v>
      </c>
      <c r="K7" s="56">
        <f>+J7/J5</f>
        <v>0.94528397588956814</v>
      </c>
      <c r="L7" s="87">
        <f>+L5-L6</f>
        <v>138.73848888888887</v>
      </c>
      <c r="M7" s="8">
        <f>+M5-M6</f>
        <v>1217.6106399999999</v>
      </c>
      <c r="N7" s="56">
        <f>+M7/M5</f>
        <v>0.91678228493338398</v>
      </c>
      <c r="O7" s="87">
        <f>+O5-O6</f>
        <v>135.2900711111111</v>
      </c>
      <c r="P7" s="8">
        <f>+P5-P6</f>
        <v>1262.3947000000001</v>
      </c>
      <c r="Q7" s="56">
        <f>+P7/P5</f>
        <v>0.97070099300421842</v>
      </c>
      <c r="R7" s="87">
        <f>+R5-R6</f>
        <v>140.26607777777778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>
        <f>+AB7/$J$5</f>
        <v>0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6191.5238100000006</v>
      </c>
      <c r="AQ7" s="65">
        <f>+AP7/$AP$5</f>
        <v>0.95179459977971159</v>
      </c>
      <c r="AR7" s="87">
        <f>+AR5-AR6</f>
        <v>687.94708999999989</v>
      </c>
      <c r="AS7" s="13">
        <f t="shared" si="0"/>
        <v>1238.3047620000002</v>
      </c>
      <c r="AT7" s="57"/>
      <c r="AU7" s="87">
        <f>+AU5-AU6</f>
        <v>137.58941799999999</v>
      </c>
    </row>
    <row r="8" spans="2:47">
      <c r="B8" s="7" t="s">
        <v>5</v>
      </c>
      <c r="C8" s="16"/>
      <c r="D8" s="11">
        <f>1332.124+134.471-14.4223-5.2372-27.68</f>
        <v>1419.2555</v>
      </c>
      <c r="E8" s="55">
        <f>+D8/D5</f>
        <v>1.0920256468260015</v>
      </c>
      <c r="F8" s="86">
        <f>+D8/F4</f>
        <v>157.69505555555554</v>
      </c>
      <c r="G8" s="11">
        <f>1057.867+94.97512-4.0699-13.2756-8.52093-19.472</f>
        <v>1107.5036900000002</v>
      </c>
      <c r="H8" s="55">
        <f>+G8/G5</f>
        <v>0.8818434727079314</v>
      </c>
      <c r="I8" s="86">
        <f>+G8/I4</f>
        <v>123.05596555555559</v>
      </c>
      <c r="J8" s="11">
        <f>1119.358+125.09413-5.035-18.676-48.564</f>
        <v>1172.1771299999998</v>
      </c>
      <c r="K8" s="55">
        <f>+J8/J5</f>
        <v>0.8873931466051741</v>
      </c>
      <c r="L8" s="86">
        <f>+J8/L4</f>
        <v>130.24190333333331</v>
      </c>
      <c r="M8" s="11">
        <f>1139.828+125.398-3.6037-14.0911-8.635-84.194</f>
        <v>1154.7021999999999</v>
      </c>
      <c r="N8" s="55">
        <f>+M8/M5</f>
        <v>0.86941628674795857</v>
      </c>
      <c r="O8" s="86">
        <f>+M8/O4</f>
        <v>128.30024444444444</v>
      </c>
      <c r="P8" s="11">
        <f>1139.684+108.139-5.868-12.5283-14.185-5.522</f>
        <v>1209.7197000000001</v>
      </c>
      <c r="Q8" s="55">
        <f>+P8/P5</f>
        <v>0.93019727827339993</v>
      </c>
      <c r="R8" s="86">
        <f>+P8/R4</f>
        <v>134.41330000000002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>
        <f>+AB8/$J$5</f>
        <v>0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1">
        <f>+S8+AB8+AE8+AH8+AK8+Y8+P8+M8+J8+G8+D8+V8</f>
        <v>6063.358220000001</v>
      </c>
      <c r="AQ8" s="65">
        <f>+AP8/$AP$5</f>
        <v>0.93209229059331111</v>
      </c>
      <c r="AR8" s="86">
        <f>+AP8/AR4</f>
        <v>673.70646888888905</v>
      </c>
      <c r="AS8" s="14">
        <f t="shared" si="0"/>
        <v>1212.6716440000002</v>
      </c>
      <c r="AT8" s="57"/>
      <c r="AU8" s="86">
        <f>+AS8/AU4</f>
        <v>134.7412937777778</v>
      </c>
    </row>
    <row r="9" spans="2:47">
      <c r="B9" s="18" t="s">
        <v>9</v>
      </c>
      <c r="C9" s="16"/>
      <c r="D9" s="15">
        <f>+D5-D6-D8</f>
        <v>-166.94100000000003</v>
      </c>
      <c r="E9" s="54">
        <f>+D9/D5</f>
        <v>-0.12845034139855688</v>
      </c>
      <c r="F9" s="15">
        <f>+F5-F6-F8</f>
        <v>-18.548999999999978</v>
      </c>
      <c r="G9" s="15">
        <f>+G5-G6-G8</f>
        <v>103.05387999999971</v>
      </c>
      <c r="H9" s="54">
        <f>+G9/G5</f>
        <v>8.2056061966914229E-2</v>
      </c>
      <c r="I9" s="15">
        <f>+I5-I6-I8</f>
        <v>11.450431111111072</v>
      </c>
      <c r="J9" s="15">
        <f>+J5-J6-J8</f>
        <v>76.469270000000279</v>
      </c>
      <c r="K9" s="54">
        <f>+J9/J5</f>
        <v>5.7890829284393992E-2</v>
      </c>
      <c r="L9" s="15">
        <f>+L5-L6-L8</f>
        <v>8.4965855555555549</v>
      </c>
      <c r="M9" s="15">
        <f>+M5-M6-M8</f>
        <v>62.908439999999928</v>
      </c>
      <c r="N9" s="54">
        <f>+M9/M5</f>
        <v>4.7365998185425376E-2</v>
      </c>
      <c r="O9" s="15">
        <f>+O5-O6-O8</f>
        <v>6.9898266666666586</v>
      </c>
      <c r="P9" s="15">
        <f>+P5-P6-P8</f>
        <v>52.674999999999955</v>
      </c>
      <c r="Q9" s="54">
        <f>+P9/P5</f>
        <v>4.0503714730818464E-2</v>
      </c>
      <c r="R9" s="15">
        <f>+R5-R6-R8</f>
        <v>5.8527777777777601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>
        <f>+AB9/$J$5</f>
        <v>0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2">
        <f>+S9+AB9+AE9+AH9+AK9+Y9+P9+M9+J9+G9+D9+V9</f>
        <v>128.16558999999984</v>
      </c>
      <c r="AQ9" s="64">
        <f>+AP9/$AP$5</f>
        <v>1.9702309186400504E-2</v>
      </c>
      <c r="AR9" s="15">
        <f>+AR5-AR6-AR8</f>
        <v>14.240621111110841</v>
      </c>
      <c r="AS9" s="29">
        <f t="shared" si="0"/>
        <v>25.633117999999968</v>
      </c>
      <c r="AT9" s="57"/>
      <c r="AU9" s="15">
        <f>+AU5-AU6-AU8</f>
        <v>2.8481242222221965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13</v>
      </c>
      <c r="C11" s="16"/>
      <c r="D11" s="32">
        <v>29</v>
      </c>
      <c r="E11" s="57"/>
      <c r="F11" s="86">
        <f>+D11/F4</f>
        <v>3.2222222222222223</v>
      </c>
      <c r="G11" s="32">
        <v>29</v>
      </c>
      <c r="H11" s="57"/>
      <c r="I11" s="86">
        <f>+G11/I4</f>
        <v>3.2222222222222223</v>
      </c>
      <c r="J11" s="32">
        <v>29</v>
      </c>
      <c r="K11" s="57"/>
      <c r="L11" s="86">
        <f>+J11/L4</f>
        <v>3.2222222222222223</v>
      </c>
      <c r="M11" s="32">
        <v>29</v>
      </c>
      <c r="N11" s="57"/>
      <c r="O11" s="86">
        <f>+M11/O4</f>
        <v>3.2222222222222223</v>
      </c>
      <c r="P11" s="32">
        <v>28</v>
      </c>
      <c r="Q11" s="57"/>
      <c r="R11" s="86">
        <f>+P11/R4</f>
        <v>3.1111111111111112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144</v>
      </c>
      <c r="AQ11" s="57"/>
      <c r="AR11" s="86">
        <f>+AP11/AR4</f>
        <v>16</v>
      </c>
      <c r="AS11" s="28">
        <f>+AP11/AS4</f>
        <v>28.8</v>
      </c>
      <c r="AT11" s="57"/>
      <c r="AU11" s="86">
        <f>+AS11/AU4</f>
        <v>3.2</v>
      </c>
    </row>
    <row r="12" spans="2:47">
      <c r="B12" s="17" t="s">
        <v>10</v>
      </c>
      <c r="C12" s="16"/>
      <c r="D12" s="32">
        <v>1083.2339999999999</v>
      </c>
      <c r="E12" s="57"/>
      <c r="F12" s="86">
        <f>+D12/F4</f>
        <v>120.35933333333332</v>
      </c>
      <c r="G12" s="32">
        <v>963.84347000000002</v>
      </c>
      <c r="H12" s="57"/>
      <c r="I12" s="86">
        <f>+G12/I4</f>
        <v>107.09371888888889</v>
      </c>
      <c r="J12" s="32">
        <v>985.96873000000005</v>
      </c>
      <c r="K12" s="57"/>
      <c r="L12" s="86">
        <f>+J12/L4</f>
        <v>109.55208111111112</v>
      </c>
      <c r="M12" s="32">
        <v>991.00800000000004</v>
      </c>
      <c r="N12" s="57"/>
      <c r="O12" s="86">
        <f>+M12/O4</f>
        <v>110.11200000000001</v>
      </c>
      <c r="P12" s="32">
        <v>1028.713</v>
      </c>
      <c r="Q12" s="57"/>
      <c r="R12" s="86">
        <f>+P12/R4</f>
        <v>114.30144444444444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1">
        <f>+S12+AB12+AE12+AH12+AK12+Y12+P12+M12+J12+G12+D12+V12</f>
        <v>5052.7672000000002</v>
      </c>
      <c r="AQ12" s="57"/>
      <c r="AR12" s="86">
        <f>+AP12/AR4</f>
        <v>561.41857777777784</v>
      </c>
      <c r="AS12" s="14">
        <f t="shared" ref="AS12" si="1">+AP12/$AS$4</f>
        <v>1010.55344</v>
      </c>
      <c r="AT12" s="57"/>
      <c r="AU12" s="86">
        <f>+AS12/AU4</f>
        <v>112.28371555555556</v>
      </c>
    </row>
    <row r="13" spans="2:47">
      <c r="B13" s="18" t="s">
        <v>15</v>
      </c>
      <c r="C13" s="16"/>
      <c r="D13" s="33">
        <f>+D12/D5</f>
        <v>0.83347875665369398</v>
      </c>
      <c r="E13" s="57"/>
      <c r="F13" s="33"/>
      <c r="G13" s="33">
        <f>+G12/G5</f>
        <v>0.76745484498716454</v>
      </c>
      <c r="H13" s="57"/>
      <c r="I13" s="33"/>
      <c r="J13" s="33">
        <f>+J12/J5</f>
        <v>0.74642464127329244</v>
      </c>
      <c r="K13" s="57"/>
      <c r="L13" s="33"/>
      <c r="M13" s="33">
        <f>+M12/M5</f>
        <v>0.74616511122739781</v>
      </c>
      <c r="N13" s="57"/>
      <c r="O13" s="33"/>
      <c r="P13" s="33">
        <f>+P12/P5</f>
        <v>0.7910146728407117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0.77673876132668118</v>
      </c>
      <c r="AQ13" s="57"/>
      <c r="AR13" s="33"/>
      <c r="AS13" s="35">
        <f>+AS12/AS5</f>
        <v>0.77673876132668118</v>
      </c>
      <c r="AT13" s="57"/>
      <c r="AU13" s="33"/>
    </row>
    <row r="14" spans="2:47">
      <c r="B14" s="18" t="s">
        <v>11</v>
      </c>
      <c r="C14" s="16"/>
      <c r="D14" s="8">
        <f>+D5/D11</f>
        <v>44.815655172413791</v>
      </c>
      <c r="E14" s="57"/>
      <c r="F14" s="8"/>
      <c r="G14" s="8">
        <f>+G5/G11</f>
        <v>43.306758620689656</v>
      </c>
      <c r="H14" s="57"/>
      <c r="I14" s="8"/>
      <c r="J14" s="8">
        <f>+J5/J11</f>
        <v>45.549034482758621</v>
      </c>
      <c r="K14" s="57"/>
      <c r="L14" s="8"/>
      <c r="M14" s="8">
        <f>+M5/M11</f>
        <v>45.797758620689656</v>
      </c>
      <c r="N14" s="57"/>
      <c r="O14" s="8"/>
      <c r="P14" s="8">
        <f>+P5/P11</f>
        <v>46.446357142857146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45.174340277777773</v>
      </c>
      <c r="AQ14" s="57"/>
      <c r="AR14" s="8"/>
      <c r="AS14" s="36">
        <f>+AS5/AS11</f>
        <v>45.174340277777773</v>
      </c>
      <c r="AT14" s="57"/>
      <c r="AU14" s="8"/>
    </row>
    <row r="15" spans="2:47">
      <c r="B15" s="10" t="s">
        <v>29</v>
      </c>
      <c r="C15" s="16"/>
      <c r="D15" s="8">
        <f>+D12/D11</f>
        <v>37.352896551724136</v>
      </c>
      <c r="E15" s="57"/>
      <c r="F15" s="8"/>
      <c r="G15" s="8">
        <f>+G12/G11</f>
        <v>33.235981724137929</v>
      </c>
      <c r="H15" s="57"/>
      <c r="I15" s="8"/>
      <c r="J15" s="8">
        <f>+J12/J11</f>
        <v>33.998921724137929</v>
      </c>
      <c r="K15" s="57"/>
      <c r="L15" s="8"/>
      <c r="M15" s="8">
        <f>+M12/M11</f>
        <v>34.172689655172412</v>
      </c>
      <c r="N15" s="57"/>
      <c r="O15" s="8"/>
      <c r="P15" s="8">
        <f>+P12/P11</f>
        <v>36.739750000000001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35.088661111111115</v>
      </c>
      <c r="AQ15" s="57"/>
      <c r="AR15" s="8"/>
      <c r="AS15" s="36">
        <f>+AS12/AS11</f>
        <v>35.088661111111108</v>
      </c>
      <c r="AT15" s="57"/>
      <c r="AU15" s="8"/>
    </row>
    <row r="16" spans="2:47">
      <c r="B16" s="18" t="s">
        <v>16</v>
      </c>
      <c r="C16" s="16"/>
      <c r="D16" s="33">
        <f>+D12/D7</f>
        <v>0.86498559267660002</v>
      </c>
      <c r="E16" s="57"/>
      <c r="F16" s="33"/>
      <c r="G16" s="33">
        <f>+G12/G7</f>
        <v>0.79619796190279502</v>
      </c>
      <c r="H16" s="57"/>
      <c r="I16" s="33"/>
      <c r="J16" s="33">
        <f>+J12/J7</f>
        <v>0.7896300585978544</v>
      </c>
      <c r="K16" s="57"/>
      <c r="L16" s="33"/>
      <c r="M16" s="33">
        <f>+M12/M7</f>
        <v>0.81389564729822017</v>
      </c>
      <c r="N16" s="57"/>
      <c r="O16" s="33"/>
      <c r="P16" s="33">
        <f>+P12/P7</f>
        <v>0.81489014489683764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0.81607813440678667</v>
      </c>
      <c r="AQ16" s="57"/>
      <c r="AR16" s="33"/>
      <c r="AS16" s="35">
        <f>+AS12/AS7</f>
        <v>0.81607813440678656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32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18</v>
      </c>
      <c r="C18" s="16"/>
      <c r="D18" s="11">
        <v>8648</v>
      </c>
      <c r="E18" s="11">
        <v>8648</v>
      </c>
      <c r="F18" s="67">
        <f>+D18/F4</f>
        <v>960.88888888888891</v>
      </c>
      <c r="G18" s="11">
        <v>8178</v>
      </c>
      <c r="H18" s="11">
        <v>8178</v>
      </c>
      <c r="I18" s="67">
        <f>+G18/I4</f>
        <v>908.66666666666663</v>
      </c>
      <c r="J18" s="11">
        <v>9502</v>
      </c>
      <c r="K18" s="11">
        <v>9502</v>
      </c>
      <c r="L18" s="67">
        <f>+J18/L4</f>
        <v>1055.7777777777778</v>
      </c>
      <c r="M18" s="11">
        <v>8392</v>
      </c>
      <c r="N18" s="11">
        <v>8392</v>
      </c>
      <c r="O18" s="67">
        <f>+M18/O4</f>
        <v>932.44444444444446</v>
      </c>
      <c r="P18" s="11">
        <v>8323</v>
      </c>
      <c r="Q18" s="11">
        <v>8323</v>
      </c>
      <c r="R18" s="67">
        <f>+P18/R4</f>
        <v>924.77777777777783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1">
        <f t="shared" ref="AP18:AP20" si="2">+S18+AB18+AE18+AH18+AK18+Y18+P18+M18+J18+G18+D18+V18</f>
        <v>43043</v>
      </c>
      <c r="AQ18" s="67">
        <f>+T18+AC18+AF18+AI18+AL18+Z18+W18+Q18+N18+K18+H18+E18</f>
        <v>43043</v>
      </c>
      <c r="AR18" s="67">
        <f>+AP18/AR4</f>
        <v>4782.5555555555557</v>
      </c>
      <c r="AS18" s="14">
        <f t="shared" ref="AS18:AT20" si="3">+AP18/$AS$4</f>
        <v>8608.6</v>
      </c>
      <c r="AT18" s="67">
        <f t="shared" si="3"/>
        <v>8608.6</v>
      </c>
      <c r="AU18" s="67">
        <f>+AS18/AU4</f>
        <v>956.51111111111118</v>
      </c>
    </row>
    <row r="19" spans="2:47">
      <c r="B19" s="17" t="s">
        <v>28</v>
      </c>
      <c r="C19" s="16"/>
      <c r="D19" s="11">
        <v>799.22</v>
      </c>
      <c r="E19" s="11">
        <v>799.22</v>
      </c>
      <c r="F19" s="67">
        <f>+D19/F4</f>
        <v>88.802222222222227</v>
      </c>
      <c r="G19" s="11">
        <v>730.13</v>
      </c>
      <c r="H19" s="11">
        <v>730.13</v>
      </c>
      <c r="I19" s="67">
        <f>+G19/I4</f>
        <v>81.12555555555555</v>
      </c>
      <c r="J19" s="11">
        <v>967.54</v>
      </c>
      <c r="K19" s="11">
        <v>967.54</v>
      </c>
      <c r="L19" s="67">
        <f>+J19/L4</f>
        <v>107.50444444444445</v>
      </c>
      <c r="M19" s="11">
        <v>703.44</v>
      </c>
      <c r="N19" s="11">
        <v>703.44</v>
      </c>
      <c r="O19" s="67">
        <f>+M19/O4</f>
        <v>78.160000000000011</v>
      </c>
      <c r="P19" s="11">
        <v>692.08</v>
      </c>
      <c r="Q19" s="11">
        <v>692.08</v>
      </c>
      <c r="R19" s="67">
        <f>+P19/R4</f>
        <v>76.897777777777776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1">
        <f t="shared" si="2"/>
        <v>3892.41</v>
      </c>
      <c r="AQ19" s="67">
        <f t="shared" ref="AQ19:AQ20" si="4">+T19+AC19+AF19+AI19+AL19+Z19+W19+Q19+N19+K19+H19+E19</f>
        <v>3892.41</v>
      </c>
      <c r="AR19" s="67">
        <f>+AP19/AR4</f>
        <v>432.49</v>
      </c>
      <c r="AS19" s="14">
        <f t="shared" si="3"/>
        <v>778.48199999999997</v>
      </c>
      <c r="AT19" s="67">
        <f t="shared" si="3"/>
        <v>778.48199999999997</v>
      </c>
      <c r="AU19" s="67">
        <f>+AS19/AU4</f>
        <v>86.49799999999999</v>
      </c>
    </row>
    <row r="20" spans="2:47">
      <c r="B20" s="17" t="s">
        <v>23</v>
      </c>
      <c r="C20" s="16"/>
      <c r="D20" s="11">
        <f>5.2372+14.4223</f>
        <v>19.659500000000001</v>
      </c>
      <c r="E20" s="59">
        <v>19.659520000000001</v>
      </c>
      <c r="F20" s="67">
        <f>+D20/F4</f>
        <v>2.1843888888888889</v>
      </c>
      <c r="G20" s="11">
        <f>4.0699+13.2756</f>
        <v>17.345500000000001</v>
      </c>
      <c r="H20" s="59">
        <v>17.345469999999999</v>
      </c>
      <c r="I20" s="67">
        <f>+G20/I4</f>
        <v>1.9272777777777779</v>
      </c>
      <c r="J20" s="11">
        <f>5.035+18.6766</f>
        <v>23.711600000000001</v>
      </c>
      <c r="K20" s="59">
        <v>23.711600000000001</v>
      </c>
      <c r="L20" s="67">
        <f>+J20/L4</f>
        <v>2.6346222222222222</v>
      </c>
      <c r="M20" s="11">
        <f>3.6037+14.0911</f>
        <v>17.694800000000001</v>
      </c>
      <c r="N20" s="59">
        <v>17.69481</v>
      </c>
      <c r="O20" s="67">
        <f>+M20/O4</f>
        <v>1.966088888888889</v>
      </c>
      <c r="P20" s="11">
        <f>5.868+12.5283</f>
        <v>18.3963</v>
      </c>
      <c r="Q20" s="59">
        <v>18.39629</v>
      </c>
      <c r="R20" s="67">
        <f>+P20/R4</f>
        <v>2.0440333333333331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1">
        <f t="shared" si="2"/>
        <v>96.807700000000011</v>
      </c>
      <c r="AQ20" s="67">
        <f t="shared" si="4"/>
        <v>96.807689999999994</v>
      </c>
      <c r="AR20" s="67">
        <f>+AP20/AR4</f>
        <v>10.756411111111113</v>
      </c>
      <c r="AS20" s="14">
        <f t="shared" si="3"/>
        <v>19.361540000000002</v>
      </c>
      <c r="AT20" s="67">
        <f t="shared" si="3"/>
        <v>19.361537999999999</v>
      </c>
      <c r="AU20" s="67">
        <f>+AS20/AU4</f>
        <v>2.1512822222222225</v>
      </c>
    </row>
    <row r="21" spans="2:47">
      <c r="B21" s="18" t="s">
        <v>14</v>
      </c>
      <c r="C21" s="16"/>
      <c r="D21" s="44">
        <f t="shared" ref="D21:E21" si="5">+D20/D19*1000</f>
        <v>24.598358399439455</v>
      </c>
      <c r="E21" s="60">
        <f t="shared" si="5"/>
        <v>24.598383423838243</v>
      </c>
      <c r="F21" s="60"/>
      <c r="G21" s="44">
        <f t="shared" ref="G21:H21" si="6">+G20/G19*1000</f>
        <v>23.756728253872602</v>
      </c>
      <c r="H21" s="60">
        <f t="shared" si="6"/>
        <v>23.756687165299329</v>
      </c>
      <c r="I21" s="60"/>
      <c r="J21" s="44">
        <f t="shared" ref="J21:K21" si="7">+J20/J19*1000</f>
        <v>24.507100481633838</v>
      </c>
      <c r="K21" s="60">
        <f t="shared" si="7"/>
        <v>24.507100481633838</v>
      </c>
      <c r="L21" s="60"/>
      <c r="M21" s="44">
        <f t="shared" ref="M21:N21" si="8">+M20/M19*1000</f>
        <v>25.154668486295915</v>
      </c>
      <c r="N21" s="60">
        <f t="shared" si="8"/>
        <v>25.154682702149437</v>
      </c>
      <c r="O21" s="60"/>
      <c r="P21" s="44">
        <f t="shared" ref="P21:Q21" si="9">+P20/P19*1000</f>
        <v>26.581175586637382</v>
      </c>
      <c r="Q21" s="60">
        <f t="shared" si="9"/>
        <v>26.581161137440755</v>
      </c>
      <c r="R21" s="60"/>
      <c r="S21" s="44" t="e">
        <f t="shared" ref="S21" si="10">+S20/S19*1000</f>
        <v>#DIV/0!</v>
      </c>
      <c r="T21" s="60" t="e">
        <f t="shared" ref="T21" si="11">+T20/T19*1000</f>
        <v>#DIV/0!</v>
      </c>
      <c r="U21" s="60"/>
      <c r="V21" s="44" t="e">
        <f t="shared" ref="V21" si="12">+V20/V19*1000</f>
        <v>#DIV/0!</v>
      </c>
      <c r="W21" s="60" t="e">
        <f t="shared" ref="W21" si="13">+W20/W19*1000</f>
        <v>#DIV/0!</v>
      </c>
      <c r="X21" s="68"/>
      <c r="Y21" s="44" t="e">
        <f t="shared" ref="Y21" si="14">+Y20/Y19*1000</f>
        <v>#DIV/0!</v>
      </c>
      <c r="Z21" s="60" t="e">
        <f t="shared" ref="Z21" si="15">+Z20/Z19*1000</f>
        <v>#DIV/0!</v>
      </c>
      <c r="AA21" s="68"/>
      <c r="AB21" s="44" t="e">
        <f t="shared" ref="AB21" si="16">+AB20/AB19*1000</f>
        <v>#DIV/0!</v>
      </c>
      <c r="AC21" s="60" t="e">
        <f t="shared" ref="AC21" si="17">+AC20/AC19*1000</f>
        <v>#DIV/0!</v>
      </c>
      <c r="AD21" s="60"/>
      <c r="AE21" s="44" t="e">
        <f t="shared" ref="AE21" si="18">+AE20/AE19*1000</f>
        <v>#DIV/0!</v>
      </c>
      <c r="AF21" s="60" t="e">
        <f t="shared" ref="AF21" si="19">+AF20/AF19*1000</f>
        <v>#DIV/0!</v>
      </c>
      <c r="AG21" s="60"/>
      <c r="AH21" s="44" t="e">
        <f t="shared" ref="AH21" si="20">+AH20/AH19*1000</f>
        <v>#DIV/0!</v>
      </c>
      <c r="AI21" s="60" t="e">
        <f t="shared" ref="AI21" si="21">+AI20/AI19*1000</f>
        <v>#DIV/0!</v>
      </c>
      <c r="AJ21" s="60"/>
      <c r="AK21" s="44" t="e">
        <f t="shared" ref="AK21" si="22">+AK20/AK19*1000</f>
        <v>#DIV/0!</v>
      </c>
      <c r="AL21" s="60" t="e">
        <f t="shared" ref="AL21" si="23">+AL20/AL19*1000</f>
        <v>#DIV/0!</v>
      </c>
      <c r="AM21" s="16"/>
      <c r="AN21" s="16"/>
      <c r="AO21" s="16"/>
      <c r="AP21" s="45">
        <f>+AP20/AP19*1000</f>
        <v>24.870889757245518</v>
      </c>
      <c r="AQ21" s="68">
        <f>+AQ20/AQ19*1000</f>
        <v>24.87088718814308</v>
      </c>
      <c r="AR21" s="60"/>
      <c r="AS21" s="45">
        <f>+AS20/AS19*1000</f>
        <v>24.870889757245514</v>
      </c>
      <c r="AT21" s="68">
        <f>+AT20/AT19*1000</f>
        <v>24.87088718814308</v>
      </c>
      <c r="AU21" s="60"/>
    </row>
    <row r="22" spans="2:47">
      <c r="B22" s="18" t="s">
        <v>17</v>
      </c>
      <c r="C22" s="16"/>
      <c r="D22" s="46">
        <f>+D19/D18</f>
        <v>9.2416743755781683E-2</v>
      </c>
      <c r="E22" s="46">
        <f>+E19/E18</f>
        <v>9.2416743755781683E-2</v>
      </c>
      <c r="F22" s="61"/>
      <c r="G22" s="46">
        <f>+G19/G18</f>
        <v>8.9279775006113962E-2</v>
      </c>
      <c r="H22" s="46">
        <f>+H19/H18</f>
        <v>8.9279775006113962E-2</v>
      </c>
      <c r="I22" s="61"/>
      <c r="J22" s="46">
        <f>+J19/J18</f>
        <v>0.10182487897284782</v>
      </c>
      <c r="K22" s="46">
        <f>+K19/K18</f>
        <v>0.10182487897284782</v>
      </c>
      <c r="L22" s="61"/>
      <c r="M22" s="46">
        <f>+M19/M18</f>
        <v>8.3822688274547197E-2</v>
      </c>
      <c r="N22" s="46">
        <f>+N19/N18</f>
        <v>8.3822688274547197E-2</v>
      </c>
      <c r="O22" s="61"/>
      <c r="P22" s="46">
        <f>+P19/P18</f>
        <v>8.315270935960592E-2</v>
      </c>
      <c r="Q22" s="46">
        <f>+Q19/Q18</f>
        <v>8.315270935960592E-2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7" t="e">
        <f>+W19/W18</f>
        <v>#DIV/0!</v>
      </c>
      <c r="X22" s="69"/>
      <c r="Y22" s="46" t="e">
        <f>+Y19/Y18</f>
        <v>#DIV/0!</v>
      </c>
      <c r="Z22" s="47" t="e">
        <f>+Z19/Z18</f>
        <v>#DIV/0!</v>
      </c>
      <c r="AA22" s="69"/>
      <c r="AB22" s="46" t="e">
        <f>+AB19/AB18</f>
        <v>#DIV/0!</v>
      </c>
      <c r="AC22" s="47" t="e">
        <f>+AC19/AC18</f>
        <v>#DIV/0!</v>
      </c>
      <c r="AD22" s="61"/>
      <c r="AE22" s="46" t="e">
        <f>+AE19/AE18</f>
        <v>#DIV/0!</v>
      </c>
      <c r="AF22" s="47" t="e">
        <f>+AF19/AF18</f>
        <v>#DIV/0!</v>
      </c>
      <c r="AG22" s="61"/>
      <c r="AH22" s="46" t="e">
        <f>+AH19/AH18</f>
        <v>#DIV/0!</v>
      </c>
      <c r="AI22" s="47" t="e">
        <f>+AI19/AI18</f>
        <v>#DIV/0!</v>
      </c>
      <c r="AJ22" s="61"/>
      <c r="AK22" s="46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9.0430732058639038E-2</v>
      </c>
      <c r="AQ22" s="47">
        <f>+AQ19/AQ18</f>
        <v>9.0430732058639038E-2</v>
      </c>
      <c r="AR22" s="61"/>
      <c r="AS22" s="47">
        <f>+AS19/AS18</f>
        <v>9.0430732058639024E-2</v>
      </c>
      <c r="AT22" s="47">
        <f>+AT19/AT18</f>
        <v>9.0430732058639024E-2</v>
      </c>
      <c r="AU22" s="61"/>
    </row>
    <row r="23" spans="2:47">
      <c r="B23" s="10" t="s">
        <v>24</v>
      </c>
      <c r="C23" s="10"/>
      <c r="D23" s="48">
        <f>+D20*1000/(D18*D21)*100</f>
        <v>9.2416743755781674</v>
      </c>
      <c r="E23" s="48">
        <f>+E20*1000/(E18*E21)*100</f>
        <v>9.2416743755781674</v>
      </c>
      <c r="F23" s="62"/>
      <c r="G23" s="48">
        <f>+G20*1000/(G18*G21)*100</f>
        <v>8.9279775006113944</v>
      </c>
      <c r="H23" s="48">
        <f>+H20*1000/(H18*H21)*100</f>
        <v>8.9279775006113962</v>
      </c>
      <c r="I23" s="62"/>
      <c r="J23" s="48">
        <f>+J20*1000/(J18*J21)*100</f>
        <v>10.182487897284782</v>
      </c>
      <c r="K23" s="48">
        <f>+K20*1000/(K18*K21)*100</f>
        <v>10.182487897284782</v>
      </c>
      <c r="L23" s="62"/>
      <c r="M23" s="48">
        <f>+M20*1000/(M18*M21)*100</f>
        <v>8.3822688274547197</v>
      </c>
      <c r="N23" s="48">
        <f>+N20*1000/(N18*N21)*100</f>
        <v>8.3822688274547197</v>
      </c>
      <c r="O23" s="62"/>
      <c r="P23" s="48">
        <f>+P20*1000/(P18*P21)*100</f>
        <v>8.3152709359605907</v>
      </c>
      <c r="Q23" s="48">
        <f>+Q20*1000/(Q18*Q21)*100</f>
        <v>8.3152709359605925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9" t="e">
        <f>+W20/(W18*W21)*1000*100</f>
        <v>#DIV/0!</v>
      </c>
      <c r="X23" s="70"/>
      <c r="Y23" s="48" t="e">
        <f>+Y20*1000/(Y18*Y21)*100</f>
        <v>#DIV/0!</v>
      </c>
      <c r="Z23" s="49" t="e">
        <f>+Z20/(Z18*Z21)*1000*100</f>
        <v>#DIV/0!</v>
      </c>
      <c r="AA23" s="70"/>
      <c r="AB23" s="48" t="e">
        <f>+AB20*1000/(AB18*AB21)*100</f>
        <v>#DIV/0!</v>
      </c>
      <c r="AC23" s="49" t="e">
        <f>+AC20/(AC18*AC21)*1000*100</f>
        <v>#DIV/0!</v>
      </c>
      <c r="AD23" s="62"/>
      <c r="AE23" s="48" t="e">
        <f>+AE20*1000/(AE18*AE21)*100</f>
        <v>#DIV/0!</v>
      </c>
      <c r="AF23" s="49" t="e">
        <f>+AF20/(AF18*AF21)*1000*100</f>
        <v>#DIV/0!</v>
      </c>
      <c r="AG23" s="62"/>
      <c r="AH23" s="48" t="e">
        <f>+AH20*1000/(AH18*AH21)*100</f>
        <v>#DIV/0!</v>
      </c>
      <c r="AI23" s="49" t="e">
        <f>+AI20/(AI18*AI21)*1000*100</f>
        <v>#DIV/0!</v>
      </c>
      <c r="AJ23" s="62"/>
      <c r="AK23" s="48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9.0430732058639016</v>
      </c>
      <c r="AQ23" s="49">
        <f>+AQ20/(AQ18*AQ21)*1000*100</f>
        <v>9.0430732058639016</v>
      </c>
      <c r="AR23" s="62"/>
      <c r="AS23" s="49">
        <f>+AS20/(AS18*AS21)*1000*100</f>
        <v>9.0430732058639034</v>
      </c>
      <c r="AT23" s="49">
        <f>+AT20/(AT18*AT21)*1000*100</f>
        <v>9.0430732058639016</v>
      </c>
    </row>
    <row r="24" spans="2:47">
      <c r="B24" s="18" t="s">
        <v>34</v>
      </c>
      <c r="C24" s="10"/>
      <c r="D24" s="48">
        <f>+D20/D18*1000</f>
        <v>2.2733001850138761</v>
      </c>
      <c r="E24" s="48">
        <f>+E20/E18*1000</f>
        <v>2.2733024976873266</v>
      </c>
      <c r="F24" s="62"/>
      <c r="G24" s="48">
        <f>+G20/G18*1000</f>
        <v>2.1209953533871366</v>
      </c>
      <c r="H24" s="48">
        <f>+H20/H18*1000</f>
        <v>2.1209916850085593</v>
      </c>
      <c r="I24" s="62"/>
      <c r="J24" s="48">
        <f>+J20/J18*1000</f>
        <v>2.4954325405177857</v>
      </c>
      <c r="K24" s="48">
        <f>+K20/K18*1000</f>
        <v>2.4954325405177857</v>
      </c>
      <c r="L24" s="62"/>
      <c r="M24" s="48">
        <f>+M20/M18*1000</f>
        <v>2.1085319351763587</v>
      </c>
      <c r="N24" s="48">
        <f>+N20/N18*1000</f>
        <v>2.1085331267874166</v>
      </c>
      <c r="O24" s="62"/>
      <c r="P24" s="48">
        <f>+P20/P18*1000</f>
        <v>2.2102967679923102</v>
      </c>
      <c r="Q24" s="48">
        <f>+Q20/Q18*1000</f>
        <v>2.2102955665024631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2.2490927676974191</v>
      </c>
      <c r="AQ24" s="48">
        <f>+AQ20/AQ18*1000</f>
        <v>2.2490925353716049</v>
      </c>
      <c r="AR24" s="62"/>
      <c r="AS24" s="48">
        <f>+AS20/AS18*1000</f>
        <v>2.2490927676974191</v>
      </c>
      <c r="AT24" s="48">
        <f>+AT20/AT18*1000</f>
        <v>2.2490925353716049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31</v>
      </c>
      <c r="C26" s="19"/>
      <c r="D26" s="21">
        <f>+D8/(1-D6/D5)</f>
        <v>1472.9056379982824</v>
      </c>
      <c r="E26" s="63"/>
      <c r="F26" s="63"/>
      <c r="G26" s="21">
        <f>+G8/(1-G6/G5)</f>
        <v>1148.9824926345636</v>
      </c>
      <c r="H26" s="63"/>
      <c r="I26" s="63"/>
      <c r="J26" s="21">
        <f>+J8/(1-J6/J5)</f>
        <v>1240.0264469699828</v>
      </c>
      <c r="K26" s="63"/>
      <c r="L26" s="63"/>
      <c r="M26" s="21">
        <f>+M8/(1-M6/M5)</f>
        <v>1259.5162657226781</v>
      </c>
      <c r="N26" s="63"/>
      <c r="O26" s="63"/>
      <c r="P26" s="21">
        <f>+P8/(1-P6/P5)</f>
        <v>1246.233092083324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6370.448226333011</v>
      </c>
      <c r="AQ26" s="71"/>
      <c r="AR26" s="71"/>
      <c r="AS26" s="31">
        <f>+AS8/(1-AS6/AS5)</f>
        <v>1274.0896452666022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P11" sqref="AP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30</v>
      </c>
      <c r="C2" s="50"/>
      <c r="D2" s="34" t="s">
        <v>2</v>
      </c>
      <c r="E2" s="52" t="s">
        <v>19</v>
      </c>
      <c r="F2" s="52" t="s">
        <v>32</v>
      </c>
      <c r="G2" s="34" t="s">
        <v>2</v>
      </c>
      <c r="H2" s="52" t="s">
        <v>19</v>
      </c>
      <c r="I2" s="52" t="s">
        <v>32</v>
      </c>
      <c r="J2" s="34" t="s">
        <v>2</v>
      </c>
      <c r="K2" s="52" t="s">
        <v>19</v>
      </c>
      <c r="L2" s="52" t="s">
        <v>32</v>
      </c>
      <c r="M2" s="34" t="s">
        <v>2</v>
      </c>
      <c r="N2" s="52" t="s">
        <v>19</v>
      </c>
      <c r="O2" s="52" t="s">
        <v>32</v>
      </c>
      <c r="P2" s="34" t="s">
        <v>2</v>
      </c>
      <c r="Q2" s="52" t="s">
        <v>19</v>
      </c>
      <c r="R2" s="52" t="s">
        <v>32</v>
      </c>
      <c r="S2" s="34" t="s">
        <v>2</v>
      </c>
      <c r="T2" s="52" t="s">
        <v>19</v>
      </c>
      <c r="U2" s="52" t="s">
        <v>32</v>
      </c>
      <c r="V2" s="34" t="s">
        <v>2</v>
      </c>
      <c r="W2" s="72" t="s">
        <v>19</v>
      </c>
      <c r="X2" s="52" t="s">
        <v>32</v>
      </c>
      <c r="Y2" s="34" t="s">
        <v>2</v>
      </c>
      <c r="Z2" s="72" t="s">
        <v>19</v>
      </c>
      <c r="AA2" s="52" t="s">
        <v>32</v>
      </c>
      <c r="AB2" s="3" t="s">
        <v>2</v>
      </c>
      <c r="AC2" s="72" t="s">
        <v>19</v>
      </c>
      <c r="AD2" s="52" t="s">
        <v>32</v>
      </c>
      <c r="AE2" s="3" t="s">
        <v>2</v>
      </c>
      <c r="AF2" s="72" t="s">
        <v>19</v>
      </c>
      <c r="AG2" s="52" t="s">
        <v>32</v>
      </c>
      <c r="AH2" s="3" t="s">
        <v>2</v>
      </c>
      <c r="AI2" s="72" t="s">
        <v>19</v>
      </c>
      <c r="AJ2" s="52" t="s">
        <v>32</v>
      </c>
      <c r="AK2" s="3" t="s">
        <v>2</v>
      </c>
      <c r="AL2" s="72" t="s">
        <v>19</v>
      </c>
      <c r="AM2" s="52" t="s">
        <v>32</v>
      </c>
      <c r="AN2" s="50"/>
      <c r="AO2" s="50"/>
      <c r="AP2" s="3" t="s">
        <v>2</v>
      </c>
      <c r="AQ2" s="52" t="s">
        <v>19</v>
      </c>
      <c r="AR2" s="52" t="s">
        <v>32</v>
      </c>
      <c r="AS2" s="42" t="s">
        <v>8</v>
      </c>
      <c r="AT2" s="50"/>
      <c r="AU2" s="52" t="s">
        <v>32</v>
      </c>
    </row>
    <row r="3" spans="2:47">
      <c r="B3" s="42" t="s">
        <v>1</v>
      </c>
      <c r="C3" s="50"/>
      <c r="D3" s="89" t="s">
        <v>56</v>
      </c>
      <c r="E3" s="23" t="s">
        <v>20</v>
      </c>
      <c r="F3" s="3" t="s">
        <v>33</v>
      </c>
      <c r="G3" s="89" t="s">
        <v>57</v>
      </c>
      <c r="H3" s="23" t="s">
        <v>20</v>
      </c>
      <c r="I3" s="3" t="s">
        <v>33</v>
      </c>
      <c r="J3" s="89" t="s">
        <v>58</v>
      </c>
      <c r="K3" s="23" t="s">
        <v>20</v>
      </c>
      <c r="L3" s="3" t="s">
        <v>33</v>
      </c>
      <c r="M3" s="89" t="s">
        <v>59</v>
      </c>
      <c r="N3" s="23" t="s">
        <v>20</v>
      </c>
      <c r="O3" s="3" t="s">
        <v>33</v>
      </c>
      <c r="P3" s="89" t="s">
        <v>60</v>
      </c>
      <c r="Q3" s="23" t="s">
        <v>20</v>
      </c>
      <c r="R3" s="3" t="s">
        <v>33</v>
      </c>
      <c r="S3" s="89" t="s">
        <v>61</v>
      </c>
      <c r="T3" s="23" t="s">
        <v>20</v>
      </c>
      <c r="U3" s="3" t="s">
        <v>33</v>
      </c>
      <c r="V3" s="89" t="s">
        <v>62</v>
      </c>
      <c r="W3" s="73" t="s">
        <v>20</v>
      </c>
      <c r="X3" s="3" t="s">
        <v>33</v>
      </c>
      <c r="Y3" s="89" t="s">
        <v>63</v>
      </c>
      <c r="Z3" s="73" t="s">
        <v>20</v>
      </c>
      <c r="AA3" s="3" t="s">
        <v>33</v>
      </c>
      <c r="AB3" s="4" t="s">
        <v>64</v>
      </c>
      <c r="AC3" s="73" t="s">
        <v>20</v>
      </c>
      <c r="AD3" s="3" t="s">
        <v>33</v>
      </c>
      <c r="AE3" s="4" t="s">
        <v>65</v>
      </c>
      <c r="AF3" s="73" t="s">
        <v>20</v>
      </c>
      <c r="AG3" s="3" t="s">
        <v>33</v>
      </c>
      <c r="AH3" s="4" t="s">
        <v>66</v>
      </c>
      <c r="AI3" s="73" t="s">
        <v>20</v>
      </c>
      <c r="AJ3" s="3" t="s">
        <v>33</v>
      </c>
      <c r="AK3" s="4" t="s">
        <v>67</v>
      </c>
      <c r="AL3" s="73" t="s">
        <v>20</v>
      </c>
      <c r="AM3" s="3" t="s">
        <v>33</v>
      </c>
      <c r="AN3" s="50"/>
      <c r="AO3" s="50"/>
      <c r="AP3" s="4" t="s">
        <v>7</v>
      </c>
      <c r="AQ3" s="23" t="s">
        <v>20</v>
      </c>
      <c r="AR3" s="3" t="s">
        <v>33</v>
      </c>
      <c r="AS3" s="42" t="s">
        <v>27</v>
      </c>
      <c r="AT3" s="23" t="s">
        <v>20</v>
      </c>
      <c r="AU3" s="3" t="s">
        <v>33</v>
      </c>
    </row>
    <row r="4" spans="2:47">
      <c r="B4" s="43">
        <v>9402</v>
      </c>
      <c r="C4" s="50"/>
      <c r="D4" s="42"/>
      <c r="E4" s="3" t="s">
        <v>22</v>
      </c>
      <c r="F4" s="3">
        <v>11</v>
      </c>
      <c r="G4" s="42"/>
      <c r="H4" s="3" t="s">
        <v>22</v>
      </c>
      <c r="I4" s="3">
        <v>10</v>
      </c>
      <c r="J4" s="42"/>
      <c r="K4" s="3" t="s">
        <v>22</v>
      </c>
      <c r="L4" s="3">
        <v>10</v>
      </c>
      <c r="M4" s="42"/>
      <c r="N4" s="3" t="s">
        <v>22</v>
      </c>
      <c r="O4" s="3">
        <v>10</v>
      </c>
      <c r="P4" s="42"/>
      <c r="Q4" s="3" t="s">
        <v>22</v>
      </c>
      <c r="R4" s="3">
        <v>10</v>
      </c>
      <c r="S4" s="42"/>
      <c r="T4" s="3" t="s">
        <v>22</v>
      </c>
      <c r="U4" s="3">
        <v>0</v>
      </c>
      <c r="V4" s="90"/>
      <c r="W4" s="34" t="s">
        <v>22</v>
      </c>
      <c r="X4" s="3">
        <v>0</v>
      </c>
      <c r="Y4" s="90"/>
      <c r="Z4" s="34" t="s">
        <v>22</v>
      </c>
      <c r="AA4" s="3">
        <v>0</v>
      </c>
      <c r="AB4" s="50"/>
      <c r="AC4" s="34" t="s">
        <v>22</v>
      </c>
      <c r="AD4" s="3">
        <v>0</v>
      </c>
      <c r="AE4" s="50"/>
      <c r="AF4" s="34" t="s">
        <v>22</v>
      </c>
      <c r="AG4" s="3">
        <v>0</v>
      </c>
      <c r="AH4" s="50"/>
      <c r="AI4" s="34" t="s">
        <v>22</v>
      </c>
      <c r="AJ4" s="3">
        <v>0</v>
      </c>
      <c r="AK4" s="50"/>
      <c r="AL4" s="34" t="s">
        <v>22</v>
      </c>
      <c r="AM4" s="3">
        <v>0</v>
      </c>
      <c r="AN4" s="50"/>
      <c r="AO4" s="50"/>
      <c r="AP4" s="50"/>
      <c r="AQ4" s="3" t="s">
        <v>22</v>
      </c>
      <c r="AR4" s="3">
        <f>+(+AD4+AG4+AJ4+AM4+AA4+X4+U4+R4+O4+L4+I4+F4)/AS4</f>
        <v>10.199999999999999</v>
      </c>
      <c r="AS4" s="42">
        <v>5</v>
      </c>
      <c r="AT4" s="3" t="s">
        <v>22</v>
      </c>
      <c r="AU4" s="3">
        <f>+AR4</f>
        <v>10.199999999999999</v>
      </c>
    </row>
    <row r="5" spans="2:47">
      <c r="B5" s="10" t="s">
        <v>3</v>
      </c>
      <c r="C5" s="16"/>
      <c r="D5" s="9">
        <v>1304.836</v>
      </c>
      <c r="E5" s="54">
        <f>+D5/D5</f>
        <v>1</v>
      </c>
      <c r="F5" s="85">
        <f>+D5/F4</f>
        <v>118.62145454545454</v>
      </c>
      <c r="G5" s="9">
        <v>1287.258</v>
      </c>
      <c r="H5" s="54">
        <f>+G5/G5</f>
        <v>1</v>
      </c>
      <c r="I5" s="85">
        <f>+G5/I4</f>
        <v>128.72579999999999</v>
      </c>
      <c r="J5" s="9">
        <f>26.711+1309.914</f>
        <v>1336.625</v>
      </c>
      <c r="K5" s="54">
        <f>+J5/J5</f>
        <v>1</v>
      </c>
      <c r="L5" s="85">
        <f>+J5/L4</f>
        <v>133.66249999999999</v>
      </c>
      <c r="M5" s="9">
        <f>9.647+1163.622</f>
        <v>1173.269</v>
      </c>
      <c r="N5" s="54">
        <f>+M5/M5</f>
        <v>1</v>
      </c>
      <c r="O5" s="85">
        <f>+M5/O4</f>
        <v>117.32689999999999</v>
      </c>
      <c r="P5" s="9">
        <f>5.559+1325.556</f>
        <v>1331.115</v>
      </c>
      <c r="Q5" s="54">
        <f>+P5/P5</f>
        <v>1</v>
      </c>
      <c r="R5" s="85">
        <f>+P5/R4</f>
        <v>133.11150000000001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6433.1030000000001</v>
      </c>
      <c r="AQ5" s="64">
        <f>+AP5/$AP$5</f>
        <v>1</v>
      </c>
      <c r="AR5" s="85">
        <f>+AP5/AR4</f>
        <v>630.69637254901966</v>
      </c>
      <c r="AS5" s="30">
        <f>+AP5/$AS$4</f>
        <v>1286.6206</v>
      </c>
      <c r="AT5" s="57"/>
      <c r="AU5" s="85">
        <f>+AS5/AU4</f>
        <v>126.13927450980393</v>
      </c>
    </row>
    <row r="6" spans="2:47">
      <c r="B6" s="7" t="s">
        <v>4</v>
      </c>
      <c r="C6" s="16"/>
      <c r="D6" s="11">
        <f>10.027+26.9935+5.32012+99.408</f>
        <v>141.74862000000002</v>
      </c>
      <c r="E6" s="55">
        <f>+D6/D5</f>
        <v>0.10863328418283985</v>
      </c>
      <c r="F6" s="86">
        <f>+D6/F4</f>
        <v>12.886238181818184</v>
      </c>
      <c r="G6" s="11">
        <f>8.3683+18.4805+2.32954+14.778</f>
        <v>43.956339999999997</v>
      </c>
      <c r="H6" s="55">
        <f>+G6/G5</f>
        <v>3.4147264961647154E-2</v>
      </c>
      <c r="I6" s="86">
        <f>+G6/I4</f>
        <v>4.3956339999999994</v>
      </c>
      <c r="J6" s="11">
        <f>7.9578+11.8157+8.8898+55.022</f>
        <v>83.685299999999998</v>
      </c>
      <c r="K6" s="55">
        <f>+J6/J5</f>
        <v>6.2609408023940896E-2</v>
      </c>
      <c r="L6" s="86">
        <f>+J6/L4</f>
        <v>8.3685299999999998</v>
      </c>
      <c r="M6" s="11">
        <f>9.1233+18.716+45.537</f>
        <v>73.376300000000001</v>
      </c>
      <c r="N6" s="55">
        <f>+M6/M5</f>
        <v>6.2540048360606129E-2</v>
      </c>
      <c r="O6" s="86">
        <f>+M6/O4</f>
        <v>7.3376299999999999</v>
      </c>
      <c r="P6" s="11">
        <f>9.5012+13.6155+11.6223+57.92</f>
        <v>92.659000000000006</v>
      </c>
      <c r="Q6" s="55">
        <f>+P6/P5</f>
        <v>6.9610063743553344E-2</v>
      </c>
      <c r="R6" s="86">
        <f>+P6/R4</f>
        <v>9.2659000000000002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1">
        <f>+S6+AB6+AE6+AH6+AK6+Y6+P6+M6+J6+G6+D6+V6</f>
        <v>435.42556000000002</v>
      </c>
      <c r="AQ6" s="65">
        <f>+AP6/$AP$5</f>
        <v>6.7685152872571763E-2</v>
      </c>
      <c r="AR6" s="86">
        <f>+AP6/AR4</f>
        <v>42.688780392156865</v>
      </c>
      <c r="AS6" s="14">
        <f t="shared" ref="AS6:AS9" si="0">+AP6/$AS$4</f>
        <v>87.085112000000009</v>
      </c>
      <c r="AT6" s="57"/>
      <c r="AU6" s="86">
        <f>+AS6/AU4</f>
        <v>8.5377560784313733</v>
      </c>
    </row>
    <row r="7" spans="2:47">
      <c r="B7" s="10" t="s">
        <v>6</v>
      </c>
      <c r="C7" s="16"/>
      <c r="D7" s="8">
        <f>+D5-D6</f>
        <v>1163.0873799999999</v>
      </c>
      <c r="E7" s="56">
        <f>+D7/D5</f>
        <v>0.89136671581716009</v>
      </c>
      <c r="F7" s="87">
        <f>+F5-F6</f>
        <v>105.73521636363635</v>
      </c>
      <c r="G7" s="8">
        <f>+G5-G6</f>
        <v>1243.3016600000001</v>
      </c>
      <c r="H7" s="56">
        <f>+G7/G5</f>
        <v>0.96585273503835289</v>
      </c>
      <c r="I7" s="87">
        <f>+I5-I6</f>
        <v>124.33016599999999</v>
      </c>
      <c r="J7" s="8">
        <f>+J5-J6</f>
        <v>1252.9396999999999</v>
      </c>
      <c r="K7" s="56">
        <f>+J7/J5</f>
        <v>0.93739059197605901</v>
      </c>
      <c r="L7" s="87">
        <f>+L5-L6</f>
        <v>125.29397</v>
      </c>
      <c r="M7" s="8">
        <f>+M5-M6</f>
        <v>1099.8927000000001</v>
      </c>
      <c r="N7" s="56">
        <f>+M7/M5</f>
        <v>0.937459951639394</v>
      </c>
      <c r="O7" s="87">
        <f>+O5-O6</f>
        <v>109.98926999999999</v>
      </c>
      <c r="P7" s="8">
        <f>+P5-P6</f>
        <v>1238.4559999999999</v>
      </c>
      <c r="Q7" s="56">
        <f>+P7/P5</f>
        <v>0.93038993625644661</v>
      </c>
      <c r="R7" s="87">
        <f>+R5-R6</f>
        <v>123.8456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5997.6774400000004</v>
      </c>
      <c r="AQ7" s="65">
        <f>+AP7/$AP$5</f>
        <v>0.93231484712742829</v>
      </c>
      <c r="AR7" s="87">
        <f>+AR5-AR6</f>
        <v>588.00759215686276</v>
      </c>
      <c r="AS7" s="13">
        <f t="shared" si="0"/>
        <v>1199.535488</v>
      </c>
      <c r="AT7" s="57"/>
      <c r="AU7" s="87">
        <f>+AU5-AU6</f>
        <v>117.60151843137255</v>
      </c>
    </row>
    <row r="8" spans="2:47">
      <c r="B8" s="7" t="s">
        <v>5</v>
      </c>
      <c r="C8" s="16"/>
      <c r="D8" s="11">
        <f>1429.8289+114.86393-10.027-26.993-5.32-99.408</f>
        <v>1402.9448300000001</v>
      </c>
      <c r="E8" s="55">
        <f>+D8/D5</f>
        <v>1.0751886290690937</v>
      </c>
      <c r="F8" s="86">
        <f>+D8/F4</f>
        <v>127.5404390909091</v>
      </c>
      <c r="G8" s="11">
        <f>1181.614+107.409-8.368-18.48-2.32954-14.778</f>
        <v>1245.0674600000002</v>
      </c>
      <c r="H8" s="55">
        <f>+G8/G5</f>
        <v>0.96722448802027272</v>
      </c>
      <c r="I8" s="86">
        <f>+G8/I4</f>
        <v>124.50674600000002</v>
      </c>
      <c r="J8" s="11">
        <f>1325.289+127.291-7.9578-11.8157-8.89811-55.022</f>
        <v>1368.8863899999999</v>
      </c>
      <c r="K8" s="55">
        <f>+J8/J5</f>
        <v>1.0241364556251753</v>
      </c>
      <c r="L8" s="86">
        <f>+J8/L4</f>
        <v>136.88863899999998</v>
      </c>
      <c r="M8" s="11">
        <f>1352.64+132.93383-9.1233-18.716-45.537</f>
        <v>1412.1975300000001</v>
      </c>
      <c r="N8" s="55">
        <f>+M8/M5</f>
        <v>1.2036434355633705</v>
      </c>
      <c r="O8" s="86">
        <f>+M8/O4</f>
        <v>141.21975300000003</v>
      </c>
      <c r="P8" s="11">
        <f>1342.629+149.994-9.501-13.615-11.622-57.92</f>
        <v>1399.9649999999997</v>
      </c>
      <c r="Q8" s="55">
        <f>+P8/P5</f>
        <v>1.0517235550647388</v>
      </c>
      <c r="R8" s="86">
        <f>+P8/R4</f>
        <v>139.99649999999997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1">
        <f>+S8+AB8+AE8+AH8+AK8+Y8+P8+M8+J8+G8+D8+V8</f>
        <v>6829.0612099999998</v>
      </c>
      <c r="AQ8" s="65">
        <f>+AP8/$AP$5</f>
        <v>1.0615501119755115</v>
      </c>
      <c r="AR8" s="86">
        <f>+AP8/AR4</f>
        <v>669.51580490196079</v>
      </c>
      <c r="AS8" s="14">
        <f t="shared" si="0"/>
        <v>1365.812242</v>
      </c>
      <c r="AT8" s="57"/>
      <c r="AU8" s="86">
        <f>+AS8/AU4</f>
        <v>133.90316098039216</v>
      </c>
    </row>
    <row r="9" spans="2:47">
      <c r="B9" s="18" t="s">
        <v>9</v>
      </c>
      <c r="C9" s="16"/>
      <c r="D9" s="15">
        <f>+D5-D6-D8</f>
        <v>-239.8574500000002</v>
      </c>
      <c r="E9" s="54">
        <f>+D9/D5</f>
        <v>-0.18382191325193373</v>
      </c>
      <c r="F9" s="15">
        <f>+F5-F6-F8</f>
        <v>-21.805222727272749</v>
      </c>
      <c r="G9" s="15">
        <f>+G5-G6-G8</f>
        <v>-1.7658000000001266</v>
      </c>
      <c r="H9" s="54">
        <f>+G9/G5</f>
        <v>-1.3717529819198067E-3</v>
      </c>
      <c r="I9" s="15">
        <f>+I5-I6-I8</f>
        <v>-0.17658000000002971</v>
      </c>
      <c r="J9" s="15">
        <f>+J5-J6-J8</f>
        <v>-115.94668999999999</v>
      </c>
      <c r="K9" s="54">
        <f>+J9/J5</f>
        <v>-8.6745863649116239E-2</v>
      </c>
      <c r="L9" s="15">
        <f>+L5-L6-L8</f>
        <v>-11.594668999999982</v>
      </c>
      <c r="M9" s="15">
        <f>+M5-M6-M8</f>
        <v>-312.30483000000004</v>
      </c>
      <c r="N9" s="54">
        <f>+M9/M5</f>
        <v>-0.26618348392397656</v>
      </c>
      <c r="O9" s="15">
        <f>+O5-O6-O8</f>
        <v>-31.230483000000035</v>
      </c>
      <c r="P9" s="15">
        <f>+P5-P6-P8</f>
        <v>-161.50899999999979</v>
      </c>
      <c r="Q9" s="54">
        <f>+P9/P5</f>
        <v>-0.12133361880829213</v>
      </c>
      <c r="R9" s="15">
        <f>+R5-R6-R8</f>
        <v>-16.150899999999965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2">
        <f>+S9+AB9+AE9+AH9+AK9+Y9+P9+M9+J9+G9+D9+V9</f>
        <v>-831.38377000000014</v>
      </c>
      <c r="AQ9" s="64">
        <f>+AP9/$AP$5</f>
        <v>-0.12923526484808345</v>
      </c>
      <c r="AR9" s="15">
        <f>+AR5-AR6-AR8</f>
        <v>-81.508212745098035</v>
      </c>
      <c r="AS9" s="29">
        <f t="shared" si="0"/>
        <v>-166.27675400000004</v>
      </c>
      <c r="AT9" s="57"/>
      <c r="AU9" s="15">
        <f>+AU5-AU6-AU8</f>
        <v>-16.301642549019604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13</v>
      </c>
      <c r="C11" s="16"/>
      <c r="D11" s="32">
        <v>30</v>
      </c>
      <c r="E11" s="57"/>
      <c r="F11" s="86">
        <f>+D11/F4</f>
        <v>2.7272727272727271</v>
      </c>
      <c r="G11" s="32">
        <v>30</v>
      </c>
      <c r="H11" s="57"/>
      <c r="I11" s="86">
        <f>+G11/I4</f>
        <v>3</v>
      </c>
      <c r="J11" s="32">
        <v>30</v>
      </c>
      <c r="K11" s="57"/>
      <c r="L11" s="86">
        <f>+J11/L4</f>
        <v>3</v>
      </c>
      <c r="M11" s="32">
        <v>30</v>
      </c>
      <c r="N11" s="57"/>
      <c r="O11" s="86">
        <f>+M11/O4</f>
        <v>3</v>
      </c>
      <c r="P11" s="32">
        <v>30</v>
      </c>
      <c r="Q11" s="57"/>
      <c r="R11" s="86">
        <f>+P11/R4</f>
        <v>3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150</v>
      </c>
      <c r="AQ11" s="57"/>
      <c r="AR11" s="86">
        <f>+AP11/AR4</f>
        <v>14.705882352941178</v>
      </c>
      <c r="AS11" s="28">
        <f>+AP11/AS4</f>
        <v>30</v>
      </c>
      <c r="AT11" s="57"/>
      <c r="AU11" s="86">
        <f>+AS11/AU4</f>
        <v>2.9411764705882355</v>
      </c>
    </row>
    <row r="12" spans="2:47">
      <c r="B12" s="17" t="s">
        <v>10</v>
      </c>
      <c r="C12" s="16"/>
      <c r="D12" s="32">
        <v>1090.05656</v>
      </c>
      <c r="E12" s="57"/>
      <c r="F12" s="86">
        <f>+D12/F4</f>
        <v>99.096050909090906</v>
      </c>
      <c r="G12" s="32">
        <v>1065.2860000000001</v>
      </c>
      <c r="H12" s="57"/>
      <c r="I12" s="86">
        <f>+G12/I4</f>
        <v>106.52860000000001</v>
      </c>
      <c r="J12" s="32">
        <v>1092.56</v>
      </c>
      <c r="K12" s="57"/>
      <c r="L12" s="86">
        <f>+J12/L4</f>
        <v>109.256</v>
      </c>
      <c r="M12" s="32">
        <v>1195.2349999999999</v>
      </c>
      <c r="N12" s="57"/>
      <c r="O12" s="86">
        <f>+M12/O4</f>
        <v>119.52349999999998</v>
      </c>
      <c r="P12" s="32">
        <v>1179.5619999999999</v>
      </c>
      <c r="Q12" s="57"/>
      <c r="R12" s="86">
        <f>+P12/R4</f>
        <v>117.9562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1">
        <f>+S12+AB12+AE12+AH12+AK12+Y12+P12+M12+J12+G12+D12+V12</f>
        <v>5622.69956</v>
      </c>
      <c r="AQ12" s="57"/>
      <c r="AR12" s="86">
        <f>+AP12/AR4</f>
        <v>551.24505490196077</v>
      </c>
      <c r="AS12" s="14">
        <f t="shared" ref="AS12" si="1">+AP12/$AS$4</f>
        <v>1124.539912</v>
      </c>
      <c r="AT12" s="57"/>
      <c r="AU12" s="86">
        <f>+AS12/AU4</f>
        <v>110.24901098039216</v>
      </c>
    </row>
    <row r="13" spans="2:47">
      <c r="B13" s="18" t="s">
        <v>15</v>
      </c>
      <c r="C13" s="16"/>
      <c r="D13" s="33">
        <f>+D12/D5</f>
        <v>0.83539736794509045</v>
      </c>
      <c r="E13" s="57"/>
      <c r="F13" s="33"/>
      <c r="G13" s="33">
        <f>+G12/G5</f>
        <v>0.82756215148789136</v>
      </c>
      <c r="H13" s="57"/>
      <c r="I13" s="33"/>
      <c r="J13" s="33">
        <f>+J12/J5</f>
        <v>0.81740203871691752</v>
      </c>
      <c r="K13" s="57"/>
      <c r="L13" s="33"/>
      <c r="M13" s="33">
        <f>+M12/M5</f>
        <v>1.018722049248723</v>
      </c>
      <c r="N13" s="57"/>
      <c r="O13" s="33"/>
      <c r="P13" s="33">
        <f>+P12/P5</f>
        <v>0.88614582511653761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0.87402604310859</v>
      </c>
      <c r="AQ13" s="57"/>
      <c r="AR13" s="33"/>
      <c r="AS13" s="35">
        <f>+AS12/AS5</f>
        <v>0.87402604310859</v>
      </c>
      <c r="AT13" s="57"/>
      <c r="AU13" s="33"/>
    </row>
    <row r="14" spans="2:47">
      <c r="B14" s="18" t="s">
        <v>11</v>
      </c>
      <c r="C14" s="16"/>
      <c r="D14" s="8">
        <f>+D5/D11</f>
        <v>43.494533333333337</v>
      </c>
      <c r="E14" s="57"/>
      <c r="F14" s="8"/>
      <c r="G14" s="8">
        <f>+G5/G11</f>
        <v>42.9086</v>
      </c>
      <c r="H14" s="57"/>
      <c r="I14" s="8"/>
      <c r="J14" s="8">
        <f>+J5/J11</f>
        <v>44.554166666666667</v>
      </c>
      <c r="K14" s="57"/>
      <c r="L14" s="8"/>
      <c r="M14" s="8">
        <f>+M5/M11</f>
        <v>39.108966666666667</v>
      </c>
      <c r="N14" s="57"/>
      <c r="O14" s="8"/>
      <c r="P14" s="8">
        <f>+P5/P11</f>
        <v>44.3705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42.887353333333337</v>
      </c>
      <c r="AQ14" s="57"/>
      <c r="AR14" s="8"/>
      <c r="AS14" s="36">
        <f>+AS5/AS11</f>
        <v>42.88735333333333</v>
      </c>
      <c r="AT14" s="57"/>
      <c r="AU14" s="8"/>
    </row>
    <row r="15" spans="2:47">
      <c r="B15" s="10" t="s">
        <v>29</v>
      </c>
      <c r="C15" s="16"/>
      <c r="D15" s="8">
        <f>+D12/D11</f>
        <v>36.33521866666667</v>
      </c>
      <c r="E15" s="57"/>
      <c r="F15" s="8"/>
      <c r="G15" s="8">
        <f>+G12/G11</f>
        <v>35.509533333333337</v>
      </c>
      <c r="H15" s="57"/>
      <c r="I15" s="8"/>
      <c r="J15" s="8">
        <f>+J12/J11</f>
        <v>36.418666666666667</v>
      </c>
      <c r="K15" s="57"/>
      <c r="L15" s="8"/>
      <c r="M15" s="8">
        <f>+M12/M11</f>
        <v>39.841166666666666</v>
      </c>
      <c r="N15" s="57"/>
      <c r="O15" s="8"/>
      <c r="P15" s="8">
        <f>+P12/P11</f>
        <v>39.318733333333327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37.484663733333335</v>
      </c>
      <c r="AQ15" s="57"/>
      <c r="AR15" s="8"/>
      <c r="AS15" s="36">
        <f>+AS12/AS11</f>
        <v>37.484663733333335</v>
      </c>
      <c r="AT15" s="57"/>
      <c r="AU15" s="8"/>
    </row>
    <row r="16" spans="2:47">
      <c r="B16" s="18" t="s">
        <v>16</v>
      </c>
      <c r="C16" s="16"/>
      <c r="D16" s="33">
        <f>+D12/D7</f>
        <v>0.93720951559116739</v>
      </c>
      <c r="E16" s="57"/>
      <c r="F16" s="33"/>
      <c r="G16" s="33">
        <f>+G12/G7</f>
        <v>0.85682021851398471</v>
      </c>
      <c r="H16" s="57"/>
      <c r="I16" s="33"/>
      <c r="J16" s="33">
        <f>+J12/J7</f>
        <v>0.87199727169631547</v>
      </c>
      <c r="K16" s="57"/>
      <c r="L16" s="33"/>
      <c r="M16" s="33">
        <f>+M12/M7</f>
        <v>1.0866832737411565</v>
      </c>
      <c r="N16" s="57"/>
      <c r="O16" s="33"/>
      <c r="P16" s="33">
        <f>+P12/P7</f>
        <v>0.95244562584379255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0.93747948539226533</v>
      </c>
      <c r="AQ16" s="57"/>
      <c r="AR16" s="33"/>
      <c r="AS16" s="35">
        <f>+AS12/AS7</f>
        <v>0.93747948539226544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32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18</v>
      </c>
      <c r="C18" s="16"/>
      <c r="D18" s="11">
        <v>11289</v>
      </c>
      <c r="E18" s="11">
        <v>11289</v>
      </c>
      <c r="F18" s="67">
        <f>+D18/F4</f>
        <v>1026.2727272727273</v>
      </c>
      <c r="G18" s="11">
        <v>8835</v>
      </c>
      <c r="H18" s="11">
        <v>8835</v>
      </c>
      <c r="I18" s="67">
        <f>+G18/I4</f>
        <v>883.5</v>
      </c>
      <c r="J18" s="11">
        <v>8800</v>
      </c>
      <c r="K18" s="11">
        <v>8800</v>
      </c>
      <c r="L18" s="67">
        <f>+J18/L4</f>
        <v>880</v>
      </c>
      <c r="M18" s="11">
        <v>8478</v>
      </c>
      <c r="N18" s="11">
        <v>8478</v>
      </c>
      <c r="O18" s="67">
        <f>+M18/O4</f>
        <v>847.8</v>
      </c>
      <c r="P18" s="11">
        <v>10406</v>
      </c>
      <c r="Q18" s="11">
        <v>10406</v>
      </c>
      <c r="R18" s="67">
        <f>+P18/R4</f>
        <v>1040.5999999999999</v>
      </c>
      <c r="S18" s="11">
        <v>0</v>
      </c>
      <c r="T18" s="11">
        <v>10883</v>
      </c>
      <c r="U18" s="67" t="e">
        <f>+S18/U4</f>
        <v>#DIV/0!</v>
      </c>
      <c r="V18" s="11">
        <v>0</v>
      </c>
      <c r="W18" s="11">
        <v>11474</v>
      </c>
      <c r="X18" s="67" t="e">
        <f>+V18/X4</f>
        <v>#DIV/0!</v>
      </c>
      <c r="Y18" s="11">
        <v>0</v>
      </c>
      <c r="Z18" s="11">
        <v>10950</v>
      </c>
      <c r="AA18" s="67" t="e">
        <f>+Y18/AA4</f>
        <v>#DIV/0!</v>
      </c>
      <c r="AB18" s="11">
        <v>0</v>
      </c>
      <c r="AC18" s="11">
        <v>11343</v>
      </c>
      <c r="AD18" s="67" t="e">
        <f>+AB18/AD4</f>
        <v>#DIV/0!</v>
      </c>
      <c r="AE18" s="11">
        <v>0</v>
      </c>
      <c r="AF18" s="11">
        <v>11447</v>
      </c>
      <c r="AG18" s="67" t="e">
        <f>+AE18/AG4</f>
        <v>#DIV/0!</v>
      </c>
      <c r="AH18" s="11">
        <v>0</v>
      </c>
      <c r="AI18" s="11">
        <v>11898</v>
      </c>
      <c r="AJ18" s="67" t="e">
        <f>+AH18/AJ4</f>
        <v>#DIV/0!</v>
      </c>
      <c r="AK18" s="11">
        <v>0</v>
      </c>
      <c r="AL18" s="11">
        <v>8288</v>
      </c>
      <c r="AM18" s="67" t="e">
        <f>+AK18/AM4</f>
        <v>#DIV/0!</v>
      </c>
      <c r="AN18" s="16"/>
      <c r="AO18" s="16"/>
      <c r="AP18" s="91">
        <f t="shared" ref="AP18:AP20" si="2">+S18+AB18+AE18+AH18+AK18+Y18+P18+M18+J18+G18+D18+V18</f>
        <v>47808</v>
      </c>
      <c r="AQ18" s="67">
        <f>+E18+K18+N18+Q18+H18</f>
        <v>47808</v>
      </c>
      <c r="AR18" s="67">
        <f>+AP18/AR4</f>
        <v>4687.0588235294117</v>
      </c>
      <c r="AS18" s="14">
        <f t="shared" ref="AS18:AT20" si="3">+AP18/$AS$4</f>
        <v>9561.6</v>
      </c>
      <c r="AT18" s="67">
        <f t="shared" si="3"/>
        <v>9561.6</v>
      </c>
      <c r="AU18" s="67">
        <f>+AS18/AU4</f>
        <v>937.41176470588243</v>
      </c>
    </row>
    <row r="19" spans="2:47">
      <c r="B19" s="17" t="s">
        <v>28</v>
      </c>
      <c r="C19" s="16"/>
      <c r="D19" s="11">
        <v>1266.05</v>
      </c>
      <c r="E19" s="11">
        <v>1266.05</v>
      </c>
      <c r="F19" s="67">
        <f>+D19/F4</f>
        <v>115.09545454545454</v>
      </c>
      <c r="G19" s="11">
        <v>915.91</v>
      </c>
      <c r="H19" s="11">
        <v>915.91</v>
      </c>
      <c r="I19" s="67">
        <f>+G19/I4</f>
        <v>91.590999999999994</v>
      </c>
      <c r="J19" s="11">
        <v>677.02</v>
      </c>
      <c r="K19" s="11">
        <v>677.02</v>
      </c>
      <c r="L19" s="67">
        <f>+J19/L4</f>
        <v>67.701999999999998</v>
      </c>
      <c r="M19" s="11">
        <v>962.19</v>
      </c>
      <c r="N19" s="11">
        <v>962.19</v>
      </c>
      <c r="O19" s="67">
        <f>+M19/O4</f>
        <v>96.219000000000008</v>
      </c>
      <c r="P19" s="11">
        <v>808.51</v>
      </c>
      <c r="Q19" s="11">
        <v>808.51</v>
      </c>
      <c r="R19" s="67">
        <f>+P19/R4</f>
        <v>80.850999999999999</v>
      </c>
      <c r="S19" s="11">
        <v>0</v>
      </c>
      <c r="T19" s="11">
        <v>1084.23</v>
      </c>
      <c r="U19" s="67" t="e">
        <f>+S19/U4</f>
        <v>#DIV/0!</v>
      </c>
      <c r="V19" s="11">
        <v>0</v>
      </c>
      <c r="W19" s="11">
        <v>940.16</v>
      </c>
      <c r="X19" s="67" t="e">
        <f>+V19/X4</f>
        <v>#DIV/0!</v>
      </c>
      <c r="Y19" s="11">
        <v>0</v>
      </c>
      <c r="Z19" s="11">
        <v>988.01</v>
      </c>
      <c r="AA19" s="67" t="e">
        <f>+Y19/AA4</f>
        <v>#DIV/0!</v>
      </c>
      <c r="AB19" s="11">
        <v>0</v>
      </c>
      <c r="AC19" s="11">
        <v>1010.47</v>
      </c>
      <c r="AD19" s="67" t="e">
        <f>+AB19/AD4</f>
        <v>#DIV/0!</v>
      </c>
      <c r="AE19" s="11">
        <v>0</v>
      </c>
      <c r="AF19" s="11">
        <v>1109.47</v>
      </c>
      <c r="AG19" s="67" t="e">
        <f>+AE19/AG4</f>
        <v>#DIV/0!</v>
      </c>
      <c r="AH19" s="11">
        <v>0</v>
      </c>
      <c r="AI19" s="11">
        <v>1170.1300000000001</v>
      </c>
      <c r="AJ19" s="67" t="e">
        <f>+AH19/AJ4</f>
        <v>#DIV/0!</v>
      </c>
      <c r="AK19" s="11">
        <v>0</v>
      </c>
      <c r="AL19" s="11">
        <v>769.1</v>
      </c>
      <c r="AM19" s="67" t="e">
        <f>+AK19/AM4</f>
        <v>#DIV/0!</v>
      </c>
      <c r="AN19" s="16"/>
      <c r="AO19" s="16"/>
      <c r="AP19" s="91">
        <f t="shared" si="2"/>
        <v>4629.68</v>
      </c>
      <c r="AQ19" s="67">
        <f>+E19+K19+N19+Q19+H19</f>
        <v>4629.68</v>
      </c>
      <c r="AR19" s="67">
        <f>+AP19/AR4</f>
        <v>453.89019607843142</v>
      </c>
      <c r="AS19" s="14">
        <f t="shared" si="3"/>
        <v>925.93600000000004</v>
      </c>
      <c r="AT19" s="67">
        <f t="shared" si="3"/>
        <v>925.93600000000004</v>
      </c>
      <c r="AU19" s="67">
        <f>+AS19/AU4</f>
        <v>90.778039215686277</v>
      </c>
    </row>
    <row r="20" spans="2:47">
      <c r="B20" s="17" t="s">
        <v>23</v>
      </c>
      <c r="C20" s="16"/>
      <c r="D20" s="11">
        <f>10.027+26.993</f>
        <v>37.019999999999996</v>
      </c>
      <c r="E20" s="59">
        <v>37.020510000000002</v>
      </c>
      <c r="F20" s="67">
        <f>+D20/F4</f>
        <v>3.3654545454545453</v>
      </c>
      <c r="G20" s="11">
        <f>8.3683+18.4805</f>
        <v>26.848799999999997</v>
      </c>
      <c r="H20" s="59">
        <v>26.848780000000001</v>
      </c>
      <c r="I20" s="67">
        <f>+G20/I4</f>
        <v>2.6848799999999997</v>
      </c>
      <c r="J20" s="59">
        <f>7.9578+11.8157</f>
        <v>19.773499999999999</v>
      </c>
      <c r="K20" s="59">
        <v>19.77347</v>
      </c>
      <c r="L20" s="67">
        <f>+J20/L4</f>
        <v>1.9773499999999999</v>
      </c>
      <c r="M20" s="11">
        <f>9.1233+18.716</f>
        <v>27.839300000000001</v>
      </c>
      <c r="N20" s="59">
        <v>27.838999999999999</v>
      </c>
      <c r="O20" s="67">
        <f>+M20/O4</f>
        <v>2.7839300000000002</v>
      </c>
      <c r="P20" s="11">
        <f>9.5012+13.6155</f>
        <v>23.116700000000002</v>
      </c>
      <c r="Q20" s="59">
        <v>23.11674</v>
      </c>
      <c r="R20" s="67">
        <f>+P20/R4</f>
        <v>2.3116700000000003</v>
      </c>
      <c r="S20" s="11">
        <v>0</v>
      </c>
      <c r="T20" s="59">
        <v>33.999879999999997</v>
      </c>
      <c r="U20" s="67" t="e">
        <f>+S20/U4</f>
        <v>#DIV/0!</v>
      </c>
      <c r="V20" s="11">
        <v>0</v>
      </c>
      <c r="W20" s="59">
        <v>28.672419999999999</v>
      </c>
      <c r="X20" s="67" t="e">
        <f>+V20/X4</f>
        <v>#DIV/0!</v>
      </c>
      <c r="Y20" s="11">
        <v>0</v>
      </c>
      <c r="Z20" s="59">
        <v>28.427289999999999</v>
      </c>
      <c r="AA20" s="67" t="e">
        <f>+Y20/AA4</f>
        <v>#DIV/0!</v>
      </c>
      <c r="AB20" s="11">
        <v>0</v>
      </c>
      <c r="AC20" s="59">
        <v>27.884</v>
      </c>
      <c r="AD20" s="67" t="e">
        <f>+AB20/AD4</f>
        <v>#DIV/0!</v>
      </c>
      <c r="AE20" s="11">
        <v>0</v>
      </c>
      <c r="AF20" s="59">
        <v>30.214670000000002</v>
      </c>
      <c r="AG20" s="67" t="e">
        <f>+AE20/AG4</f>
        <v>#DIV/0!</v>
      </c>
      <c r="AH20" s="11">
        <v>0</v>
      </c>
      <c r="AI20" s="59">
        <v>31.814689999999999</v>
      </c>
      <c r="AJ20" s="67" t="e">
        <f>+AH20/AJ4</f>
        <v>#DIV/0!</v>
      </c>
      <c r="AK20" s="11">
        <v>0</v>
      </c>
      <c r="AL20" s="59">
        <v>20.26341</v>
      </c>
      <c r="AM20" s="67" t="e">
        <f>+AK20/AM4</f>
        <v>#DIV/0!</v>
      </c>
      <c r="AN20" s="16"/>
      <c r="AO20" s="16"/>
      <c r="AP20" s="91">
        <f t="shared" si="2"/>
        <v>134.59829999999999</v>
      </c>
      <c r="AQ20" s="67">
        <f>+E20+K20+N20+Q20+H20</f>
        <v>134.5985</v>
      </c>
      <c r="AR20" s="67">
        <f>+AP20/AR4</f>
        <v>13.195911764705883</v>
      </c>
      <c r="AS20" s="14">
        <f t="shared" si="3"/>
        <v>26.91966</v>
      </c>
      <c r="AT20" s="67">
        <f t="shared" si="3"/>
        <v>26.919699999999999</v>
      </c>
      <c r="AU20" s="67">
        <f>+AS20/AU4</f>
        <v>2.6391823529411766</v>
      </c>
    </row>
    <row r="21" spans="2:47">
      <c r="B21" s="18" t="s">
        <v>14</v>
      </c>
      <c r="C21" s="16"/>
      <c r="D21" s="44">
        <f t="shared" ref="D21:E21" si="4">+D20/D19*1000</f>
        <v>29.24055132103787</v>
      </c>
      <c r="E21" s="60">
        <f t="shared" si="4"/>
        <v>29.240954148730307</v>
      </c>
      <c r="F21" s="60"/>
      <c r="G21" s="44">
        <f t="shared" ref="G21:H21" si="5">+G20/G19*1000</f>
        <v>29.313797207149172</v>
      </c>
      <c r="H21" s="60">
        <f t="shared" si="5"/>
        <v>29.313775370942562</v>
      </c>
      <c r="I21" s="60"/>
      <c r="J21" s="44">
        <f t="shared" ref="J21" si="6">+J20/J19*1000</f>
        <v>29.206670408555137</v>
      </c>
      <c r="K21" s="60">
        <f t="shared" ref="K21" si="7">+K20/K19*1000</f>
        <v>29.206626096717969</v>
      </c>
      <c r="L21" s="60"/>
      <c r="M21" s="44">
        <f t="shared" ref="M21" si="8">+M20/M19*1000</f>
        <v>28.933266818403851</v>
      </c>
      <c r="N21" s="60">
        <f t="shared" ref="N21" si="9">+N20/N19*1000</f>
        <v>28.932955029671891</v>
      </c>
      <c r="O21" s="60"/>
      <c r="P21" s="44">
        <f t="shared" ref="P21" si="10">+P20/P19*1000</f>
        <v>28.591730467155632</v>
      </c>
      <c r="Q21" s="60">
        <f t="shared" ref="Q21" si="11">+Q20/Q19*1000</f>
        <v>28.591779940878901</v>
      </c>
      <c r="R21" s="60"/>
      <c r="S21" s="44" t="e">
        <f t="shared" ref="S21" si="12">+S20/S19*1000</f>
        <v>#DIV/0!</v>
      </c>
      <c r="T21" s="60">
        <f t="shared" ref="T21:AC21" si="13">+T20/T19*1000</f>
        <v>31.358549385278032</v>
      </c>
      <c r="U21" s="60"/>
      <c r="V21" s="44" t="e">
        <f t="shared" ref="V21" si="14">+V20/V19*1000</f>
        <v>#DIV/0!</v>
      </c>
      <c r="W21" s="60">
        <f t="shared" ref="W21" si="15">+W20/W19*1000</f>
        <v>30.497383424098025</v>
      </c>
      <c r="X21" s="68"/>
      <c r="Y21" s="44" t="e">
        <f t="shared" ref="Y21" si="16">+Y20/Y19*1000</f>
        <v>#DIV/0!</v>
      </c>
      <c r="Z21" s="60">
        <f t="shared" ref="Z21" si="17">+Z20/Z19*1000</f>
        <v>28.77226951144219</v>
      </c>
      <c r="AA21" s="68"/>
      <c r="AB21" s="44" t="e">
        <f t="shared" ref="AB21" si="18">+AB20/AB19*1000</f>
        <v>#DIV/0!</v>
      </c>
      <c r="AC21" s="60">
        <f t="shared" si="13"/>
        <v>27.595079517452273</v>
      </c>
      <c r="AD21" s="60"/>
      <c r="AE21" s="44" t="e">
        <f t="shared" ref="AE21" si="19">+AE20/AE19*1000</f>
        <v>#DIV/0!</v>
      </c>
      <c r="AF21" s="60">
        <f t="shared" ref="AF21" si="20">+AF20/AF19*1000</f>
        <v>27.233426771341271</v>
      </c>
      <c r="AG21" s="60"/>
      <c r="AH21" s="44" t="e">
        <f t="shared" ref="AH21" si="21">+AH20/AH19*1000</f>
        <v>#DIV/0!</v>
      </c>
      <c r="AI21" s="60">
        <f t="shared" ref="AI21" si="22">+AI20/AI19*1000</f>
        <v>27.189021732627992</v>
      </c>
      <c r="AJ21" s="60"/>
      <c r="AK21" s="44" t="e">
        <f t="shared" ref="AK21" si="23">+AK20/AK19*1000</f>
        <v>#DIV/0!</v>
      </c>
      <c r="AL21" s="60">
        <f t="shared" ref="AL21" si="24">+AL20/AL19*1000</f>
        <v>26.346911975035756</v>
      </c>
      <c r="AM21" s="16"/>
      <c r="AN21" s="16"/>
      <c r="AO21" s="16"/>
      <c r="AP21" s="45">
        <f>+AP20/AP19*1000</f>
        <v>29.072916486668621</v>
      </c>
      <c r="AQ21" s="68">
        <f>+AQ20/AQ19*1000</f>
        <v>29.072959686198615</v>
      </c>
      <c r="AR21" s="60"/>
      <c r="AS21" s="45">
        <f>+AS20/AS19*1000</f>
        <v>29.072916486668621</v>
      </c>
      <c r="AT21" s="68">
        <f>+AT20/AT19*1000</f>
        <v>29.072959686198612</v>
      </c>
      <c r="AU21" s="60"/>
    </row>
    <row r="22" spans="2:47">
      <c r="B22" s="18" t="s">
        <v>17</v>
      </c>
      <c r="C22" s="16"/>
      <c r="D22" s="46">
        <f>+D19/D18</f>
        <v>0.11214899459650987</v>
      </c>
      <c r="E22" s="46">
        <f>+E19/E18</f>
        <v>0.11214899459650987</v>
      </c>
      <c r="F22" s="61"/>
      <c r="G22" s="46">
        <f>+G19/G18</f>
        <v>0.10366836445953594</v>
      </c>
      <c r="H22" s="46">
        <f>+H19/H18</f>
        <v>0.10366836445953594</v>
      </c>
      <c r="I22" s="61"/>
      <c r="J22" s="46">
        <f>+J19/J18</f>
        <v>7.693409090909091E-2</v>
      </c>
      <c r="K22" s="46">
        <f>+K19/K18</f>
        <v>7.693409090909091E-2</v>
      </c>
      <c r="L22" s="61"/>
      <c r="M22" s="46">
        <f>+M19/M18</f>
        <v>0.11349256900212315</v>
      </c>
      <c r="N22" s="46">
        <f>+N19/N18</f>
        <v>0.11349256900212315</v>
      </c>
      <c r="O22" s="61"/>
      <c r="P22" s="46">
        <f>+P19/P18</f>
        <v>7.7696521237747451E-2</v>
      </c>
      <c r="Q22" s="46">
        <f>+Q19/Q18</f>
        <v>7.7696521237747451E-2</v>
      </c>
      <c r="R22" s="61"/>
      <c r="S22" s="46" t="e">
        <f>+S19/S18</f>
        <v>#DIV/0!</v>
      </c>
      <c r="T22" s="46">
        <f>+T19/T18</f>
        <v>9.9626022236515663E-2</v>
      </c>
      <c r="U22" s="61"/>
      <c r="V22" s="46" t="e">
        <f>+V19/V18</f>
        <v>#DIV/0!</v>
      </c>
      <c r="W22" s="47">
        <f>+W19/W18</f>
        <v>8.1938295276276801E-2</v>
      </c>
      <c r="X22" s="69"/>
      <c r="Y22" s="46" t="e">
        <f>+Y19/Y18</f>
        <v>#DIV/0!</v>
      </c>
      <c r="Z22" s="47">
        <f>+Z19/Z18</f>
        <v>9.0229223744292236E-2</v>
      </c>
      <c r="AA22" s="69"/>
      <c r="AB22" s="46" t="e">
        <f>+AB19/AB18</f>
        <v>#DIV/0!</v>
      </c>
      <c r="AC22" s="47">
        <f>+AC19/AC18</f>
        <v>8.9083134973111169E-2</v>
      </c>
      <c r="AD22" s="61"/>
      <c r="AE22" s="46" t="e">
        <f>+AE19/AE18</f>
        <v>#DIV/0!</v>
      </c>
      <c r="AF22" s="47">
        <f>+AF19/AF18</f>
        <v>9.6922337730409716E-2</v>
      </c>
      <c r="AG22" s="61"/>
      <c r="AH22" s="46" t="e">
        <f>+AH19/AH18</f>
        <v>#DIV/0!</v>
      </c>
      <c r="AI22" s="47">
        <f>+AI19/AI18</f>
        <v>9.8346780971591871E-2</v>
      </c>
      <c r="AJ22" s="61"/>
      <c r="AK22" s="46" t="e">
        <f>+AK19/AK18</f>
        <v>#DIV/0!</v>
      </c>
      <c r="AL22" s="47">
        <f>+AL19/AL18</f>
        <v>9.2796814671814679E-2</v>
      </c>
      <c r="AM22" s="16"/>
      <c r="AN22" s="16"/>
      <c r="AO22" s="16"/>
      <c r="AP22" s="47">
        <f>+AP19/AP18</f>
        <v>9.6839022757697457E-2</v>
      </c>
      <c r="AQ22" s="47">
        <f>+AQ19/AQ18</f>
        <v>9.6839022757697457E-2</v>
      </c>
      <c r="AR22" s="61"/>
      <c r="AS22" s="47">
        <f>+AS19/AS18</f>
        <v>9.6839022757697457E-2</v>
      </c>
      <c r="AT22" s="47">
        <f>+AT19/AT18</f>
        <v>9.6839022757697457E-2</v>
      </c>
      <c r="AU22" s="61"/>
    </row>
    <row r="23" spans="2:47">
      <c r="B23" s="10" t="s">
        <v>24</v>
      </c>
      <c r="C23" s="10"/>
      <c r="D23" s="48">
        <f>+D20*1000/(D18*D21)*100</f>
        <v>11.214899459650988</v>
      </c>
      <c r="E23" s="48">
        <f>+E20*1000/(E18*E21)*100</f>
        <v>11.214899459650987</v>
      </c>
      <c r="F23" s="62"/>
      <c r="G23" s="48">
        <f>+G20*1000/(G18*G21)*100</f>
        <v>10.366836445953592</v>
      </c>
      <c r="H23" s="48">
        <f>+H20*1000/(H18*H21)*100</f>
        <v>10.366836445953593</v>
      </c>
      <c r="I23" s="62"/>
      <c r="J23" s="48">
        <f>+J20*1000/(J18*J21)*100</f>
        <v>7.6934090909090909</v>
      </c>
      <c r="K23" s="48">
        <f>+K20*1000/(K18*K21)*100</f>
        <v>7.6934090909090926</v>
      </c>
      <c r="L23" s="62"/>
      <c r="M23" s="48">
        <f>+M20*1000/(M18*M21)*100</f>
        <v>11.349256900212316</v>
      </c>
      <c r="N23" s="48">
        <f>+N20*1000/(N18*N21)*100</f>
        <v>11.349256900212316</v>
      </c>
      <c r="O23" s="62"/>
      <c r="P23" s="48">
        <f>+P20*1000/(P18*P21)*100</f>
        <v>7.7696521237747449</v>
      </c>
      <c r="Q23" s="48">
        <f>+Q20*1000/(Q18*Q21)*100</f>
        <v>7.7696521237747449</v>
      </c>
      <c r="R23" s="62"/>
      <c r="S23" s="48" t="e">
        <f>+S20*1000/(S18*S21)*100</f>
        <v>#DIV/0!</v>
      </c>
      <c r="T23" s="48">
        <f>+T20*1000/(T18*T21)*100</f>
        <v>9.9626022236515652</v>
      </c>
      <c r="U23" s="62"/>
      <c r="V23" s="48" t="e">
        <f>+V20*1000/(V18*V21)*100</f>
        <v>#DIV/0!</v>
      </c>
      <c r="W23" s="49">
        <f>+W20/(W18*W21)*1000*100</f>
        <v>8.1938295276276794</v>
      </c>
      <c r="X23" s="70"/>
      <c r="Y23" s="48" t="e">
        <f>+Y20*1000/(Y18*Y21)*100</f>
        <v>#DIV/0!</v>
      </c>
      <c r="Z23" s="49">
        <f>+Z20/(Z18*Z21)*1000*100</f>
        <v>9.0229223744292231</v>
      </c>
      <c r="AA23" s="70"/>
      <c r="AB23" s="48" t="e">
        <f>+AB20*1000/(AB18*AB21)*100</f>
        <v>#DIV/0!</v>
      </c>
      <c r="AC23" s="49">
        <f>+AC20/(AC18*AC21)*1000*100</f>
        <v>8.9083134973111182</v>
      </c>
      <c r="AD23" s="62"/>
      <c r="AE23" s="48" t="e">
        <f>+AE20*1000/(AE18*AE21)*100</f>
        <v>#DIV/0!</v>
      </c>
      <c r="AF23" s="49">
        <f>+AF20/(AF18*AF21)*1000*100</f>
        <v>9.6922337730409716</v>
      </c>
      <c r="AG23" s="62"/>
      <c r="AH23" s="48" t="e">
        <f>+AH20*1000/(AH18*AH21)*100</f>
        <v>#DIV/0!</v>
      </c>
      <c r="AI23" s="49">
        <f>+AI20/(AI18*AI21)*1000*100</f>
        <v>9.8346780971591876</v>
      </c>
      <c r="AJ23" s="62"/>
      <c r="AK23" s="48" t="e">
        <f>+AK20*1000/(AK18*AK21)*100</f>
        <v>#DIV/0!</v>
      </c>
      <c r="AL23" s="49">
        <f>+AL20/(AL18*AL21)*1000*100</f>
        <v>9.2796814671814669</v>
      </c>
      <c r="AM23" s="16"/>
      <c r="AN23" s="16"/>
      <c r="AO23" s="16"/>
      <c r="AP23" s="49">
        <f>+AP20/(AP18*AP21)*1000*100</f>
        <v>9.6839022757697464</v>
      </c>
      <c r="AQ23" s="49">
        <f>+AQ20/(AQ18*AQ21)*1000*100</f>
        <v>9.6839022757697464</v>
      </c>
      <c r="AR23" s="62"/>
      <c r="AS23" s="49">
        <f>+AS20/(AS18*AS21)*1000*100</f>
        <v>9.6839022757697464</v>
      </c>
      <c r="AT23" s="49">
        <f>+AT20/(AT18*AT21)*1000*100</f>
        <v>9.6839022757697464</v>
      </c>
    </row>
    <row r="24" spans="2:47">
      <c r="B24" s="18" t="s">
        <v>34</v>
      </c>
      <c r="C24" s="10"/>
      <c r="D24" s="48">
        <f>+D20/D18*1000</f>
        <v>3.279298432102046</v>
      </c>
      <c r="E24" s="48">
        <f>+E20/E18*1000</f>
        <v>3.2793436088227481</v>
      </c>
      <c r="F24" s="62"/>
      <c r="G24" s="48">
        <f>+G20/G18*1000</f>
        <v>3.0389134125636672</v>
      </c>
      <c r="H24" s="48">
        <f>+H20/H18*1000</f>
        <v>3.0389111488398415</v>
      </c>
      <c r="I24" s="62"/>
      <c r="J24" s="48">
        <f>+J20/J18*1000</f>
        <v>2.2469886363636364</v>
      </c>
      <c r="K24" s="48">
        <f>+K20/K18*1000</f>
        <v>2.2469852272727269</v>
      </c>
      <c r="L24" s="62"/>
      <c r="M24" s="48">
        <f>+M20/M18*1000</f>
        <v>3.2837107808445389</v>
      </c>
      <c r="N24" s="48">
        <f>+N20/N18*1000</f>
        <v>3.2836753951403628</v>
      </c>
      <c r="O24" s="62"/>
      <c r="P24" s="48">
        <f>+P20/P18*1000</f>
        <v>2.2214779934653088</v>
      </c>
      <c r="Q24" s="48">
        <f>+Q20/Q18*1000</f>
        <v>2.2214818374014991</v>
      </c>
      <c r="R24" s="62"/>
      <c r="S24" s="48" t="e">
        <f>+S20/S18*1000</f>
        <v>#DIV/0!</v>
      </c>
      <c r="T24" s="48">
        <f>+T20/T18*1000</f>
        <v>3.1241275383625835</v>
      </c>
      <c r="U24" s="62"/>
      <c r="V24" s="48" t="e">
        <f>+V20/V18*1000</f>
        <v>#DIV/0!</v>
      </c>
      <c r="W24" s="48">
        <f>+W20/W18*1000</f>
        <v>2.4989036081575735</v>
      </c>
      <c r="X24" s="62"/>
      <c r="Y24" s="48" t="e">
        <f>+Y20/Y18*1000</f>
        <v>#DIV/0!</v>
      </c>
      <c r="Z24" s="48">
        <f>+Z20/Z18*1000</f>
        <v>2.5960995433789953</v>
      </c>
      <c r="AA24" s="62"/>
      <c r="AB24" s="48" t="e">
        <f>+AB20/AB18*1000</f>
        <v>#DIV/0!</v>
      </c>
      <c r="AC24" s="48">
        <f>+AC20/AC18*1000</f>
        <v>2.4582561932469367</v>
      </c>
      <c r="AD24" s="62"/>
      <c r="AE24" s="48" t="e">
        <f>+AE20/AE18*1000</f>
        <v>#DIV/0!</v>
      </c>
      <c r="AF24" s="48">
        <f>+AF20/AF18*1000</f>
        <v>2.6395273870883202</v>
      </c>
      <c r="AG24" s="62"/>
      <c r="AH24" s="48" t="e">
        <f>+AH20/AH18*1000</f>
        <v>#DIV/0!</v>
      </c>
      <c r="AI24" s="48">
        <f>+AI20/AI18*1000</f>
        <v>2.673952765170617</v>
      </c>
      <c r="AJ24" s="62"/>
      <c r="AK24" s="48" t="e">
        <f>+AK20/AK18*1000</f>
        <v>#DIV/0!</v>
      </c>
      <c r="AL24" s="48">
        <f>+AL20/AL18*1000</f>
        <v>2.4449095077220075</v>
      </c>
      <c r="AM24" s="16"/>
      <c r="AN24" s="16"/>
      <c r="AO24" s="16"/>
      <c r="AP24" s="48">
        <f>+AP20/AP18*1000</f>
        <v>2.8153928212851405</v>
      </c>
      <c r="AQ24" s="48">
        <f>+AQ20/AQ18*1000</f>
        <v>2.815397004685408</v>
      </c>
      <c r="AR24" s="62"/>
      <c r="AS24" s="48">
        <f>+AS20/AS18*1000</f>
        <v>2.8153928212851405</v>
      </c>
      <c r="AT24" s="48">
        <f>+AT20/AT18*1000</f>
        <v>2.815397004685408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31</v>
      </c>
      <c r="C26" s="19"/>
      <c r="D26" s="21">
        <f>+D8/(1-D6/D5)</f>
        <v>1573.9255293079359</v>
      </c>
      <c r="E26" s="63"/>
      <c r="F26" s="63"/>
      <c r="G26" s="21">
        <f>+G8/(1-G6/G5)</f>
        <v>1289.0862290207833</v>
      </c>
      <c r="H26" s="63"/>
      <c r="I26" s="63"/>
      <c r="J26" s="21">
        <f>+J8/(1-J6/J5)</f>
        <v>1460.315904295913</v>
      </c>
      <c r="K26" s="63"/>
      <c r="L26" s="63"/>
      <c r="M26" s="21">
        <f>+M8/(1-M6/M5)</f>
        <v>1506.408383131891</v>
      </c>
      <c r="N26" s="63"/>
      <c r="O26" s="63"/>
      <c r="P26" s="21">
        <f>+P8/(1-P6/P5)</f>
        <v>1504.7078063128604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7324.8444246502568</v>
      </c>
      <c r="AQ26" s="71"/>
      <c r="AR26" s="71"/>
      <c r="AS26" s="31">
        <f>+AS8/(1-AS6/AS5)</f>
        <v>1464.9688849300514</v>
      </c>
      <c r="AT26" s="71"/>
    </row>
    <row r="27" spans="2:47">
      <c r="Y27" s="12"/>
    </row>
    <row r="28" spans="2:47">
      <c r="Y28" s="12"/>
    </row>
    <row r="29" spans="2:47">
      <c r="B29" s="93"/>
      <c r="Y29" s="12"/>
    </row>
    <row r="30" spans="2:47">
      <c r="B30" s="93" t="s">
        <v>36</v>
      </c>
      <c r="Y30" s="12"/>
    </row>
    <row r="31" spans="2:47">
      <c r="B31" s="93" t="s">
        <v>37</v>
      </c>
      <c r="Y31" s="12"/>
    </row>
    <row r="32" spans="2:47">
      <c r="B32" s="93" t="s">
        <v>38</v>
      </c>
      <c r="Y32" s="12"/>
      <c r="AB32" s="12"/>
    </row>
    <row r="33" spans="2:25">
      <c r="B33" s="93" t="s">
        <v>39</v>
      </c>
      <c r="Y33" s="12"/>
    </row>
    <row r="34" spans="2:25">
      <c r="B34" s="93" t="s">
        <v>40</v>
      </c>
      <c r="Y34" s="12"/>
    </row>
    <row r="35" spans="2:25">
      <c r="B35" s="94" t="s">
        <v>41</v>
      </c>
      <c r="Y35" s="12"/>
    </row>
    <row r="36" spans="2:25">
      <c r="B36" s="93"/>
      <c r="Y36" s="12"/>
    </row>
    <row r="37" spans="2:25">
      <c r="B37" s="93"/>
      <c r="Y37" s="12"/>
    </row>
    <row r="38" spans="2:25">
      <c r="B38" s="93"/>
      <c r="Y38" s="12"/>
    </row>
    <row r="39" spans="2:25">
      <c r="B39" s="93"/>
      <c r="Y39" s="12"/>
    </row>
    <row r="40" spans="2:25">
      <c r="B40" s="93"/>
      <c r="Y40" s="12"/>
    </row>
    <row r="41" spans="2:25">
      <c r="Y41" s="12"/>
    </row>
    <row r="42" spans="2:25">
      <c r="Y42" s="12"/>
    </row>
    <row r="43" spans="2:25">
      <c r="Y43" s="12"/>
    </row>
    <row r="44" spans="2:25">
      <c r="Y44" s="12"/>
    </row>
    <row r="45" spans="2:25">
      <c r="Y45" s="12"/>
    </row>
    <row r="46" spans="2:25">
      <c r="Y46" s="12"/>
    </row>
    <row r="47" spans="2:25">
      <c r="Y47" s="12"/>
    </row>
    <row r="48" spans="2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2016</vt:lpstr>
      <vt:lpstr>2017</vt:lpstr>
      <vt:lpstr>'2016'!Oblast_tisku</vt:lpstr>
      <vt:lpstr>'2017'!Oblast_tisku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2017-07-12T11:44:26Z</cp:lastPrinted>
  <dcterms:created xsi:type="dcterms:W3CDTF">2014-10-14T11:21:48Z</dcterms:created>
  <dcterms:modified xsi:type="dcterms:W3CDTF">2017-07-12T11:46:05Z</dcterms:modified>
</cp:coreProperties>
</file>