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12" i="1"/>
  <c r="D42"/>
  <c r="P12"/>
  <c r="B17" l="1"/>
  <c r="B13"/>
  <c r="B12"/>
  <c r="H5"/>
  <c r="C42"/>
  <c r="C44"/>
  <c r="C29"/>
  <c r="C26"/>
  <c r="C25"/>
  <c r="N14"/>
  <c r="Q19"/>
  <c r="D35"/>
  <c r="D38"/>
  <c r="C28"/>
  <c r="C27"/>
  <c r="C24"/>
  <c r="C23"/>
  <c r="C22"/>
  <c r="C30" l="1"/>
  <c r="C14"/>
  <c r="R15"/>
  <c r="R16"/>
  <c r="E35" l="1"/>
  <c r="C18"/>
  <c r="N18" l="1"/>
  <c r="O17"/>
  <c r="C17"/>
  <c r="O12"/>
  <c r="C12"/>
  <c r="N13"/>
  <c r="D34" s="1"/>
  <c r="J17"/>
  <c r="J13"/>
  <c r="I17"/>
  <c r="D47" s="1"/>
  <c r="I14"/>
  <c r="D44" s="1"/>
  <c r="I13"/>
  <c r="D43" s="1"/>
  <c r="I12"/>
  <c r="B14"/>
  <c r="P13"/>
  <c r="R13" s="1"/>
  <c r="R12"/>
  <c r="C5"/>
  <c r="O3"/>
  <c r="B9"/>
  <c r="P9" s="1"/>
  <c r="B6"/>
  <c r="P6" s="1"/>
  <c r="M5"/>
  <c r="J3"/>
  <c r="M3" s="1"/>
  <c r="P5" l="1"/>
  <c r="P14"/>
  <c r="R14" s="1"/>
  <c r="D39"/>
  <c r="P18"/>
  <c r="R18" s="1"/>
  <c r="C3"/>
  <c r="H4"/>
  <c r="J4"/>
  <c r="M4" s="1"/>
  <c r="P4" s="1"/>
  <c r="O8"/>
  <c r="J8"/>
  <c r="M8" s="1"/>
  <c r="B8"/>
  <c r="C8"/>
  <c r="M10" l="1"/>
  <c r="B10"/>
  <c r="P17"/>
  <c r="H8"/>
  <c r="P8" s="1"/>
  <c r="P3"/>
  <c r="H3"/>
  <c r="P10"/>
  <c r="R17" l="1"/>
  <c r="R19" s="1"/>
  <c r="P19"/>
</calcChain>
</file>

<file path=xl/comments1.xml><?xml version="1.0" encoding="utf-8"?>
<comments xmlns="http://schemas.openxmlformats.org/spreadsheetml/2006/main">
  <authors>
    <author>00182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stenty+KV/KS
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zahrnuto v PÚ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odpočet již promítnut do PÚ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zahrnuto v A uhradě
</t>
        </r>
      </text>
    </comment>
    <comment ref="O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TAVI+robot
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KV/KS, stenty
</t>
        </r>
      </text>
    </comment>
    <comment ref="A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pouze odhad dle dohod z jednání
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robot
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zahrnut do úhrad CASH - neúčtuje se v okruhu 45
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KV/KS, stenty
</t>
        </r>
      </text>
    </comment>
    <comment ref="O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robot+TAVI
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PÚ ambulance+hospitalizace
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stenty, katarakta
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zahrnuto v PÚ
</t>
        </r>
      </text>
    </comment>
    <comment ref="I1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skutečnosti 485 mil. Kč po odpočtu par.16 v hodnote 22 mil. Kč
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KV/KS, stenty
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skutečnosti ale 
82 000 000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započteny KV/KS + stenty dle návrhu dodatku
TEP a transplantace ponechány při výpočtu FNOL v paušálu, dle dodatku ale ISU
nutné porovnat změny v rozsahu bazí 0014 a 1101 v roce 2015 a 2016 (možný pokles nebo nárůst úhrady)
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skutečnosti 
246 000 000
bez par.16
</t>
        </r>
      </text>
    </comment>
    <comment ref="P1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produkce výkonově
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KV/KS, stenty
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skutečnosti 
117 000 000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odhad skutečnosti CL
48 000 000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do zálohy nebyla započtena nová kapacita (KALYDECO) - léčba ale pokračuje
Odpočteno 2,9 mil. Kč za nenaplnění bodů ref. Období na 99%
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není odhad, ale konečná dohoda vč. par.16
sktečnost CL za 1-12/16 bez.par. 16 416 mil.Kč
odhad par.16 cca 22 mil.Kč
</t>
        </r>
      </text>
    </comment>
    <comment ref="C3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bez par. 16
par.16 odhadem 17 mil. Kč
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nutné navýšit o par.16
par.16 odhadem 17 mil. Kč
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ISU dle skutečnosti
</t>
        </r>
      </text>
    </comment>
    <comment ref="C4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skuetčnost za 1-12/2016 ponížena o 22 mil. Kč za par.16
</t>
        </r>
      </text>
    </comment>
  </commentList>
</comments>
</file>

<file path=xl/sharedStrings.xml><?xml version="1.0" encoding="utf-8"?>
<sst xmlns="http://schemas.openxmlformats.org/spreadsheetml/2006/main" count="28" uniqueCount="27">
  <si>
    <t>PÚ</t>
  </si>
  <si>
    <t>ISU</t>
  </si>
  <si>
    <t>poplatky</t>
  </si>
  <si>
    <t>ambulance</t>
  </si>
  <si>
    <t>CL</t>
  </si>
  <si>
    <t>extr.péče</t>
  </si>
  <si>
    <t>doprovody</t>
  </si>
  <si>
    <t>vyčleněné LP</t>
  </si>
  <si>
    <t>pitvy,úst.pohotovost</t>
  </si>
  <si>
    <t>A popl.</t>
  </si>
  <si>
    <t>další dohody</t>
  </si>
  <si>
    <t>A celkem</t>
  </si>
  <si>
    <t>H celkem</t>
  </si>
  <si>
    <t>EU</t>
  </si>
  <si>
    <t>celkem</t>
  </si>
  <si>
    <t>záloha</t>
  </si>
  <si>
    <t>prostor pro jednání</t>
  </si>
  <si>
    <t>KV/KS, stenty dle podmínek ČPZP - skutečnostKV/KS do 23.12., stenty z dat za  1-12/2016</t>
  </si>
  <si>
    <t>CL za 1-12/2016</t>
  </si>
  <si>
    <t xml:space="preserve">Ambulance </t>
  </si>
  <si>
    <t>PÚ HOSPITALIZACE</t>
  </si>
  <si>
    <t>informace z vyúčtování 2015</t>
  </si>
  <si>
    <t>odhad úhrady v jednotlivých segmentech dle uzavřených dohod, resp. Vyhlášky</t>
  </si>
  <si>
    <t>Porovnání skutečnosti v jednotlivých segmentech proti uzavřeným dodatkům</t>
  </si>
  <si>
    <t>odhad vyúčtování</t>
  </si>
  <si>
    <t>odhad úhrady</t>
  </si>
  <si>
    <t>u vybraných ZP PÚ ponížena v důsledku neplnění počtu případů nebo CM a očekávaných regulací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</si>
</sst>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2" xfId="0" applyNumberFormat="1" applyBorder="1"/>
    <xf numFmtId="3" fontId="1" fillId="0" borderId="2" xfId="0" applyNumberFormat="1" applyFont="1" applyBorder="1"/>
    <xf numFmtId="3" fontId="0" fillId="0" borderId="2" xfId="0" applyNumberFormat="1" applyFont="1" applyBorder="1"/>
    <xf numFmtId="3" fontId="1" fillId="2" borderId="3" xfId="0" applyNumberFormat="1" applyFont="1" applyFill="1" applyBorder="1"/>
    <xf numFmtId="0" fontId="0" fillId="0" borderId="2" xfId="0" applyBorder="1"/>
    <xf numFmtId="3" fontId="0" fillId="0" borderId="4" xfId="0" applyNumberFormat="1" applyBorder="1"/>
    <xf numFmtId="0" fontId="0" fillId="0" borderId="4" xfId="0" applyBorder="1"/>
    <xf numFmtId="3" fontId="1" fillId="2" borderId="5" xfId="0" applyNumberFormat="1" applyFont="1" applyFill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1" fillId="0" borderId="12" xfId="0" applyFont="1" applyBorder="1"/>
    <xf numFmtId="0" fontId="1" fillId="0" borderId="8" xfId="0" applyFont="1" applyBorder="1"/>
    <xf numFmtId="3" fontId="0" fillId="0" borderId="13" xfId="0" applyNumberFormat="1" applyBorder="1"/>
    <xf numFmtId="0" fontId="1" fillId="0" borderId="14" xfId="0" applyFont="1" applyBorder="1"/>
    <xf numFmtId="3" fontId="0" fillId="0" borderId="15" xfId="0" applyNumberFormat="1" applyBorder="1"/>
    <xf numFmtId="3" fontId="1" fillId="0" borderId="10" xfId="0" applyNumberFormat="1" applyFont="1" applyBorder="1"/>
    <xf numFmtId="3" fontId="0" fillId="0" borderId="10" xfId="0" applyNumberFormat="1" applyFont="1" applyBorder="1"/>
    <xf numFmtId="3" fontId="1" fillId="2" borderId="16" xfId="0" applyNumberFormat="1" applyFont="1" applyFill="1" applyBorder="1"/>
    <xf numFmtId="0" fontId="1" fillId="0" borderId="1" xfId="0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8" xfId="0" applyFont="1" applyBorder="1"/>
    <xf numFmtId="3" fontId="0" fillId="0" borderId="19" xfId="0" applyNumberFormat="1" applyBorder="1"/>
    <xf numFmtId="0" fontId="0" fillId="0" borderId="19" xfId="0" applyBorder="1"/>
    <xf numFmtId="3" fontId="0" fillId="3" borderId="20" xfId="0" applyNumberForma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4" fontId="0" fillId="0" borderId="2" xfId="0" applyNumberFormat="1" applyBorder="1"/>
    <xf numFmtId="4" fontId="1" fillId="0" borderId="2" xfId="0" applyNumberFormat="1" applyFont="1" applyBorder="1"/>
    <xf numFmtId="0" fontId="1" fillId="0" borderId="4" xfId="0" applyFont="1" applyBorder="1"/>
    <xf numFmtId="0" fontId="0" fillId="0" borderId="10" xfId="0" applyBorder="1"/>
    <xf numFmtId="0" fontId="0" fillId="0" borderId="21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tabSelected="1" workbookViewId="0">
      <selection activeCell="M13" sqref="M13"/>
    </sheetView>
  </sheetViews>
  <sheetFormatPr defaultRowHeight="15"/>
  <cols>
    <col min="1" max="1" width="12.7109375" customWidth="1"/>
    <col min="2" max="2" width="12.28515625" bestFit="1" customWidth="1"/>
    <col min="3" max="3" width="12.42578125" bestFit="1" customWidth="1"/>
    <col min="4" max="4" width="12.85546875" customWidth="1"/>
    <col min="5" max="5" width="12.140625" customWidth="1"/>
    <col min="6" max="6" width="11.7109375" customWidth="1"/>
    <col min="7" max="7" width="12.5703125" bestFit="1" customWidth="1"/>
    <col min="8" max="8" width="12.5703125" customWidth="1"/>
    <col min="9" max="9" width="12.28515625" bestFit="1" customWidth="1"/>
    <col min="10" max="10" width="19.28515625" customWidth="1"/>
    <col min="11" max="11" width="12.140625" customWidth="1"/>
    <col min="12" max="12" width="12.5703125" bestFit="1" customWidth="1"/>
    <col min="13" max="13" width="12.28515625" bestFit="1" customWidth="1"/>
    <col min="14" max="14" width="10.85546875" bestFit="1" customWidth="1"/>
    <col min="15" max="15" width="12.140625" bestFit="1" customWidth="1"/>
    <col min="16" max="16" width="14.140625" customWidth="1"/>
    <col min="17" max="17" width="17.42578125" bestFit="1" customWidth="1"/>
    <col min="18" max="18" width="16.5703125" customWidth="1"/>
  </cols>
  <sheetData>
    <row r="1" spans="1:18" ht="15.75" thickBot="1">
      <c r="A1" s="2" t="s">
        <v>21</v>
      </c>
      <c r="B1" s="2"/>
    </row>
    <row r="2" spans="1:18" ht="15.75" thickBot="1">
      <c r="A2" s="22"/>
      <c r="B2" s="23" t="s">
        <v>0</v>
      </c>
      <c r="C2" s="24" t="s">
        <v>1</v>
      </c>
      <c r="D2" s="24" t="s">
        <v>2</v>
      </c>
      <c r="E2" s="24" t="s">
        <v>5</v>
      </c>
      <c r="F2" s="24" t="s">
        <v>6</v>
      </c>
      <c r="G2" s="24" t="s">
        <v>7</v>
      </c>
      <c r="H2" s="24" t="s">
        <v>12</v>
      </c>
      <c r="I2" s="24" t="s">
        <v>3</v>
      </c>
      <c r="J2" s="24" t="s">
        <v>8</v>
      </c>
      <c r="K2" s="24" t="s">
        <v>9</v>
      </c>
      <c r="L2" s="24" t="s">
        <v>7</v>
      </c>
      <c r="M2" s="24" t="s">
        <v>11</v>
      </c>
      <c r="N2" s="24" t="s">
        <v>4</v>
      </c>
      <c r="O2" s="24" t="s">
        <v>10</v>
      </c>
      <c r="P2" s="25"/>
      <c r="Q2" s="2" t="s">
        <v>13</v>
      </c>
    </row>
    <row r="3" spans="1:18">
      <c r="A3" s="17">
        <v>111</v>
      </c>
      <c r="B3" s="18">
        <v>1136078550</v>
      </c>
      <c r="C3" s="12">
        <f>30378171+81786728</f>
        <v>112164899</v>
      </c>
      <c r="D3" s="12">
        <v>11677700</v>
      </c>
      <c r="E3" s="12">
        <v>1815056</v>
      </c>
      <c r="F3" s="12">
        <v>333600</v>
      </c>
      <c r="G3" s="12">
        <v>5736497</v>
      </c>
      <c r="H3" s="19">
        <f>B3+C3+F3+G3</f>
        <v>1254313546</v>
      </c>
      <c r="I3" s="20">
        <v>432967854</v>
      </c>
      <c r="J3" s="12">
        <f>9116250+1249400</f>
        <v>10365650</v>
      </c>
      <c r="K3" s="12">
        <v>3127470</v>
      </c>
      <c r="L3" s="12">
        <v>6924942</v>
      </c>
      <c r="M3" s="19">
        <f>I3+J3</f>
        <v>443333504</v>
      </c>
      <c r="N3" s="19">
        <v>362758336</v>
      </c>
      <c r="O3" s="12">
        <f>10991775+14541468</f>
        <v>25533243</v>
      </c>
      <c r="P3" s="21">
        <f>B3+C3+F3+G3+I3+J3+K3+L3+N3+O3</f>
        <v>2095991041</v>
      </c>
    </row>
    <row r="4" spans="1:18">
      <c r="A4" s="14">
        <v>201</v>
      </c>
      <c r="B4" s="11">
        <v>226242797</v>
      </c>
      <c r="C4" s="8">
        <v>20979645</v>
      </c>
      <c r="D4" s="3">
        <v>2555200</v>
      </c>
      <c r="E4" s="3">
        <v>984279</v>
      </c>
      <c r="F4" s="3">
        <v>155400</v>
      </c>
      <c r="G4" s="3">
        <v>1100278</v>
      </c>
      <c r="H4" s="4">
        <f>B4+C4+F4+G4-1072480+984278</f>
        <v>248389918</v>
      </c>
      <c r="I4" s="5">
        <v>116950125</v>
      </c>
      <c r="J4" s="3">
        <f>986700+681000</f>
        <v>1667700</v>
      </c>
      <c r="K4" s="3"/>
      <c r="L4" s="3">
        <v>470099</v>
      </c>
      <c r="M4" s="3">
        <f>I4+J4+L4</f>
        <v>119087924</v>
      </c>
      <c r="N4" s="3">
        <v>62000972</v>
      </c>
      <c r="O4" s="7"/>
      <c r="P4" s="6">
        <f>H4+M4+N4-7273</f>
        <v>429471541</v>
      </c>
      <c r="R4" s="1"/>
    </row>
    <row r="5" spans="1:18">
      <c r="A5" s="14">
        <v>205</v>
      </c>
      <c r="B5" s="16">
        <v>639048124</v>
      </c>
      <c r="C5" s="3">
        <f>243440+2139446+21764113+1144233.9+4113737+948912+11721557.74</f>
        <v>42075439.640000001</v>
      </c>
      <c r="D5" s="3">
        <v>6291100</v>
      </c>
      <c r="E5" s="3">
        <v>3964739</v>
      </c>
      <c r="F5" s="3">
        <v>609700</v>
      </c>
      <c r="G5" s="3"/>
      <c r="H5" s="4">
        <f>B5+C5-E5+F5</f>
        <v>677768524.63999999</v>
      </c>
      <c r="I5" s="5">
        <v>294199493</v>
      </c>
      <c r="J5" s="3"/>
      <c r="K5" s="3">
        <v>2209770</v>
      </c>
      <c r="L5" s="3">
        <v>6811593</v>
      </c>
      <c r="M5" s="3">
        <f>I5+K5</f>
        <v>296409263</v>
      </c>
      <c r="N5" s="3">
        <v>238000000</v>
      </c>
      <c r="O5" s="7"/>
      <c r="P5" s="6">
        <f>H5+M5+N5+L5</f>
        <v>1218989380.6399999</v>
      </c>
      <c r="Q5" s="1">
        <v>1181092</v>
      </c>
    </row>
    <row r="6" spans="1:18">
      <c r="A6" s="14">
        <v>207</v>
      </c>
      <c r="B6" s="11">
        <f>(148121717+3561680)-39115000-25000000</f>
        <v>87568397</v>
      </c>
      <c r="C6" s="3">
        <v>713075</v>
      </c>
      <c r="D6" s="3"/>
      <c r="E6" s="3"/>
      <c r="F6" s="11"/>
      <c r="G6" s="3"/>
      <c r="H6" s="3"/>
      <c r="I6" s="5"/>
      <c r="J6" s="3"/>
      <c r="K6" s="3">
        <v>310140</v>
      </c>
      <c r="L6" s="3"/>
      <c r="M6" s="3">
        <v>39115000</v>
      </c>
      <c r="N6" s="3">
        <v>25000000</v>
      </c>
      <c r="O6" s="7"/>
      <c r="P6" s="6">
        <f>B6+C6+K6+M6+N6</f>
        <v>152706612</v>
      </c>
    </row>
    <row r="7" spans="1:18">
      <c r="A7" s="14">
        <v>209</v>
      </c>
      <c r="B7" s="11"/>
      <c r="C7" s="3"/>
      <c r="D7" s="3"/>
      <c r="E7" s="12"/>
      <c r="F7" s="3"/>
      <c r="G7" s="3"/>
      <c r="H7" s="3"/>
      <c r="I7" s="5"/>
      <c r="J7" s="3"/>
      <c r="K7" s="3"/>
      <c r="L7" s="3"/>
      <c r="M7" s="3"/>
      <c r="N7" s="3"/>
      <c r="O7" s="7"/>
      <c r="P7" s="6"/>
    </row>
    <row r="8" spans="1:18">
      <c r="A8" s="14">
        <v>211</v>
      </c>
      <c r="B8" s="11">
        <f>273966817-D8</f>
        <v>270925817</v>
      </c>
      <c r="C8" s="3">
        <f>11562987+5191424</f>
        <v>16754411</v>
      </c>
      <c r="D8" s="3">
        <v>3041000</v>
      </c>
      <c r="E8" s="3">
        <v>39331</v>
      </c>
      <c r="F8" s="3">
        <v>155400</v>
      </c>
      <c r="G8" s="3">
        <v>994850</v>
      </c>
      <c r="H8" s="4">
        <f>B8+C8+D8-E8+F8+G8+E8</f>
        <v>291871478</v>
      </c>
      <c r="I8" s="5">
        <v>132266821</v>
      </c>
      <c r="J8" s="3">
        <f>1147575+668600</f>
        <v>1816175</v>
      </c>
      <c r="K8" s="3">
        <v>1352100</v>
      </c>
      <c r="L8" s="3">
        <v>425066</v>
      </c>
      <c r="M8" s="4">
        <f>I8+J8+K8+L8+3113095.59</f>
        <v>138973257.59</v>
      </c>
      <c r="N8" s="4">
        <v>90703000</v>
      </c>
      <c r="O8" s="5">
        <f>1703000+2500000</f>
        <v>4203000</v>
      </c>
      <c r="P8" s="6">
        <f>H8+M8+N8+O8</f>
        <v>525750735.59000003</v>
      </c>
    </row>
    <row r="9" spans="1:18" ht="15.75" thickBot="1">
      <c r="A9" s="15">
        <v>213</v>
      </c>
      <c r="B9" s="13">
        <f>(117019163+5964363)-46213000</f>
        <v>76770526</v>
      </c>
      <c r="C9" s="8">
        <v>1918200</v>
      </c>
      <c r="D9" s="8"/>
      <c r="E9" s="8"/>
      <c r="F9" s="8"/>
      <c r="G9" s="8"/>
      <c r="H9" s="8"/>
      <c r="I9" s="8"/>
      <c r="J9" s="8">
        <v>808179</v>
      </c>
      <c r="K9" s="8">
        <v>150810</v>
      </c>
      <c r="L9" s="8"/>
      <c r="M9" s="8">
        <v>46213000</v>
      </c>
      <c r="N9" s="8">
        <v>38040239</v>
      </c>
      <c r="O9" s="9"/>
      <c r="P9" s="10">
        <f>B9+C9+K9+N9+J9+M9</f>
        <v>163900954</v>
      </c>
    </row>
    <row r="10" spans="1:18">
      <c r="A10" s="26" t="s">
        <v>14</v>
      </c>
      <c r="B10" s="27">
        <f>SUM(B3:B9)</f>
        <v>2436634211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>
        <f>SUM(M3:M9)</f>
        <v>1083131948.5900002</v>
      </c>
      <c r="N10" s="27"/>
      <c r="O10" s="28"/>
      <c r="P10" s="29">
        <f>SUM(P3:P9)</f>
        <v>4586810264.2299995</v>
      </c>
    </row>
    <row r="11" spans="1:18">
      <c r="A11" s="30" t="s">
        <v>22</v>
      </c>
      <c r="B11" s="4"/>
      <c r="C11" s="4"/>
      <c r="D11" s="4"/>
      <c r="E11" s="4"/>
      <c r="F11" s="4"/>
      <c r="G11" s="3"/>
      <c r="H11" s="3"/>
      <c r="I11" s="3"/>
      <c r="J11" s="3"/>
      <c r="K11" s="3"/>
      <c r="L11" s="3"/>
      <c r="M11" s="3"/>
      <c r="N11" s="3"/>
      <c r="O11" s="7"/>
      <c r="P11" s="31" t="s">
        <v>25</v>
      </c>
      <c r="Q11" s="31" t="s">
        <v>15</v>
      </c>
      <c r="R11" s="31" t="s">
        <v>24</v>
      </c>
    </row>
    <row r="12" spans="1:18">
      <c r="A12" s="32">
        <v>111</v>
      </c>
      <c r="B12" s="3">
        <f>B3*103%*99%</f>
        <v>1158459297.4349999</v>
      </c>
      <c r="C12" s="3">
        <f>32931798+92493573</f>
        <v>125425371</v>
      </c>
      <c r="D12" s="3">
        <v>11677700</v>
      </c>
      <c r="E12" s="3">
        <v>-2000000</v>
      </c>
      <c r="F12" s="3">
        <v>333600</v>
      </c>
      <c r="G12" s="3">
        <v>5736497</v>
      </c>
      <c r="H12" s="3"/>
      <c r="I12" s="3">
        <f>I3*103%</f>
        <v>445956889.62</v>
      </c>
      <c r="J12" s="3"/>
      <c r="K12" s="3">
        <v>3127470</v>
      </c>
      <c r="L12" s="3">
        <v>6924942</v>
      </c>
      <c r="M12" s="3">
        <f>(I12*103%)+J3+L3</f>
        <v>476626188.30860001</v>
      </c>
      <c r="N12" s="3">
        <v>435000000</v>
      </c>
      <c r="O12" s="3">
        <f>19397250+22018215</f>
        <v>41415465</v>
      </c>
      <c r="P12" s="3">
        <f>SUM(B12:O12)-D12-M12</f>
        <v>2220379532.0549998</v>
      </c>
      <c r="Q12" s="3">
        <v>2160767820</v>
      </c>
      <c r="R12" s="3">
        <f>P12-Q12</f>
        <v>59611712.054999828</v>
      </c>
    </row>
    <row r="13" spans="1:18">
      <c r="A13" s="32">
        <v>201</v>
      </c>
      <c r="B13" s="3">
        <f>B4*103%*97%</f>
        <v>226039178.48269999</v>
      </c>
      <c r="C13" s="3">
        <v>20979645</v>
      </c>
      <c r="D13" s="3">
        <v>2555200</v>
      </c>
      <c r="E13" s="3">
        <v>-1000000</v>
      </c>
      <c r="F13" s="3">
        <v>155400</v>
      </c>
      <c r="G13" s="3">
        <v>1100278</v>
      </c>
      <c r="H13" s="3"/>
      <c r="I13" s="3">
        <f>I4*103%</f>
        <v>120458628.75</v>
      </c>
      <c r="J13" s="3">
        <f>986700+681000</f>
        <v>1667700</v>
      </c>
      <c r="K13" s="3"/>
      <c r="L13" s="3">
        <v>470099</v>
      </c>
      <c r="M13" s="3"/>
      <c r="N13" s="3">
        <f>N4*103%</f>
        <v>63861001.160000004</v>
      </c>
      <c r="O13" s="3"/>
      <c r="P13" s="3">
        <f>SUM(B13:O13)</f>
        <v>436287130.39270002</v>
      </c>
      <c r="Q13" s="3">
        <v>399116844</v>
      </c>
      <c r="R13" s="3">
        <f t="shared" ref="R13:R18" si="0">P13-Q13</f>
        <v>37170286.392700016</v>
      </c>
    </row>
    <row r="14" spans="1:18">
      <c r="A14" s="32">
        <v>205</v>
      </c>
      <c r="B14" s="3">
        <f>B5*103%</f>
        <v>658219567.72000003</v>
      </c>
      <c r="C14" s="3">
        <f>24582577+3462305+250687+314996+2677322+453917+145023+2734831+258145</f>
        <v>34879803</v>
      </c>
      <c r="D14" s="3">
        <v>6291100</v>
      </c>
      <c r="E14" s="3">
        <v>-4000000</v>
      </c>
      <c r="F14" s="3">
        <v>609700</v>
      </c>
      <c r="G14" s="3"/>
      <c r="H14" s="3"/>
      <c r="I14" s="3">
        <f>I5*103%</f>
        <v>303025477.79000002</v>
      </c>
      <c r="J14" s="3"/>
      <c r="K14" s="3"/>
      <c r="L14" s="3">
        <v>6811593</v>
      </c>
      <c r="M14" s="3"/>
      <c r="N14" s="3">
        <f>98917666+117644654+10094496</f>
        <v>226656816</v>
      </c>
      <c r="O14" s="3"/>
      <c r="P14" s="3">
        <f>SUM(B14:O14)</f>
        <v>1232494057.51</v>
      </c>
      <c r="Q14" s="3">
        <v>1263489888</v>
      </c>
      <c r="R14" s="3">
        <f t="shared" si="0"/>
        <v>-30995830.49000001</v>
      </c>
    </row>
    <row r="15" spans="1:18">
      <c r="A15" s="32">
        <v>207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v>156000000</v>
      </c>
      <c r="Q15" s="3">
        <v>161709996</v>
      </c>
      <c r="R15" s="3">
        <f t="shared" si="0"/>
        <v>-5709996</v>
      </c>
    </row>
    <row r="16" spans="1:18">
      <c r="A16" s="32">
        <v>209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800000</v>
      </c>
      <c r="Q16" s="3">
        <v>800000</v>
      </c>
      <c r="R16" s="3">
        <f t="shared" si="0"/>
        <v>0</v>
      </c>
    </row>
    <row r="17" spans="1:18">
      <c r="A17" s="32">
        <v>211</v>
      </c>
      <c r="B17" s="3">
        <f>B8*103%*97%</f>
        <v>270681983.7647</v>
      </c>
      <c r="C17" s="3">
        <f>11562987+5191424</f>
        <v>16754411</v>
      </c>
      <c r="D17" s="3">
        <v>3041000</v>
      </c>
      <c r="E17" s="3">
        <v>-1000000</v>
      </c>
      <c r="F17" s="3">
        <v>155400</v>
      </c>
      <c r="G17" s="3">
        <v>994850</v>
      </c>
      <c r="H17" s="3"/>
      <c r="I17" s="3">
        <f>I8*103%</f>
        <v>136234825.63</v>
      </c>
      <c r="J17" s="3">
        <f>1147575+668600</f>
        <v>1816175</v>
      </c>
      <c r="K17" s="3"/>
      <c r="L17" s="3">
        <v>425066</v>
      </c>
      <c r="M17" s="3"/>
      <c r="N17" s="3">
        <v>95000000</v>
      </c>
      <c r="O17" s="5">
        <f>1703000+2500000</f>
        <v>4203000</v>
      </c>
      <c r="P17" s="3">
        <f>SUM(B17:O17)</f>
        <v>528306711.39469999</v>
      </c>
      <c r="Q17" s="3">
        <v>548815200</v>
      </c>
      <c r="R17" s="3">
        <f t="shared" si="0"/>
        <v>-20508488.605300009</v>
      </c>
    </row>
    <row r="18" spans="1:18">
      <c r="A18" s="32">
        <v>213</v>
      </c>
      <c r="B18" s="3"/>
      <c r="C18" s="3">
        <f>1658200+200000+5897600</f>
        <v>7755800</v>
      </c>
      <c r="D18" s="3"/>
      <c r="E18" s="3"/>
      <c r="F18" s="3"/>
      <c r="G18" s="3"/>
      <c r="H18" s="3"/>
      <c r="I18" s="3"/>
      <c r="J18" s="3">
        <v>800000</v>
      </c>
      <c r="K18" s="3">
        <v>150810</v>
      </c>
      <c r="L18" s="3"/>
      <c r="M18" s="3"/>
      <c r="N18" s="3">
        <f>N9*103%</f>
        <v>39181446.170000002</v>
      </c>
      <c r="O18" s="3"/>
      <c r="P18" s="3">
        <f>(128796000-2900000)+N18+J18+C18+K18-6382108</f>
        <v>167401948.17000002</v>
      </c>
      <c r="Q18" s="3">
        <v>163800000</v>
      </c>
      <c r="R18" s="3">
        <f t="shared" si="0"/>
        <v>3601948.1700000167</v>
      </c>
    </row>
    <row r="19" spans="1:18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f>SUM(P12:P18)</f>
        <v>4741669379.5223999</v>
      </c>
      <c r="Q19" s="3">
        <f>SUM(Q12:Q18)</f>
        <v>4698499748</v>
      </c>
      <c r="R19" s="4">
        <f>SUM(R12:R18)</f>
        <v>43169631.522399843</v>
      </c>
    </row>
    <row r="20" spans="1:18">
      <c r="A20" s="30" t="s">
        <v>23</v>
      </c>
      <c r="B20" s="30"/>
      <c r="C20" s="30"/>
      <c r="D20" s="35"/>
      <c r="E20" s="2"/>
      <c r="F20" s="2"/>
    </row>
    <row r="21" spans="1:18">
      <c r="A21" s="7" t="s">
        <v>17</v>
      </c>
      <c r="B21" s="3"/>
      <c r="C21" s="3"/>
      <c r="D21" s="3"/>
      <c r="E21" s="16"/>
      <c r="F21" s="16"/>
      <c r="G21" s="11"/>
      <c r="H21" s="1"/>
      <c r="I21" s="1"/>
      <c r="J21" s="1"/>
      <c r="K21" s="1"/>
    </row>
    <row r="22" spans="1:18">
      <c r="A22" s="7"/>
      <c r="B22" s="7"/>
      <c r="C22" s="33">
        <f>77*14.1546*25540</f>
        <v>27836153.267999999</v>
      </c>
      <c r="D22" s="36"/>
    </row>
    <row r="23" spans="1:18">
      <c r="A23" s="7"/>
      <c r="B23" s="7"/>
      <c r="C23" s="33">
        <f>60*3.081*25540</f>
        <v>4721324.3999999994</v>
      </c>
      <c r="D23" s="7"/>
    </row>
    <row r="24" spans="1:18">
      <c r="A24" s="7"/>
      <c r="B24" s="7"/>
      <c r="C24" s="33">
        <f>7*2.3229*26980</f>
        <v>438702.89400000003</v>
      </c>
      <c r="D24" s="7"/>
    </row>
    <row r="25" spans="1:18">
      <c r="A25" s="7"/>
      <c r="B25" s="7"/>
      <c r="C25" s="33">
        <f>7*6.6483*23690</f>
        <v>1102487.5889999999</v>
      </c>
      <c r="D25" s="7"/>
    </row>
    <row r="26" spans="1:18">
      <c r="A26" s="7"/>
      <c r="B26" s="7"/>
      <c r="C26" s="33">
        <f>54*3.5375*18020</f>
        <v>3442270.5</v>
      </c>
      <c r="D26" s="7"/>
    </row>
    <row r="27" spans="1:18">
      <c r="A27" s="7"/>
      <c r="B27" s="7"/>
      <c r="C27" s="33">
        <f>2*6.3869*23690</f>
        <v>302611.32199999999</v>
      </c>
      <c r="D27" s="7"/>
    </row>
    <row r="28" spans="1:18">
      <c r="A28" s="7"/>
      <c r="B28" s="7"/>
      <c r="C28" s="33">
        <f>2*6.1217*23690</f>
        <v>290046.14600000001</v>
      </c>
      <c r="D28" s="7"/>
    </row>
    <row r="29" spans="1:18">
      <c r="A29" s="7"/>
      <c r="B29" s="7"/>
      <c r="C29" s="33">
        <f>63*3.1618*18020</f>
        <v>3589465.068</v>
      </c>
      <c r="D29" s="7"/>
    </row>
    <row r="30" spans="1:18">
      <c r="A30" s="7"/>
      <c r="B30" s="7"/>
      <c r="C30" s="34">
        <f>SUM(C22:C29)</f>
        <v>41723061.186999992</v>
      </c>
      <c r="D30" s="7"/>
    </row>
    <row r="32" spans="1:18">
      <c r="A32" s="37" t="s">
        <v>18</v>
      </c>
      <c r="B32" s="37"/>
      <c r="C32" s="37"/>
      <c r="D32" s="37" t="s">
        <v>16</v>
      </c>
      <c r="E32" s="37"/>
    </row>
    <row r="33" spans="1:5">
      <c r="A33" s="32">
        <v>111</v>
      </c>
      <c r="B33" s="7"/>
      <c r="C33" s="3">
        <v>435000000</v>
      </c>
      <c r="D33" s="7">
        <v>0</v>
      </c>
      <c r="E33" s="7"/>
    </row>
    <row r="34" spans="1:5">
      <c r="A34" s="32">
        <v>201</v>
      </c>
      <c r="B34" s="7"/>
      <c r="C34" s="3">
        <v>80700000</v>
      </c>
      <c r="D34" s="3">
        <f>N13-C34</f>
        <v>-16838998.839999996</v>
      </c>
      <c r="E34" s="7"/>
    </row>
    <row r="35" spans="1:5">
      <c r="A35" s="32">
        <v>205</v>
      </c>
      <c r="B35" s="7"/>
      <c r="C35" s="3">
        <v>243700000</v>
      </c>
      <c r="D35" s="3">
        <f>N14-C35</f>
        <v>-17043184</v>
      </c>
      <c r="E35" s="33">
        <f>C14-C30</f>
        <v>-6843258.1869999915</v>
      </c>
    </row>
    <row r="36" spans="1:5">
      <c r="A36" s="32">
        <v>207</v>
      </c>
      <c r="B36" s="7"/>
      <c r="C36" s="3"/>
      <c r="D36" s="7"/>
      <c r="E36" s="7"/>
    </row>
    <row r="37" spans="1:5">
      <c r="A37" s="32">
        <v>209</v>
      </c>
      <c r="B37" s="7"/>
      <c r="C37" s="3"/>
      <c r="D37" s="7"/>
      <c r="E37" s="7"/>
    </row>
    <row r="38" spans="1:5">
      <c r="A38" s="32">
        <v>211</v>
      </c>
      <c r="B38" s="7"/>
      <c r="C38" s="3">
        <v>116000000</v>
      </c>
      <c r="D38" s="3">
        <f>N17-C38</f>
        <v>-21000000</v>
      </c>
      <c r="E38" s="7"/>
    </row>
    <row r="39" spans="1:5">
      <c r="A39" s="32">
        <v>213</v>
      </c>
      <c r="B39" s="7"/>
      <c r="C39" s="3">
        <v>48000000</v>
      </c>
      <c r="D39" s="3">
        <f>N18-C39</f>
        <v>-8818553.8299999982</v>
      </c>
      <c r="E39" s="7"/>
    </row>
    <row r="41" spans="1:5">
      <c r="A41" t="s">
        <v>19</v>
      </c>
    </row>
    <row r="42" spans="1:5">
      <c r="A42" s="32">
        <v>111</v>
      </c>
      <c r="B42" s="7"/>
      <c r="C42" s="3">
        <f>507000000-22000000</f>
        <v>485000000</v>
      </c>
      <c r="D42" s="3">
        <f>-(C42-M12)</f>
        <v>-8373811.6913999915</v>
      </c>
    </row>
    <row r="43" spans="1:5">
      <c r="A43" s="32">
        <v>201</v>
      </c>
      <c r="B43" s="7"/>
      <c r="C43" s="3">
        <v>131000000</v>
      </c>
      <c r="D43" s="3">
        <f>-(C43-I13)</f>
        <v>-10541371.25</v>
      </c>
    </row>
    <row r="44" spans="1:5">
      <c r="A44" s="32">
        <v>205</v>
      </c>
      <c r="B44" s="7"/>
      <c r="C44" s="3">
        <f>339000000-17000000</f>
        <v>322000000</v>
      </c>
      <c r="D44" s="3">
        <f>-(C44-I14)</f>
        <v>-18974522.209999979</v>
      </c>
    </row>
    <row r="45" spans="1:5">
      <c r="A45" s="32">
        <v>207</v>
      </c>
      <c r="B45" s="7"/>
      <c r="C45" s="3"/>
      <c r="D45" s="3"/>
    </row>
    <row r="46" spans="1:5">
      <c r="A46" s="32">
        <v>209</v>
      </c>
      <c r="B46" s="7"/>
      <c r="C46" s="3"/>
      <c r="D46" s="3"/>
    </row>
    <row r="47" spans="1:5">
      <c r="A47" s="32">
        <v>211</v>
      </c>
      <c r="B47" s="7"/>
      <c r="C47" s="3">
        <v>160000000</v>
      </c>
      <c r="D47" s="3">
        <f>-(C47-I17)</f>
        <v>-23765174.370000005</v>
      </c>
    </row>
    <row r="48" spans="1:5">
      <c r="A48" s="32">
        <v>213</v>
      </c>
      <c r="B48" s="7"/>
      <c r="C48" s="3"/>
      <c r="D48" s="7"/>
    </row>
    <row r="50" spans="1:1">
      <c r="A50" t="s">
        <v>20</v>
      </c>
    </row>
    <row r="51" spans="1:1">
      <c r="A51" t="s">
        <v>26</v>
      </c>
    </row>
  </sheetData>
  <pageMargins left="0.70866141732283472" right="0.70866141732283472" top="0.78740157480314965" bottom="0.78740157480314965" header="0.31496062992125984" footer="0.31496062992125984"/>
  <pageSetup paperSize="9" scale="63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cp:lastPrinted>2016-12-29T07:06:45Z</cp:lastPrinted>
  <dcterms:created xsi:type="dcterms:W3CDTF">2016-11-15T08:18:14Z</dcterms:created>
  <dcterms:modified xsi:type="dcterms:W3CDTF">2017-11-07T13:18:17Z</dcterms:modified>
</cp:coreProperties>
</file>