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PS\OPZP61\PŘIPOMÍNKY - ŽÁDOST\K odeslání 2. výzva\"/>
    </mc:Choice>
  </mc:AlternateContent>
  <workbookProtection workbookPassword="972E" lockStructure="1"/>
  <bookViews>
    <workbookView xWindow="0" yWindow="0" windowWidth="28800" windowHeight="12435"/>
  </bookViews>
  <sheets>
    <sheet name="Kumulativní rozpočet projektu" sheetId="1" r:id="rId1"/>
    <sheet name="List2" sheetId="2" state="hidden" r:id="rId2"/>
  </sheets>
  <definedNames>
    <definedName name="cbNames5" localSheetId="0">"Check Box 696"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21" i="1" l="1"/>
  <c r="K20" i="1"/>
  <c r="K19" i="1"/>
  <c r="K18" i="1"/>
  <c r="K17" i="1"/>
  <c r="K16" i="1"/>
  <c r="K15" i="1"/>
  <c r="K14" i="1"/>
  <c r="K13" i="1"/>
  <c r="K12" i="1"/>
  <c r="K11" i="1"/>
  <c r="I26" i="1" l="1"/>
  <c r="G34" i="1" l="1"/>
  <c r="G32" i="1"/>
  <c r="I32" i="1"/>
  <c r="O12" i="2" l="1"/>
  <c r="O11" i="2"/>
  <c r="O10" i="2"/>
  <c r="O9" i="2"/>
  <c r="O8" i="2"/>
  <c r="O7" i="2"/>
  <c r="O13" i="2" l="1"/>
  <c r="H7" i="2" s="1"/>
  <c r="G44" i="1" l="1"/>
  <c r="I34" i="1"/>
  <c r="I33" i="1" l="1"/>
  <c r="I27" i="1" l="1"/>
  <c r="A19" i="1" l="1"/>
  <c r="I35" i="1" l="1"/>
  <c r="G45" i="1" l="1"/>
  <c r="G43" i="1"/>
  <c r="G42" i="1"/>
  <c r="G41" i="1"/>
  <c r="G40" i="1"/>
  <c r="G39" i="1"/>
  <c r="G38" i="1"/>
  <c r="G37" i="1"/>
  <c r="G35" i="1"/>
  <c r="G33" i="1"/>
  <c r="G31" i="1"/>
  <c r="G30" i="1"/>
  <c r="G29" i="1"/>
  <c r="G28" i="1"/>
  <c r="G27" i="1"/>
  <c r="G26" i="1"/>
  <c r="A8" i="1" l="1"/>
  <c r="I29" i="1" l="1"/>
  <c r="I31" i="1"/>
  <c r="I30" i="1"/>
  <c r="I28" i="1"/>
  <c r="C56" i="1" l="1"/>
  <c r="H46" i="1"/>
  <c r="D46" i="1"/>
  <c r="H36" i="1"/>
  <c r="D36" i="1"/>
  <c r="G46" i="1" l="1"/>
  <c r="H47" i="1"/>
  <c r="D47" i="1"/>
  <c r="I36" i="1"/>
  <c r="G36" i="1"/>
  <c r="C24" i="1" l="1"/>
  <c r="I38" i="1" s="1"/>
  <c r="C57" i="1"/>
  <c r="G47" i="1"/>
  <c r="C53" i="1" s="1"/>
  <c r="I39" i="1" l="1"/>
  <c r="I40" i="1" l="1"/>
  <c r="I41" i="1" s="1"/>
  <c r="I42" i="1" l="1"/>
  <c r="I43" i="1" s="1"/>
  <c r="I44" i="1" s="1"/>
  <c r="I45" i="1" l="1"/>
  <c r="I46" i="1" s="1"/>
  <c r="I37" i="1" s="1"/>
  <c r="I47" i="1" l="1"/>
  <c r="K22" i="1" l="1"/>
  <c r="C54" i="1"/>
  <c r="C55" i="1" s="1"/>
</calcChain>
</file>

<file path=xl/comments1.xml><?xml version="1.0" encoding="utf-8"?>
<comments xmlns="http://schemas.openxmlformats.org/spreadsheetml/2006/main">
  <authors>
    <author>Urban Lukas</author>
    <author>Bajer Pavel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  <charset val="238"/>
          </rPr>
          <t>Jedná se o výměru řešené (zateplované) plochy systémové hranice budovy, která vychází z EŠOB. Nejde o výměru dle projektové dokumentace.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  <charset val="238"/>
          </rPr>
          <t>Jedná se o výměru řešené (zateplované) plochy systémové hranice budovy, která vychází z EŠOB. Nejde o výměru dle projektové dokumentace.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>Jedná se o výměru řešené (zateplované) plochy systémové hranice budovy, která vychází z EŠOB. Nejde o výměru dle projektové dokumentace.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  <charset val="238"/>
          </rPr>
          <t>Jedná se o výměru řešené (zateplované) plochy systémové hranice budovy, která vychází z EŠOB. Nejde o výměru dle projektové dokumentace.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  <charset val="238"/>
          </rPr>
          <t>Jedná se o výměru měněných výplní na systémové hranici budovy, která vychází z EŠOB. Nejde o výměru dle projektové dokumentace.</t>
        </r>
      </text>
    </comment>
    <comment ref="C24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10 % u projektů, jejichž celkové způsobilé přímé realizační výdaje nepřesahují 1 mil. Kč,
8 % u projektů, jejichž celkové způsobilé přímé realizační výdaje nepřesahují 3 mil. Kč,
7 % u projektů, jejichž celkové způsobilé přímé realizační výdaje nepřesahují 10 mil. Kč,
6 % u projektů, jejichž celkové způsobilé přímé realizační výdaje jsou vyšší než 10 mil. Kč.</t>
        </r>
      </text>
    </comment>
    <comment ref="H24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Vyplnit pouze výdaje, které nebudou nárokovány jako způsobilé bez zohlednění maximálních způsobilých výdajů podle rozsahu opatření a bez zohlednění maximálního procenta na projektovou přípravu.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Žadatel je povinen z realizačních výdajů vyčlenit veškeré výdaje na projektovou přípravu (např.: TDI, AD, BOZP, PD, atd.) Naopak dokumentace skutečného provedení vyčleněna nebude. Bude součástí ceny za realizaci.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- včetně výdajů na rekonstrukci kotelny
- včetně výdajů na rekonstrukci otopné soustavy 
Pozn.: O rekonstrukci otopné soustavy se jedná v případě, že v původním stavu již otopná soustava v budově byla a dochází k jejímu nahrazení či úpravě. V opačném případě se jedná o instalaci nové OS. Výdaje na vybudování nové OS je třeba  uvést do kolonky "Výdaje na vybudování nové otopné soustavy" po zatržení příslušného políčka.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Pozn.: O vybudování nové otopné soustavy se jedná pouze v případě, že v původním stavu v budově žádná otopná soustava instalována nebyla. V opačném případě se jedná o rekonstrukci otopné soustavy, viz komentář k buňce "Výdaje na výměnu zdroje".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Přímé realizační výdaje jsou výdaje dle jednotlivých prioritních os přímo přispívající ke splnění cílů
příslušného projektu. Do přímých realizačních výdajů lze zahrnout i výdaje na dokumentaci
skutečného provedení. Naopak nelze zahrnout projektovou přípravu, technický dozor investora,
autorský dozor a výdaje na zajištění publicity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7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Max. způsobilé výdaje na propagační opatření:
- plakát (příp. samolepicí plakát nebo plakát + menší samolepky): 2000 Kč,
- velkoplošný panel: 15 000 Kč,
- pamětní deska: 5000 Kč,
- slavnostní zahájení a ukončení u projektů nad 50 mil. eur: 50 000 Kč.
Způsobilost propagace je dále upravena v kapitole D1 Pravidel pro žadatele a příjemce.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Dle Pravidel pro žadatele a příjemce je maximální způsobilá částka, kterou lze na zpracování
žádosti nárokovat, 30 000 Kč bez DPH.</t>
        </r>
      </text>
    </comment>
    <comment ref="C57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Tato hodnota je základem pro výpočet percentuální výše pro stanovení způsobilých výdajů na projektovou přípravu.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<sst xmlns="http://schemas.openxmlformats.org/spreadsheetml/2006/main" count="101" uniqueCount="93">
  <si>
    <t>Název žadatele</t>
  </si>
  <si>
    <t>Instrukce:</t>
  </si>
  <si>
    <t>Název projektu</t>
  </si>
  <si>
    <t>Prioritní osa</t>
  </si>
  <si>
    <t>Specifický cíl</t>
  </si>
  <si>
    <t>Stanovení maximálních způsobilých výdajů</t>
  </si>
  <si>
    <t>rozsah opatření</t>
  </si>
  <si>
    <t>instalovaný tepelný výkon zdroje (dle projektu)</t>
  </si>
  <si>
    <t>Celkem</t>
  </si>
  <si>
    <t>Souhrnný rozpočet</t>
  </si>
  <si>
    <t>Cena bez DPH</t>
  </si>
  <si>
    <t>procento DPH [%]</t>
  </si>
  <si>
    <t>Nezpůsobilá část celkových výdajů stanovená žadatelem (bez DPH)</t>
  </si>
  <si>
    <t>Realizace</t>
  </si>
  <si>
    <t>Rezerva</t>
  </si>
  <si>
    <t>Celkem (Přímé realizační výdaje)</t>
  </si>
  <si>
    <t>Propagace</t>
  </si>
  <si>
    <t>Projektová dokumentace / studie</t>
  </si>
  <si>
    <t>Energetický posudek / studie proveditelnosti</t>
  </si>
  <si>
    <t>Technický dozor</t>
  </si>
  <si>
    <t>Autorský dozor</t>
  </si>
  <si>
    <t>Žádost</t>
  </si>
  <si>
    <t>Výběrové řízení</t>
  </si>
  <si>
    <t xml:space="preserve">Celkem </t>
  </si>
  <si>
    <t>Komentář k nezpůsobilým výdajům stanoveným žadatelem:</t>
  </si>
  <si>
    <t>Celkové nezpůsobilé výdaje projektu</t>
  </si>
  <si>
    <t>Kondenzační kotel na zemní plyn</t>
  </si>
  <si>
    <t>Elektrické tepelné čerpadlo vzduch/voda</t>
  </si>
  <si>
    <t>Elektrické tepelné čerpadlo země/voda</t>
  </si>
  <si>
    <t>Elektrické tepelné čerpadlo voda/voda</t>
  </si>
  <si>
    <t>Plynové tepelné čerpadlo vzduch/voda</t>
  </si>
  <si>
    <t>Plynové tepelné čerpadlo země/voda</t>
  </si>
  <si>
    <t>Plochý kolektor</t>
  </si>
  <si>
    <t>Trubicový vakuový kolektor</t>
  </si>
  <si>
    <t>PO5</t>
  </si>
  <si>
    <t>výměra zateplovaných obvodových stěn</t>
  </si>
  <si>
    <t>výměra zateplovaných plochých a šikmých střešních konstrukcí</t>
  </si>
  <si>
    <t>výměra zateplovaných podlah na zemině</t>
  </si>
  <si>
    <t>výměra vyměňovaných výplní otvorů</t>
  </si>
  <si>
    <t>výkon vzduchotechnické jednotky</t>
  </si>
  <si>
    <t>5.1a - Komplexní řešení energetické náročnosti budovy</t>
  </si>
  <si>
    <t>5.1b - Jednotlivá opatření snižující energetickou náročnost budovy</t>
  </si>
  <si>
    <t>nezvoleno</t>
  </si>
  <si>
    <t>instalovaný tepelný výkon termického solárního systému</t>
  </si>
  <si>
    <t>5.2 - Budování veřejných budov v pasivním energetickém standardu</t>
  </si>
  <si>
    <t>Výdaje na zateplení</t>
  </si>
  <si>
    <t>Výdaje na výměnu zdroje (včetně kotelny)</t>
  </si>
  <si>
    <t>Výdaje na vybudování nové otopné soustavy</t>
  </si>
  <si>
    <t xml:space="preserve">Výdaje na instalaci solárního termického systému </t>
  </si>
  <si>
    <t>Výdaje na instalaci kogenerační jednotky</t>
  </si>
  <si>
    <t>Výdaje na instalaci fotovoltaického systému</t>
  </si>
  <si>
    <t>Výdaje na výstavbu veřejných budov v pasivním energetickém standardu</t>
  </si>
  <si>
    <r>
      <t>[kW</t>
    </r>
    <r>
      <rPr>
        <vertAlign val="subscript"/>
        <sz val="11"/>
        <color theme="1"/>
        <rFont val="Calibri"/>
        <family val="2"/>
        <charset val="238"/>
        <scheme val="minor"/>
      </rPr>
      <t>t</t>
    </r>
    <r>
      <rPr>
        <sz val="11"/>
        <color theme="1"/>
        <rFont val="Calibri"/>
        <family val="2"/>
        <charset val="238"/>
        <scheme val="minor"/>
      </rPr>
      <t>]</t>
    </r>
  </si>
  <si>
    <r>
      <t>[m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]</t>
    </r>
  </si>
  <si>
    <r>
      <t>[kW</t>
    </r>
    <r>
      <rPr>
        <vertAlign val="sub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>]</t>
    </r>
  </si>
  <si>
    <r>
      <t>[m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.h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]</t>
    </r>
  </si>
  <si>
    <t>špičkový instalovaný elektrický výkon fotovoltaického systému</t>
  </si>
  <si>
    <r>
      <t>[kW</t>
    </r>
    <r>
      <rPr>
        <vertAlign val="subscript"/>
        <sz val="11"/>
        <color theme="0" tint="-0.249977111117893"/>
        <rFont val="Calibri"/>
        <family val="2"/>
        <charset val="238"/>
        <scheme val="minor"/>
      </rPr>
      <t>e</t>
    </r>
    <r>
      <rPr>
        <sz val="11"/>
        <color theme="0" tint="-0.249977111117893"/>
        <rFont val="Calibri"/>
        <family val="2"/>
        <charset val="238"/>
        <scheme val="minor"/>
      </rPr>
      <t>]</t>
    </r>
  </si>
  <si>
    <t>Celkové způsobilé přímé realizační výdaje</t>
  </si>
  <si>
    <t>maximální způsobilé výdaje na opatření (bez DPH)</t>
  </si>
  <si>
    <t>Cena včetně DPH</t>
  </si>
  <si>
    <t>Kotel na biomasu</t>
  </si>
  <si>
    <t>Projektová příprava, autorský a technický dozor</t>
  </si>
  <si>
    <t>Celkové výdaje projektu (včetně DPH)</t>
  </si>
  <si>
    <t>Procentní výše způsob. výdajů na projektovou přípravu, autorský a technický dozor</t>
  </si>
  <si>
    <t>nově budovaná otopná soustava</t>
  </si>
  <si>
    <t>Plynové tepelné čerpadlo voda/voda</t>
  </si>
  <si>
    <t>Systém využívající odpadní teplo</t>
  </si>
  <si>
    <r>
      <t>[GJ.rok</t>
    </r>
    <r>
      <rPr>
        <vertAlign val="superscript"/>
        <sz val="11"/>
        <color theme="1"/>
        <rFont val="Calibri"/>
        <family val="2"/>
        <charset val="238"/>
        <scheme val="minor"/>
      </rPr>
      <t>-1</t>
    </r>
    <r>
      <rPr>
        <sz val="11"/>
        <color theme="1"/>
        <rFont val="Calibri"/>
        <family val="2"/>
        <charset val="238"/>
        <scheme val="minor"/>
      </rPr>
      <t>]</t>
    </r>
  </si>
  <si>
    <t>Manažerské řízení přípravy a realizace projektu</t>
  </si>
  <si>
    <t>úspora energie dosažená realizací všech dalších opatření navržených v energetickém posudku</t>
  </si>
  <si>
    <t>Výdaje na další opatření navržená energetickým auditem</t>
  </si>
  <si>
    <t>KUMULATIVNÍ ROZPOČET PROJEKTU - 61. VÝZVA +</t>
  </si>
  <si>
    <t>Obec nad 1000 obyvatel s více než jedním překročeným emisním limitem - bonus 10 %</t>
  </si>
  <si>
    <t>Obec do 1000 obyvatel včetně s více než jedním překročeným emisním limitem - bonus 5 %</t>
  </si>
  <si>
    <t>Bez bonifikace</t>
  </si>
  <si>
    <t>max. procento podpory</t>
  </si>
  <si>
    <t>Výdaje na instalaci systému větrání s využitím odpadního tepla</t>
  </si>
  <si>
    <t>Bonifikace 5 %</t>
  </si>
  <si>
    <t>Bonifikace 10 %</t>
  </si>
  <si>
    <t>Navýšení celkových způsobilých výdajů na základě imisní zátěže lokality</t>
  </si>
  <si>
    <t>Způsobilé výdaje po zohlednění limitů způsobilých výdajů a způsobilosti DPH (bez bonifikace)</t>
  </si>
  <si>
    <t>instalovaný elektrický výkon zdroje (KVET)</t>
  </si>
  <si>
    <t>Tabulka je optimalizována pro MS Excel 2010 a vyšší, použití starší verze může způsobit problémy. Editujte pouze zelená pole, vybírejte hodnoty z rozevíracích seznamů a měňte hodnoty zaškrtávacích polí. Řiďte se informacemi označenými červeným trojúhelníkem v pravém horním rohu buněk. V případě existence veřejné podpory u posuzovaného projektu se způsobilost výdajů na projektovou přípravu řídí kapitolou B.2.8 Pravidel pro žadatele a příjemce.</t>
  </si>
  <si>
    <t>výměra zateplovaných konstrukcí k nevytápěným prostorům</t>
  </si>
  <si>
    <t>Konstrukce dotčená požadavkem orgánu památkové péče</t>
  </si>
  <si>
    <t>Konstrukce bez požadavku orgánu památkové péče</t>
  </si>
  <si>
    <t>Celkové způsobilé výdaje projektu</t>
  </si>
  <si>
    <t>Celkové způsobilé investiční náklady (bez DPH)</t>
  </si>
  <si>
    <t>Fakultní nemocnice Olomouc</t>
  </si>
  <si>
    <t>Novostavba HOK</t>
  </si>
  <si>
    <t>V nezpůsobilých výdajích jsou zahrnuty sadové úpravy, chodníky a komunikace, oplocení, vnitřní zařízení a vyhotovení interiéru a montáže zdravotnických a laboratorních zařízení. Do nezpůsobilých výdajů byly zařazeny i některé části položek přípojek a přeložek rozvodů a sdělovací a zabezpečovací technika. Podrobně viz rozpočet projetku.</t>
  </si>
  <si>
    <t>BOZP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</si>
</sst>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vertAlign val="subscript"/>
      <sz val="11"/>
      <color theme="0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8E2BC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7" fillId="0" borderId="0" xfId="0" applyFont="1"/>
    <xf numFmtId="0" fontId="2" fillId="0" borderId="0" xfId="0" applyFont="1" applyProtection="1"/>
    <xf numFmtId="0" fontId="4" fillId="0" borderId="0" xfId="0" applyFont="1" applyProtection="1"/>
    <xf numFmtId="0" fontId="10" fillId="0" borderId="0" xfId="0" applyFont="1" applyProtection="1"/>
    <xf numFmtId="164" fontId="0" fillId="0" borderId="0" xfId="0" applyNumberFormat="1" applyBorder="1" applyProtection="1"/>
    <xf numFmtId="164" fontId="0" fillId="0" borderId="2" xfId="0" applyNumberFormat="1" applyBorder="1" applyAlignment="1" applyProtection="1">
      <alignment horizontal="right"/>
    </xf>
    <xf numFmtId="164" fontId="0" fillId="0" borderId="14" xfId="0" applyNumberFormat="1" applyBorder="1" applyProtection="1"/>
    <xf numFmtId="164" fontId="0" fillId="0" borderId="0" xfId="0" applyNumberFormat="1" applyBorder="1" applyAlignment="1" applyProtection="1">
      <alignment horizontal="right"/>
    </xf>
    <xf numFmtId="164" fontId="0" fillId="0" borderId="11" xfId="0" applyNumberFormat="1" applyBorder="1" applyProtection="1"/>
    <xf numFmtId="164" fontId="0" fillId="0" borderId="9" xfId="0" applyNumberFormat="1" applyBorder="1" applyProtection="1"/>
    <xf numFmtId="0" fontId="0" fillId="0" borderId="12" xfId="0" applyBorder="1" applyProtection="1"/>
    <xf numFmtId="0" fontId="0" fillId="0" borderId="13" xfId="0" applyBorder="1" applyProtection="1"/>
    <xf numFmtId="164" fontId="0" fillId="0" borderId="12" xfId="0" applyNumberFormat="1" applyFill="1" applyBorder="1" applyAlignment="1" applyProtection="1">
      <alignment horizontal="right"/>
    </xf>
    <xf numFmtId="0" fontId="0" fillId="0" borderId="4" xfId="0" applyBorder="1" applyProtection="1"/>
    <xf numFmtId="0" fontId="0" fillId="0" borderId="5" xfId="0" applyBorder="1" applyProtection="1"/>
    <xf numFmtId="164" fontId="3" fillId="0" borderId="10" xfId="0" applyNumberFormat="1" applyFont="1" applyBorder="1" applyProtection="1"/>
    <xf numFmtId="164" fontId="3" fillId="0" borderId="14" xfId="0" applyNumberFormat="1" applyFont="1" applyBorder="1" applyAlignment="1" applyProtection="1">
      <alignment horizontal="right"/>
    </xf>
    <xf numFmtId="0" fontId="3" fillId="0" borderId="1" xfId="0" applyFont="1" applyBorder="1" applyProtection="1"/>
    <xf numFmtId="0" fontId="6" fillId="0" borderId="2" xfId="0" applyFont="1" applyBorder="1" applyProtection="1"/>
    <xf numFmtId="164" fontId="3" fillId="0" borderId="3" xfId="0" applyNumberFormat="1" applyFont="1" applyBorder="1" applyProtection="1"/>
    <xf numFmtId="0" fontId="0" fillId="0" borderId="0" xfId="0" applyBorder="1" applyProtection="1"/>
    <xf numFmtId="0" fontId="3" fillId="0" borderId="7" xfId="0" applyFont="1" applyBorder="1" applyProtection="1"/>
    <xf numFmtId="0" fontId="3" fillId="0" borderId="0" xfId="0" applyFont="1" applyBorder="1" applyProtection="1"/>
    <xf numFmtId="164" fontId="3" fillId="0" borderId="8" xfId="0" applyNumberFormat="1" applyFont="1" applyBorder="1" applyProtection="1"/>
    <xf numFmtId="164" fontId="3" fillId="0" borderId="6" xfId="0" applyNumberFormat="1" applyFont="1" applyBorder="1" applyProtection="1"/>
    <xf numFmtId="0" fontId="1" fillId="0" borderId="0" xfId="0" applyFont="1" applyBorder="1" applyProtection="1"/>
    <xf numFmtId="0" fontId="0" fillId="0" borderId="0" xfId="0" applyNumberFormat="1" applyBorder="1" applyProtection="1"/>
    <xf numFmtId="164" fontId="0" fillId="4" borderId="15" xfId="0" applyNumberFormat="1" applyFill="1" applyBorder="1" applyAlignment="1" applyProtection="1">
      <alignment horizontal="right"/>
      <protection locked="0"/>
    </xf>
    <xf numFmtId="164" fontId="0" fillId="4" borderId="1" xfId="0" applyNumberFormat="1" applyFill="1" applyBorder="1" applyAlignment="1" applyProtection="1">
      <alignment horizontal="right"/>
      <protection locked="0"/>
    </xf>
    <xf numFmtId="164" fontId="0" fillId="4" borderId="7" xfId="0" applyNumberFormat="1" applyFill="1" applyBorder="1" applyAlignment="1" applyProtection="1">
      <alignment horizontal="right"/>
      <protection locked="0"/>
    </xf>
    <xf numFmtId="164" fontId="0" fillId="4" borderId="9" xfId="0" applyNumberFormat="1" applyFill="1" applyBorder="1" applyAlignment="1" applyProtection="1">
      <alignment horizontal="right"/>
      <protection locked="0"/>
    </xf>
    <xf numFmtId="164" fontId="0" fillId="4" borderId="10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0" xfId="0" applyBorder="1"/>
    <xf numFmtId="0" fontId="0" fillId="0" borderId="20" xfId="0" applyBorder="1"/>
    <xf numFmtId="49" fontId="0" fillId="0" borderId="21" xfId="0" applyNumberFormat="1" applyBorder="1"/>
    <xf numFmtId="0" fontId="0" fillId="0" borderId="22" xfId="0" applyBorder="1"/>
    <xf numFmtId="0" fontId="0" fillId="0" borderId="23" xfId="0" applyBorder="1"/>
    <xf numFmtId="49" fontId="0" fillId="0" borderId="16" xfId="0" applyNumberFormat="1" applyFill="1" applyBorder="1" applyProtection="1"/>
    <xf numFmtId="49" fontId="0" fillId="0" borderId="19" xfId="0" applyNumberFormat="1" applyFill="1" applyBorder="1" applyProtection="1"/>
    <xf numFmtId="49" fontId="0" fillId="0" borderId="21" xfId="0" applyNumberFormat="1" applyFill="1" applyBorder="1" applyProtection="1"/>
    <xf numFmtId="164" fontId="8" fillId="2" borderId="9" xfId="0" applyNumberFormat="1" applyFont="1" applyFill="1" applyBorder="1" applyAlignment="1" applyProtection="1">
      <alignment horizontal="right"/>
      <protection locked="0"/>
    </xf>
    <xf numFmtId="164" fontId="8" fillId="0" borderId="0" xfId="0" applyNumberFormat="1" applyFont="1" applyBorder="1" applyProtection="1"/>
    <xf numFmtId="0" fontId="0" fillId="4" borderId="0" xfId="0" applyFont="1" applyFill="1" applyBorder="1" applyProtection="1">
      <protection locked="0"/>
    </xf>
    <xf numFmtId="0" fontId="0" fillId="0" borderId="0" xfId="0" applyFont="1" applyBorder="1" applyProtection="1"/>
    <xf numFmtId="0" fontId="0" fillId="0" borderId="8" xfId="0" applyFont="1" applyBorder="1"/>
    <xf numFmtId="0" fontId="8" fillId="3" borderId="6" xfId="0" applyFont="1" applyFill="1" applyBorder="1"/>
    <xf numFmtId="164" fontId="3" fillId="0" borderId="4" xfId="0" applyNumberFormat="1" applyFont="1" applyBorder="1" applyAlignment="1" applyProtection="1">
      <alignment horizontal="right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/>
    <xf numFmtId="0" fontId="0" fillId="0" borderId="8" xfId="0" applyFont="1" applyBorder="1" applyAlignment="1" applyProtection="1">
      <protection locked="0"/>
    </xf>
    <xf numFmtId="0" fontId="0" fillId="3" borderId="0" xfId="0" applyFont="1" applyFill="1" applyBorder="1" applyProtection="1"/>
    <xf numFmtId="164" fontId="0" fillId="0" borderId="10" xfId="0" applyNumberFormat="1" applyBorder="1"/>
    <xf numFmtId="164" fontId="8" fillId="3" borderId="10" xfId="0" applyNumberFormat="1" applyFont="1" applyFill="1" applyBorder="1" applyAlignment="1" applyProtection="1">
      <alignment horizontal="right"/>
    </xf>
    <xf numFmtId="0" fontId="4" fillId="0" borderId="3" xfId="0" applyFont="1" applyBorder="1" applyAlignment="1" applyProtection="1">
      <protection locked="0"/>
    </xf>
    <xf numFmtId="0" fontId="0" fillId="5" borderId="5" xfId="0" applyFont="1" applyFill="1" applyBorder="1" applyProtection="1">
      <protection locked="0"/>
    </xf>
    <xf numFmtId="164" fontId="0" fillId="0" borderId="9" xfId="0" applyNumberFormat="1" applyFont="1" applyFill="1" applyBorder="1" applyAlignment="1" applyProtection="1">
      <alignment horizontal="right"/>
    </xf>
    <xf numFmtId="164" fontId="3" fillId="0" borderId="0" xfId="0" applyNumberFormat="1" applyFont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164" fontId="3" fillId="0" borderId="0" xfId="0" applyNumberFormat="1" applyFont="1" applyBorder="1" applyProtection="1"/>
    <xf numFmtId="0" fontId="0" fillId="6" borderId="0" xfId="0" applyFill="1"/>
    <xf numFmtId="0" fontId="0" fillId="0" borderId="0" xfId="0" applyFill="1"/>
    <xf numFmtId="0" fontId="3" fillId="0" borderId="0" xfId="0" applyFont="1"/>
    <xf numFmtId="0" fontId="3" fillId="0" borderId="0" xfId="0" applyFont="1" applyAlignment="1" applyProtection="1">
      <alignment vertical="top"/>
    </xf>
    <xf numFmtId="0" fontId="0" fillId="0" borderId="8" xfId="0" applyFont="1" applyBorder="1" applyAlignment="1" applyProtection="1">
      <alignment horizontal="left"/>
      <protection locked="0"/>
    </xf>
    <xf numFmtId="164" fontId="0" fillId="0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7" fillId="0" borderId="0" xfId="0" applyFont="1" applyProtection="1">
      <protection locked="0"/>
    </xf>
    <xf numFmtId="0" fontId="0" fillId="0" borderId="7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11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6" fillId="5" borderId="0" xfId="0" applyFont="1" applyFill="1" applyAlignment="1" applyProtection="1">
      <alignment horizontal="left"/>
      <protection locked="0"/>
    </xf>
    <xf numFmtId="0" fontId="0" fillId="0" borderId="8" xfId="0" applyFont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0" fillId="0" borderId="1" xfId="0" applyBorder="1" applyAlignment="1" applyProtection="1">
      <alignment vertical="center" wrapText="1"/>
    </xf>
    <xf numFmtId="0" fontId="0" fillId="0" borderId="2" xfId="0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11" fillId="0" borderId="11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left"/>
    </xf>
    <xf numFmtId="0" fontId="0" fillId="0" borderId="13" xfId="0" applyBorder="1" applyAlignment="1" applyProtection="1">
      <alignment horizontal="left"/>
    </xf>
    <xf numFmtId="0" fontId="0" fillId="0" borderId="0" xfId="0" applyBorder="1" applyAlignment="1">
      <alignment horizontal="center"/>
    </xf>
    <xf numFmtId="164" fontId="0" fillId="0" borderId="12" xfId="0" applyNumberFormat="1" applyFill="1" applyBorder="1" applyAlignment="1" applyProtection="1">
      <alignment horizontal="right"/>
    </xf>
    <xf numFmtId="164" fontId="0" fillId="0" borderId="15" xfId="0" applyNumberFormat="1" applyFill="1" applyBorder="1" applyAlignment="1" applyProtection="1">
      <alignment horizontal="right"/>
    </xf>
    <xf numFmtId="164" fontId="0" fillId="0" borderId="13" xfId="0" applyNumberFormat="1" applyFill="1" applyBorder="1" applyAlignment="1" applyProtection="1">
      <alignment horizontal="right"/>
    </xf>
    <xf numFmtId="164" fontId="0" fillId="0" borderId="0" xfId="0" applyNumberFormat="1" applyBorder="1" applyAlignment="1" applyProtection="1">
      <alignment horizontal="right"/>
    </xf>
    <xf numFmtId="164" fontId="0" fillId="0" borderId="8" xfId="0" applyNumberFormat="1" applyBorder="1" applyAlignment="1" applyProtection="1">
      <alignment horizontal="right"/>
    </xf>
    <xf numFmtId="0" fontId="0" fillId="0" borderId="2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164" fontId="8" fillId="0" borderId="0" xfId="0" applyNumberFormat="1" applyFont="1" applyBorder="1" applyAlignment="1" applyProtection="1">
      <alignment horizontal="right"/>
    </xf>
    <xf numFmtId="164" fontId="8" fillId="0" borderId="8" xfId="0" applyNumberFormat="1" applyFont="1" applyBorder="1" applyAlignment="1" applyProtection="1">
      <alignment horizontal="right"/>
    </xf>
    <xf numFmtId="0" fontId="8" fillId="0" borderId="7" xfId="0" applyFont="1" applyBorder="1" applyAlignment="1" applyProtection="1">
      <alignment horizontal="left"/>
    </xf>
    <xf numFmtId="0" fontId="8" fillId="0" borderId="8" xfId="0" applyFont="1" applyBorder="1" applyAlignment="1" applyProtection="1">
      <alignment horizontal="left"/>
    </xf>
    <xf numFmtId="164" fontId="0" fillId="0" borderId="12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>
      <alignment horizontal="right"/>
    </xf>
    <xf numFmtId="164" fontId="0" fillId="0" borderId="13" xfId="0" applyNumberFormat="1" applyBorder="1" applyAlignment="1" applyProtection="1">
      <alignment horizontal="right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</xf>
    <xf numFmtId="0" fontId="0" fillId="5" borderId="0" xfId="0" applyFont="1" applyFill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</xf>
    <xf numFmtId="0" fontId="0" fillId="0" borderId="2" xfId="0" applyFont="1" applyBorder="1" applyAlignment="1" applyProtection="1">
      <alignment horizontal="left"/>
    </xf>
    <xf numFmtId="0" fontId="18" fillId="0" borderId="1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0" fontId="0" fillId="0" borderId="8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top" wrapText="1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/>
    </xf>
    <xf numFmtId="0" fontId="16" fillId="0" borderId="0" xfId="0" applyFont="1" applyAlignment="1">
      <alignment horizontal="left" vertical="top" wrapText="1"/>
    </xf>
    <xf numFmtId="0" fontId="0" fillId="0" borderId="9" xfId="0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0" fillId="4" borderId="4" xfId="0" applyFont="1" applyFill="1" applyBorder="1" applyAlignment="1" applyProtection="1">
      <alignment horizontal="left" vertical="center"/>
      <protection locked="0"/>
    </xf>
    <xf numFmtId="0" fontId="0" fillId="4" borderId="6" xfId="0" applyFont="1" applyFill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 applyProtection="1">
      <alignment horizontal="right"/>
    </xf>
    <xf numFmtId="0" fontId="0" fillId="0" borderId="7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0" fillId="5" borderId="1" xfId="0" applyFill="1" applyBorder="1" applyAlignment="1" applyProtection="1">
      <alignment horizontal="left" vertical="top" wrapText="1"/>
      <protection locked="0"/>
    </xf>
    <xf numFmtId="0" fontId="0" fillId="5" borderId="2" xfId="0" applyFont="1" applyFill="1" applyBorder="1" applyAlignment="1" applyProtection="1">
      <alignment horizontal="left" vertical="top" wrapText="1"/>
      <protection locked="0"/>
    </xf>
    <xf numFmtId="0" fontId="0" fillId="5" borderId="3" xfId="0" applyFont="1" applyFill="1" applyBorder="1" applyAlignment="1" applyProtection="1">
      <alignment horizontal="left" vertical="top" wrapText="1"/>
      <protection locked="0"/>
    </xf>
    <xf numFmtId="0" fontId="0" fillId="5" borderId="7" xfId="0" applyFont="1" applyFill="1" applyBorder="1" applyAlignment="1" applyProtection="1">
      <alignment horizontal="left" vertical="top" wrapText="1"/>
      <protection locked="0"/>
    </xf>
    <xf numFmtId="0" fontId="0" fillId="5" borderId="0" xfId="0" applyFont="1" applyFill="1" applyBorder="1" applyAlignment="1" applyProtection="1">
      <alignment horizontal="left" vertical="top" wrapText="1"/>
      <protection locked="0"/>
    </xf>
    <xf numFmtId="0" fontId="0" fillId="5" borderId="8" xfId="0" applyFont="1" applyFill="1" applyBorder="1" applyAlignment="1" applyProtection="1">
      <alignment horizontal="left" vertical="top" wrapText="1"/>
      <protection locked="0"/>
    </xf>
    <xf numFmtId="0" fontId="0" fillId="5" borderId="4" xfId="0" applyFont="1" applyFill="1" applyBorder="1" applyAlignment="1" applyProtection="1">
      <alignment horizontal="left" vertical="top" wrapText="1"/>
      <protection locked="0"/>
    </xf>
    <xf numFmtId="0" fontId="0" fillId="5" borderId="5" xfId="0" applyFont="1" applyFill="1" applyBorder="1" applyAlignment="1" applyProtection="1">
      <alignment horizontal="left" vertical="top" wrapText="1"/>
      <protection locked="0"/>
    </xf>
    <xf numFmtId="0" fontId="0" fillId="5" borderId="6" xfId="0" applyFont="1" applyFill="1" applyBorder="1" applyAlignment="1" applyProtection="1">
      <alignment horizontal="left" vertical="top" wrapText="1"/>
      <protection locked="0"/>
    </xf>
    <xf numFmtId="164" fontId="3" fillId="0" borderId="12" xfId="0" applyNumberFormat="1" applyFont="1" applyBorder="1" applyAlignment="1" applyProtection="1">
      <alignment horizontal="right"/>
    </xf>
    <xf numFmtId="164" fontId="3" fillId="0" borderId="15" xfId="0" applyNumberFormat="1" applyFont="1" applyBorder="1" applyAlignment="1" applyProtection="1">
      <alignment horizontal="right"/>
    </xf>
    <xf numFmtId="164" fontId="3" fillId="0" borderId="13" xfId="0" applyNumberFormat="1" applyFont="1" applyBorder="1" applyAlignment="1" applyProtection="1">
      <alignment horizontal="right"/>
    </xf>
    <xf numFmtId="0" fontId="3" fillId="0" borderId="4" xfId="0" applyFont="1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0" borderId="1" xfId="0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/>
    </xf>
    <xf numFmtId="0" fontId="0" fillId="0" borderId="3" xfId="0" applyBorder="1" applyAlignment="1" applyProtection="1">
      <alignment horizontal="left" vertical="top"/>
    </xf>
    <xf numFmtId="0" fontId="0" fillId="0" borderId="12" xfId="0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</cellXfs>
  <cellStyles count="1">
    <cellStyle name="Normální" xfId="0" builtinId="0"/>
  </cellStyles>
  <dxfs count="48">
    <dxf>
      <font>
        <color theme="0" tint="-0.24994659260841701"/>
      </font>
    </dxf>
    <dxf>
      <font>
        <color theme="0" tint="-0.24994659260841701"/>
      </font>
      <fill>
        <patternFill>
          <bgColor theme="0"/>
        </patternFill>
      </fill>
    </dxf>
    <dxf>
      <font>
        <color theme="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  <fill>
        <patternFill>
          <bgColor theme="0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1"/>
      </font>
      <fill>
        <patternFill>
          <bgColor rgb="FFD8E4BC"/>
        </patternFill>
      </fill>
    </dxf>
    <dxf>
      <font>
        <color theme="1"/>
      </font>
      <fill>
        <patternFill>
          <bgColor theme="0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  <fill>
        <patternFill>
          <bgColor theme="0"/>
        </patternFill>
      </fill>
    </dxf>
    <dxf>
      <font>
        <b val="0"/>
        <i val="0"/>
        <color theme="0" tint="-0.24994659260841701"/>
      </font>
      <fill>
        <patternFill>
          <bgColor theme="0" tint="-0.14996795556505021"/>
        </patternFill>
      </fill>
    </dxf>
    <dxf>
      <font>
        <color theme="1"/>
      </font>
    </dxf>
    <dxf>
      <font>
        <color theme="1"/>
      </font>
    </dxf>
    <dxf>
      <font>
        <color theme="1"/>
      </font>
      <fill>
        <patternFill>
          <bgColor rgb="FFD8E2BC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D8E2BC"/>
        </patternFill>
      </fill>
    </dxf>
    <dxf>
      <font>
        <color auto="1"/>
      </font>
    </dxf>
    <dxf>
      <font>
        <color theme="0" tint="-0.24994659260841701"/>
      </font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D8E4BC"/>
      <color rgb="FFFFFFFF"/>
      <color rgb="FFD8E2BC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List2!$A$22" lockText="1"/>
</file>

<file path=xl/ctrlProps/ctrlProp10.xml><?xml version="1.0" encoding="utf-8"?>
<formControlPr xmlns="http://schemas.microsoft.com/office/spreadsheetml/2009/9/main" objectType="CheckBox" checked="Checked" fmlaLink="$A$10" lockText="1"/>
</file>

<file path=xl/ctrlProps/ctrlProp2.xml><?xml version="1.0" encoding="utf-8"?>
<formControlPr xmlns="http://schemas.microsoft.com/office/spreadsheetml/2009/9/main" objectType="Drop" dropLines="9" dropStyle="combo" dx="20" fmlaLink="$H$10" fmlaRange="List2!$A$6:$A$14" sel="1" val="0"/>
</file>

<file path=xl/ctrlProps/ctrlProp3.xml><?xml version="1.0" encoding="utf-8"?>
<formControlPr xmlns="http://schemas.microsoft.com/office/spreadsheetml/2009/9/main" objectType="Drop" dropLines="2" dropStyle="combo" dx="20" fmlaLink="$H$18" fmlaRange="List2!$A$15:$A$16" sel="1" val="0"/>
</file>

<file path=xl/ctrlProps/ctrlProp4.xml><?xml version="1.0" encoding="utf-8"?>
<formControlPr xmlns="http://schemas.microsoft.com/office/spreadsheetml/2009/9/main" objectType="Drop" dropLines="3" dropStyle="combo" dx="20" fmlaLink="$A$51" fmlaRange="List2!$H$1:$H$3" sel="1" val="0"/>
</file>

<file path=xl/ctrlProps/ctrlProp5.xml><?xml version="1.0" encoding="utf-8"?>
<formControlPr xmlns="http://schemas.microsoft.com/office/spreadsheetml/2009/9/main" objectType="Drop" dropLines="2" dropStyle="combo" dx="20" fmlaLink="$H$12" fmlaRange="List2!$H$16:$H$17" sel="1" val="0"/>
</file>

<file path=xl/ctrlProps/ctrlProp6.xml><?xml version="1.0" encoding="utf-8"?>
<formControlPr xmlns="http://schemas.microsoft.com/office/spreadsheetml/2009/9/main" objectType="Drop" dropLines="2" dropStyle="combo" dx="20" fmlaLink="$H$13" fmlaRange="List2!$H$16:$H$17" sel="1" val="0"/>
</file>

<file path=xl/ctrlProps/ctrlProp7.xml><?xml version="1.0" encoding="utf-8"?>
<formControlPr xmlns="http://schemas.microsoft.com/office/spreadsheetml/2009/9/main" objectType="Drop" dropLines="2" dropStyle="combo" dx="20" fmlaLink="$H$14" fmlaRange="List2!$H$16:$H$17" sel="1" val="0"/>
</file>

<file path=xl/ctrlProps/ctrlProp8.xml><?xml version="1.0" encoding="utf-8"?>
<formControlPr xmlns="http://schemas.microsoft.com/office/spreadsheetml/2009/9/main" objectType="Drop" dropLines="2" dropStyle="combo" dx="20" fmlaLink="$H$15" fmlaRange="List2!$H$16:$H$17" sel="1" val="0"/>
</file>

<file path=xl/ctrlProps/ctrlProp9.xml><?xml version="1.0" encoding="utf-8"?>
<formControlPr xmlns="http://schemas.microsoft.com/office/spreadsheetml/2009/9/main" objectType="Drop" dropLines="2" dropStyle="combo" dx="20" fmlaLink="$H$16" fmlaRange="List2!$H$16:$H$17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407670</xdr:colOff>
      <xdr:row>59</xdr:row>
      <xdr:rowOff>4446</xdr:rowOff>
    </xdr:from>
    <xdr:to>
      <xdr:col>10</xdr:col>
      <xdr:colOff>10061</xdr:colOff>
      <xdr:row>62</xdr:row>
      <xdr:rowOff>122133</xdr:rowOff>
    </xdr:to>
    <xdr:pic>
      <xdr:nvPicPr>
        <xdr:cNvPr id="59" name="Obrázek 58" descr="http://olomouc.hnutiduha.cz/data/Loga/M%C5%BDP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4137" y="10858713"/>
          <a:ext cx="3725658" cy="676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552239</xdr:colOff>
      <xdr:row>59</xdr:row>
      <xdr:rowOff>26669</xdr:rowOff>
    </xdr:from>
    <xdr:to>
      <xdr:col>3</xdr:col>
      <xdr:colOff>211668</xdr:colOff>
      <xdr:row>63</xdr:row>
      <xdr:rowOff>26669</xdr:rowOff>
    </xdr:to>
    <xdr:pic>
      <xdr:nvPicPr>
        <xdr:cNvPr id="60" name="Picture 112" descr="header-opzp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3772" y="10880936"/>
          <a:ext cx="4231429" cy="745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22</xdr:row>
          <xdr:rowOff>28575</xdr:rowOff>
        </xdr:from>
        <xdr:to>
          <xdr:col>3</xdr:col>
          <xdr:colOff>514350</xdr:colOff>
          <xdr:row>22</xdr:row>
          <xdr:rowOff>247650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DPH v rámci projektu není způsobilé (žadatel je plátce a na celé výdaje uplatní odpočet)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9</xdr:row>
          <xdr:rowOff>9525</xdr:rowOff>
        </xdr:from>
        <xdr:to>
          <xdr:col>7</xdr:col>
          <xdr:colOff>2781300</xdr:colOff>
          <xdr:row>10</xdr:row>
          <xdr:rowOff>19050</xdr:rowOff>
        </xdr:to>
        <xdr:sp macro="" textlink="">
          <xdr:nvSpPr>
            <xdr:cNvPr id="1091" name="Drop Down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962025</xdr:colOff>
          <xdr:row>17</xdr:row>
          <xdr:rowOff>0</xdr:rowOff>
        </xdr:from>
        <xdr:to>
          <xdr:col>7</xdr:col>
          <xdr:colOff>2781300</xdr:colOff>
          <xdr:row>18</xdr:row>
          <xdr:rowOff>9525</xdr:rowOff>
        </xdr:to>
        <xdr:sp macro="" textlink="">
          <xdr:nvSpPr>
            <xdr:cNvPr id="1576" name="Drop Down 552" hidden="1">
              <a:extLst>
                <a:ext uri="{63B3BB69-23CF-44E3-9099-C40C66FF867C}">
                  <a14:compatExt spid="_x0000_s1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49</xdr:row>
          <xdr:rowOff>171450</xdr:rowOff>
        </xdr:from>
        <xdr:to>
          <xdr:col>3</xdr:col>
          <xdr:colOff>0</xdr:colOff>
          <xdr:row>51</xdr:row>
          <xdr:rowOff>0</xdr:rowOff>
        </xdr:to>
        <xdr:sp macro="" textlink="">
          <xdr:nvSpPr>
            <xdr:cNvPr id="1713" name="Drop Down 689" hidden="1">
              <a:extLst>
                <a:ext uri="{63B3BB69-23CF-44E3-9099-C40C66FF867C}">
                  <a14:compatExt spid="_x0000_s1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1447800</xdr:colOff>
          <xdr:row>11</xdr:row>
          <xdr:rowOff>19050</xdr:rowOff>
        </xdr:from>
        <xdr:to>
          <xdr:col>8</xdr:col>
          <xdr:colOff>0</xdr:colOff>
          <xdr:row>12</xdr:row>
          <xdr:rowOff>19050</xdr:rowOff>
        </xdr:to>
        <xdr:sp macro="" textlink="">
          <xdr:nvSpPr>
            <xdr:cNvPr id="1714" name="Drop Down 690" hidden="1">
              <a:extLst>
                <a:ext uri="{63B3BB69-23CF-44E3-9099-C40C66FF867C}">
                  <a14:compatExt spid="_x0000_s1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1447800</xdr:colOff>
          <xdr:row>12</xdr:row>
          <xdr:rowOff>19050</xdr:rowOff>
        </xdr:from>
        <xdr:to>
          <xdr:col>7</xdr:col>
          <xdr:colOff>2781300</xdr:colOff>
          <xdr:row>13</xdr:row>
          <xdr:rowOff>19050</xdr:rowOff>
        </xdr:to>
        <xdr:sp macro="" textlink="">
          <xdr:nvSpPr>
            <xdr:cNvPr id="1715" name="Drop Down 691" hidden="1">
              <a:extLst>
                <a:ext uri="{63B3BB69-23CF-44E3-9099-C40C66FF867C}">
                  <a14:compatExt spid="_x0000_s1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1447800</xdr:colOff>
          <xdr:row>13</xdr:row>
          <xdr:rowOff>19050</xdr:rowOff>
        </xdr:from>
        <xdr:to>
          <xdr:col>8</xdr:col>
          <xdr:colOff>0</xdr:colOff>
          <xdr:row>14</xdr:row>
          <xdr:rowOff>19050</xdr:rowOff>
        </xdr:to>
        <xdr:sp macro="" textlink="">
          <xdr:nvSpPr>
            <xdr:cNvPr id="1716" name="Drop Down 692" hidden="1">
              <a:extLst>
                <a:ext uri="{63B3BB69-23CF-44E3-9099-C40C66FF867C}">
                  <a14:compatExt spid="_x0000_s1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1447800</xdr:colOff>
          <xdr:row>14</xdr:row>
          <xdr:rowOff>9525</xdr:rowOff>
        </xdr:from>
        <xdr:to>
          <xdr:col>8</xdr:col>
          <xdr:colOff>0</xdr:colOff>
          <xdr:row>15</xdr:row>
          <xdr:rowOff>9525</xdr:rowOff>
        </xdr:to>
        <xdr:sp macro="" textlink="">
          <xdr:nvSpPr>
            <xdr:cNvPr id="1717" name="Drop Down 693" hidden="1">
              <a:extLst>
                <a:ext uri="{63B3BB69-23CF-44E3-9099-C40C66FF867C}">
                  <a14:compatExt spid="_x0000_s1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1447800</xdr:colOff>
          <xdr:row>15</xdr:row>
          <xdr:rowOff>9525</xdr:rowOff>
        </xdr:from>
        <xdr:to>
          <xdr:col>8</xdr:col>
          <xdr:colOff>0</xdr:colOff>
          <xdr:row>16</xdr:row>
          <xdr:rowOff>9525</xdr:rowOff>
        </xdr:to>
        <xdr:sp macro="" textlink="">
          <xdr:nvSpPr>
            <xdr:cNvPr id="1718" name="Drop Down 694" hidden="1">
              <a:extLst>
                <a:ext uri="{63B3BB69-23CF-44E3-9099-C40C66FF867C}">
                  <a14:compatExt spid="_x0000_s1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2</xdr:col>
          <xdr:colOff>95250</xdr:colOff>
          <xdr:row>10</xdr:row>
          <xdr:rowOff>28575</xdr:rowOff>
        </xdr:to>
        <xdr:sp macro="" textlink="">
          <xdr:nvSpPr>
            <xdr:cNvPr id="1720" name="Check Box 696" hidden="1">
              <a:extLst>
                <a:ext uri="{63B3BB69-23CF-44E3-9099-C40C66FF867C}">
                  <a14:compatExt spid="_x0000_s1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Výstavba veřejných/é budov/y v pasivním energetickém standardu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K62"/>
  <sheetViews>
    <sheetView showGridLines="0" tabSelected="1" topLeftCell="A19" zoomScale="80" zoomScaleNormal="80" workbookViewId="0">
      <selection activeCell="H34" sqref="H34"/>
    </sheetView>
  </sheetViews>
  <sheetFormatPr defaultRowHeight="15" x14ac:dyDescent="0.25"/>
  <cols>
    <col min="1" max="1" width="18.42578125" customWidth="1"/>
    <col min="2" max="2" width="31.5703125" customWidth="1"/>
    <col min="3" max="3" width="35.140625" customWidth="1"/>
    <col min="4" max="4" width="18.5703125" customWidth="1"/>
    <col min="5" max="5" width="5.7109375" customWidth="1"/>
    <col min="6" max="6" width="10.5703125" customWidth="1"/>
    <col min="7" max="7" width="21.28515625" customWidth="1"/>
    <col min="8" max="8" width="41.7109375" customWidth="1"/>
    <col min="9" max="9" width="10" customWidth="1"/>
    <col min="10" max="10" width="8.42578125" customWidth="1"/>
    <col min="11" max="11" width="25.28515625" customWidth="1"/>
    <col min="12" max="12" width="15" customWidth="1"/>
  </cols>
  <sheetData>
    <row r="1" spans="1:11" ht="46.5" x14ac:dyDescent="0.25">
      <c r="A1" s="124" t="s">
        <v>72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2"/>
      <c r="K2" s="1"/>
    </row>
    <row r="3" spans="1:11" ht="18.600000000000001" customHeight="1" x14ac:dyDescent="0.25">
      <c r="A3" s="3" t="s">
        <v>0</v>
      </c>
      <c r="B3" s="125" t="s">
        <v>89</v>
      </c>
      <c r="C3" s="125"/>
      <c r="D3" s="125"/>
      <c r="E3" s="1"/>
      <c r="F3" s="72" t="s">
        <v>1</v>
      </c>
      <c r="G3" s="142" t="s">
        <v>83</v>
      </c>
      <c r="H3" s="142"/>
      <c r="I3" s="142"/>
      <c r="J3" s="142"/>
      <c r="K3" s="142"/>
    </row>
    <row r="4" spans="1:11" ht="18.600000000000001" customHeight="1" x14ac:dyDescent="0.25">
      <c r="A4" s="3" t="s">
        <v>2</v>
      </c>
      <c r="B4" s="125" t="s">
        <v>90</v>
      </c>
      <c r="C4" s="125"/>
      <c r="D4" s="125"/>
      <c r="E4" s="1"/>
      <c r="F4" s="6"/>
      <c r="G4" s="142"/>
      <c r="H4" s="142"/>
      <c r="I4" s="142"/>
      <c r="J4" s="142"/>
      <c r="K4" s="142"/>
    </row>
    <row r="5" spans="1:11" ht="18.600000000000001" customHeight="1" x14ac:dyDescent="0.25">
      <c r="A5" s="3"/>
      <c r="B5" s="1"/>
      <c r="C5" s="1"/>
      <c r="D5" s="1"/>
      <c r="E5" s="1"/>
      <c r="F5" s="6"/>
      <c r="G5" s="142"/>
      <c r="H5" s="142"/>
      <c r="I5" s="142"/>
      <c r="J5" s="142"/>
      <c r="K5" s="142"/>
    </row>
    <row r="6" spans="1:11" ht="18.600000000000001" customHeight="1" x14ac:dyDescent="0.25">
      <c r="A6" s="3" t="s">
        <v>3</v>
      </c>
      <c r="B6" s="4" t="s">
        <v>34</v>
      </c>
      <c r="C6" s="1"/>
      <c r="D6" s="1"/>
      <c r="E6" s="1"/>
      <c r="F6" s="7"/>
      <c r="G6" s="142"/>
      <c r="H6" s="142"/>
      <c r="I6" s="142"/>
      <c r="J6" s="142"/>
      <c r="K6" s="142"/>
    </row>
    <row r="7" spans="1:11" ht="18.600000000000001" customHeight="1" thickBot="1" x14ac:dyDescent="0.3">
      <c r="A7" s="3" t="s">
        <v>4</v>
      </c>
      <c r="B7" s="86" t="s">
        <v>44</v>
      </c>
      <c r="C7" s="86"/>
      <c r="G7" s="141"/>
      <c r="H7" s="141"/>
      <c r="I7" s="141"/>
      <c r="J7" s="141"/>
      <c r="K7" s="141"/>
    </row>
    <row r="8" spans="1:11" ht="15" customHeight="1" x14ac:dyDescent="0.25">
      <c r="A8" s="57" t="str">
        <f>IF(B7="nezvoleno","","Vyberte prováděná opatření (aktivity):")</f>
        <v>Vyberte prováděná opatření (aktivity):</v>
      </c>
      <c r="B8" s="57"/>
      <c r="C8" s="57"/>
      <c r="D8" s="128" t="s">
        <v>5</v>
      </c>
      <c r="E8" s="129"/>
      <c r="F8" s="129"/>
      <c r="G8" s="129"/>
      <c r="H8" s="130"/>
      <c r="I8" s="134" t="s">
        <v>6</v>
      </c>
      <c r="J8" s="135"/>
      <c r="K8" s="103" t="s">
        <v>59</v>
      </c>
    </row>
    <row r="9" spans="1:11" ht="15" customHeight="1" thickBot="1" x14ac:dyDescent="0.3">
      <c r="A9" s="56"/>
      <c r="B9" s="57"/>
      <c r="C9" s="56"/>
      <c r="D9" s="131"/>
      <c r="E9" s="132"/>
      <c r="F9" s="132"/>
      <c r="G9" s="132"/>
      <c r="H9" s="133"/>
      <c r="I9" s="136"/>
      <c r="J9" s="137"/>
      <c r="K9" s="104"/>
    </row>
    <row r="10" spans="1:11" ht="15" customHeight="1" x14ac:dyDescent="0.35">
      <c r="A10" s="76" t="b">
        <v>1</v>
      </c>
      <c r="B10" s="57"/>
      <c r="C10" s="56"/>
      <c r="D10" s="126" t="s">
        <v>7</v>
      </c>
      <c r="E10" s="127"/>
      <c r="F10" s="127"/>
      <c r="G10" s="127"/>
      <c r="H10" s="63">
        <v>1</v>
      </c>
      <c r="I10" s="51">
        <v>0</v>
      </c>
      <c r="J10" s="52" t="s">
        <v>52</v>
      </c>
      <c r="K10" s="65">
        <f>IF($B$7="5.2 - Budování veřejných budov v pasivním energetickém standardu",0,IF($A$51=2,IF($B$7="5.1a - Komplexní řešení energetické náročnosti budovy",IF($A$9=FALSE,IF($A$10=TRUE,IF($A$15=TRUE,IF($H$10=1,IF(C11=TRUE,(I10*9400)*1.05,I10*9400),IF($H$10=2,I10*8300,IF($H$10=3,I10*30000,IF($H$10=4,I10*45900,IF($H$10=5,I10*45900,IF($H$10=6,I10*20600,IF($H$10=9,0,I10*34300))))))),0),0),IF($A$10=TRUE,IF($H$10=1,IF(C11=TRUE,(I10*9400)*1.05,I10*9400),IF($H$10=2,I10*8300,IF($H$10=3,I10*30000,IF($H$10=4,I10*45900,IF($H$10=5,I10*45900,IF($H$10=6,I10*20600,IF($H$10=9,0,I10*34300))))))),0)),IF($A$10=TRUE,IF($H$10=1,IF(C11=TRUE,(I10*9400)*1.05,I10*9400),IF($H$10=2,I10*8300,IF($H$10=3,I10*30000,IF($H$10=4,I10*45900,IF($H$10=5,I10*45900,IF($H$10=6,I10*20600,IF($H$10=9,0,I10*34300))))))),0))*1.05,IF($A$51=3,IF($B$7="5.1a - Komplexní řešení energetické náročnosti budovy",IF($A$9=FALSE,IF($A$10=TRUE,IF($A$15=TRUE,IF($H$10=1,IF(C11=TRUE,(I10*9400)*1.05,I10*9400),IF($H$10=2,I10*8300,IF($H$10=3,I10*30000,IF($H$10=4,I10*45900,IF($H$10=5,I10*45900,IF($H$10=6,I10*20600,IF($H$10=9,0,I10*34300))))))),0),0),IF($A$10=TRUE,IF($H$10=1,IF(C11=TRUE,(I10*9400)*1.05,I10*9400),IF($H$10=2,I10*8300,IF($H$10=3,I10*30000,IF($H$10=4,I10*45900,IF($H$10=5,I10*45900,IF($H$10=6,I10*20600,IF($H$10=9,0,I10*34300))))))),0)),IF($A$10=TRUE,IF($H$10=1,IF(C11=TRUE,(I10*9400)*1.05,I10*9400),IF($H$10=2,I10*8300,IF($H$10=3,I10*30000,IF($H$10=4,I10*45900,IF($H$10=5,I10*45900,IF($H$10=6,I10*20600,IF($H$10=9,0,I10*34300))))))),0))*1.1,IF($B$7="5.1a - Komplexní řešení energetické náročnosti budovy",IF($A$9=FALSE,IF($A$10=TRUE,IF($A$15=TRUE,IF($H$10=1,IF(C11=TRUE,(I10*9400)*1.05,I10*9400),IF($H$10=2,I10*8300,IF($H$10=3,I10*30000,IF($H$10=4,I10*45900,IF($H$10=5,I10*45900,IF($H$10=6,I10*20600,IF($H$10=9,0,I10*34300))))))),0),0),IF($A$10=TRUE,IF($H$10=1,IF(C11=TRUE,(I10*9400)*1.05,I10*9400),IF($H$10=2,I10*8300,IF($H$10=3,I10*30000,IF($H$10=4,I10*45900,IF($H$10=5,I10*45900,IF($H$10=6,I10*20600,IF($H$10=9,0,I10*34300))))))),0)),IF($A$10=TRUE,IF($H$10=1,IF(C11=TRUE,(I10*9400)*1.05,I10*9400),IF($H$10=2,I10*8300,IF($H$10=3,I10*30000,IF($H$10=4,I10*45900,IF($H$10=5,I10*45900,IF($H$10=6,I10*20600,IF($H$10=9,0,I10*34300))))))),0)))))</f>
        <v>0</v>
      </c>
    </row>
    <row r="11" spans="1:11" ht="15" customHeight="1" x14ac:dyDescent="0.25">
      <c r="A11" s="56"/>
      <c r="B11" s="57"/>
      <c r="C11" s="56"/>
      <c r="D11" s="138" t="s">
        <v>65</v>
      </c>
      <c r="E11" s="139"/>
      <c r="F11" s="139"/>
      <c r="G11" s="139"/>
      <c r="H11" s="140"/>
      <c r="I11" s="60"/>
      <c r="J11" s="52"/>
      <c r="K11" s="65">
        <f>IF($A$51=2,IF($B$7="5.1a - Komplexní řešení energetické náročnosti budovy", IF($A$9=FALSE,0,IF($C$10=FALSE,0,IF($H$10=1,IF(C11=TRUE,(I10*5000)*1.05,I10*5000),IF($H$10=2,$I$10*5000,$I$10*10000)))),IF($B$7="5.1b - Jednotlivá opatření snižující energetickou náročnost budovy",IF($C$10=FALSE,0,IF($H$10=1,IF(C11=TRUE,(I10*5000)*1.05,I10*5000),IF($H$10=2,$I$10*5000,$I$10*10000))),0))*1.05,IF($A$51=3,IF($B$7="5.1a - Komplexní řešení energetické náročnosti budovy", IF($A$9=FALSE,0,IF($C$10=FALSE,0,IF($H$10=1,IF(C11=TRUE,(I10*5000)*1.05,I10*5000),IF($H$10=2,$I$10*5000,$I$10*10000)))),IF($B$7="5.1b - Jednotlivá opatření snižující energetickou náročnost budovy",IF($C$10=FALSE,0,IF($H$10=1,IF(C11=TRUE,(I10*5000)*1.05,I10*5000),IF($H$10=2,$I$10*5000,$I$10*10000))),0))*1.1,IF($B$7="5.1a - Komplexní řešení energetické náročnosti budovy", IF($A$9=FALSE,0,IF($C$10=FALSE,0,IF($H$10=1,IF(C11=TRUE,(I10*5000)*1.05,I10*5000),IF($H$10=2,$I$10*5000,$I$10*10000)))),IF($B$7="5.1b - Jednotlivá opatření snižující energetickou náročnost budovy",IF($C$10=FALSE,0,IF($H$10=1,IF(C11=TRUE,(I10*5000)*1.05,I10*5000),IF($H$10=2,$I$10*5000,$I$10*10000))),0))))</f>
        <v>0</v>
      </c>
    </row>
    <row r="12" spans="1:11" ht="15" customHeight="1" x14ac:dyDescent="0.25">
      <c r="A12" s="56"/>
      <c r="B12" s="57"/>
      <c r="C12" s="57"/>
      <c r="D12" s="77" t="s">
        <v>35</v>
      </c>
      <c r="E12" s="78"/>
      <c r="F12" s="78"/>
      <c r="G12" s="78"/>
      <c r="H12" s="59">
        <v>1</v>
      </c>
      <c r="I12" s="51">
        <v>0</v>
      </c>
      <c r="J12" s="53" t="s">
        <v>53</v>
      </c>
      <c r="K12" s="65">
        <f>IF($A$9=TRUE, IF($H$12=2,"Irelevantní",IF($A$51=2,$I$12*2900*1.05,IF($A$51=3,$I$12*2900*1.1,$I$12*2900))),0)</f>
        <v>0</v>
      </c>
    </row>
    <row r="13" spans="1:11" ht="15" customHeight="1" x14ac:dyDescent="0.25">
      <c r="A13" s="56"/>
      <c r="B13" s="57"/>
      <c r="C13" s="57"/>
      <c r="D13" s="77" t="s">
        <v>36</v>
      </c>
      <c r="E13" s="78"/>
      <c r="F13" s="78"/>
      <c r="G13" s="78"/>
      <c r="H13" s="73">
        <v>1</v>
      </c>
      <c r="I13" s="51">
        <v>0</v>
      </c>
      <c r="J13" s="53" t="s">
        <v>53</v>
      </c>
      <c r="K13" s="65">
        <f>IF($A$9=TRUE, IF($H$13=2,"Irelevantní",IF($A$51=2,$I$13*2200*1.05,IF($A$51=3,$I$13*2200*1.1,$I$13*2200))),0)</f>
        <v>0</v>
      </c>
    </row>
    <row r="14" spans="1:11" ht="15" customHeight="1" x14ac:dyDescent="0.25">
      <c r="A14" s="56"/>
      <c r="B14" s="57"/>
      <c r="C14" s="57"/>
      <c r="D14" s="77" t="s">
        <v>84</v>
      </c>
      <c r="E14" s="78"/>
      <c r="F14" s="78"/>
      <c r="G14" s="78"/>
      <c r="H14" s="73">
        <v>1</v>
      </c>
      <c r="I14" s="51">
        <v>0</v>
      </c>
      <c r="J14" s="53" t="s">
        <v>53</v>
      </c>
      <c r="K14" s="65">
        <f>IF($A$9=TRUE, IF($H$14=2,"Irelevantní",IF($A$51=2,$I$14*1000*1.05,IF($A$51=3,$I$14*1000*1.1,$I$14*1000))),0)</f>
        <v>0</v>
      </c>
    </row>
    <row r="15" spans="1:11" ht="15" customHeight="1" x14ac:dyDescent="0.25">
      <c r="A15" s="56"/>
      <c r="B15" s="57"/>
      <c r="C15" s="57"/>
      <c r="D15" s="77" t="s">
        <v>37</v>
      </c>
      <c r="E15" s="78"/>
      <c r="F15" s="78"/>
      <c r="G15" s="78"/>
      <c r="H15" s="73">
        <v>1</v>
      </c>
      <c r="I15" s="51">
        <v>0</v>
      </c>
      <c r="J15" s="53" t="s">
        <v>53</v>
      </c>
      <c r="K15" s="65">
        <f>IF($A$9=TRUE, IF($H$15=2,"Irelevantní",IF($A$51=2,$I$15*2500*1.05,IF($A$51=3,$I$15*2500*1.1,$I$15*2500))),0)</f>
        <v>0</v>
      </c>
    </row>
    <row r="16" spans="1:11" ht="15" customHeight="1" x14ac:dyDescent="0.25">
      <c r="A16" s="58"/>
      <c r="B16" s="1"/>
      <c r="C16" s="1"/>
      <c r="D16" s="77" t="s">
        <v>38</v>
      </c>
      <c r="E16" s="78"/>
      <c r="F16" s="78"/>
      <c r="G16" s="78"/>
      <c r="H16" s="73">
        <v>1</v>
      </c>
      <c r="I16" s="51">
        <v>0</v>
      </c>
      <c r="J16" s="53" t="s">
        <v>53</v>
      </c>
      <c r="K16" s="65">
        <f>IF($A$9=TRUE, IF($H$16=2,"Irelevantní",IF($A$51=2,$I$16*7000*1.05,IF($A$51=3,$I$16*7000*1.1,$I$16*7000))),0)</f>
        <v>0</v>
      </c>
    </row>
    <row r="17" spans="1:11" ht="15" customHeight="1" x14ac:dyDescent="0.25">
      <c r="A17" s="58"/>
      <c r="B17" s="1"/>
      <c r="C17" s="1"/>
      <c r="D17" s="77" t="s">
        <v>70</v>
      </c>
      <c r="E17" s="78"/>
      <c r="F17" s="78"/>
      <c r="G17" s="78"/>
      <c r="H17" s="87"/>
      <c r="I17" s="51">
        <v>0</v>
      </c>
      <c r="J17" s="53" t="s">
        <v>68</v>
      </c>
      <c r="K17" s="65">
        <f>IF($A$51=2,IF($A$14=TRUE, I17*5000,0)*1.05,IF($A$51=3,IF($A$14=TRUE, I17*5000,0)*1.1,IF($A$14=TRUE, I17*5000,0)))</f>
        <v>0</v>
      </c>
    </row>
    <row r="18" spans="1:11" ht="15" customHeight="1" x14ac:dyDescent="0.35">
      <c r="A18" s="5"/>
      <c r="D18" s="77" t="s">
        <v>43</v>
      </c>
      <c r="E18" s="78"/>
      <c r="F18" s="78"/>
      <c r="G18" s="78"/>
      <c r="H18" s="59">
        <v>1</v>
      </c>
      <c r="I18" s="51">
        <v>0</v>
      </c>
      <c r="J18" s="53" t="s">
        <v>52</v>
      </c>
      <c r="K18" s="65">
        <f>IF($A$51=2,IF($B$7="5.1a - Komplexní řešení energetické náročnosti budovy", IF($A$9=FALSE,0,IF($A$12=TRUE, IF($H$18=1,$I$18*26500,$I$18*48400),0)),IF($B$7="5.1b - Jednotlivá opatření snižující energetickou náročnost budovy",IF($A$12=TRUE, IF($H$18=1,$I$18*26500,$I$18*48400),0),0))*1.05,IF($A$51=3,IF($B$7="5.1a - Komplexní řešení energetické náročnosti budovy", IF($A$9=FALSE,0,IF($A$12=TRUE, IF($H$18=1,$I$18*26500,$I$18*48400),0)),IF($B$7="5.1b - Jednotlivá opatření snižující energetickou náročnost budovy",IF($A$12=TRUE, IF($H$18=1,$I$18*26500,$I$18*48400),0),0))*1.1,IF($B$7="5.1a - Komplexní řešení energetické náročnosti budovy", IF($A$9=FALSE,0,IF($A$12=TRUE, IF($H$18=1,$I$18*26500,$I$18*48400),0)),IF($B$7="5.1b - Jednotlivá opatření snižující energetickou náročnost budovy",IF($A$12=TRUE, IF($H$18=1,$I$18*26500,$I$18*48400),0),0))))</f>
        <v>0</v>
      </c>
    </row>
    <row r="19" spans="1:11" ht="15" customHeight="1" x14ac:dyDescent="0.35">
      <c r="A19" s="150" t="str">
        <f>IF($B$7="5.2 - Budování veřejných budov v pasivním energetickém standardu","* - v případě SC ´5.2´  je nutno zatrhnout  opatření ´Výstavba veřejných budov v pasivním energetickém standardu´, jinak se nevypočtou způsobilé výdaje", IF($B$7="5.1a - Komplexní řešení energetické náročnosti budovy","* - v případě SC ´5.1a´  je nutno zatrhnout  opatření ´Zateplení´, jinak se nevypočtou způsobilé výdaje. Výjimkou je kombinace instalace fotovoltaického systému a výměny zdroje, tam není třeba ´Zateplení´ zatrhávat",""))</f>
        <v>* - v případě SC ´5.2´  je nutno zatrhnout  opatření ´Výstavba veřejných budov v pasivním energetickém standardu´, jinak se nevypočtou způsobilé výdaje</v>
      </c>
      <c r="B19" s="150"/>
      <c r="D19" s="77" t="s">
        <v>82</v>
      </c>
      <c r="E19" s="78"/>
      <c r="F19" s="78"/>
      <c r="G19" s="78"/>
      <c r="H19" s="87"/>
      <c r="I19" s="51">
        <v>0</v>
      </c>
      <c r="J19" s="53" t="s">
        <v>54</v>
      </c>
      <c r="K19" s="65">
        <f>IF($A$51=2,IF($B$7="5.1a - Komplexní řešení energetické náročnosti budovy", IF($A$9=FALSE,0,IF($A$13=TRUE, I19*170000,0)),IF($B$7="5.1b - Jednotlivá opatření snižující energetickou náročnost budovy",IF($A$13=TRUE, I19*170000,0),0))*1.05,IF($A$51=3,IF($B$7="5.1a - Komplexní řešení energetické náročnosti budovy", IF($A$9=FALSE,0,IF($A$13=TRUE, I19*170000,0)),IF($B$7="5.1b - Jednotlivá opatření snižující energetickou náročnost budovy",IF($A$13=TRUE, I19*170000,0),0))*1.1,IF($B$7="5.1a - Komplexní řešení energetické náročnosti budovy", IF($A$9=FALSE,0,IF($A$13=TRUE, I19*170000,0)),IF($B$7="5.1b - Jednotlivá opatření snižující energetickou náročnost budovy",IF($A$13=TRUE, I19*170000,0),0))))</f>
        <v>0</v>
      </c>
    </row>
    <row r="20" spans="1:11" ht="15" customHeight="1" x14ac:dyDescent="0.25">
      <c r="A20" s="150"/>
      <c r="B20" s="150"/>
      <c r="D20" s="77" t="s">
        <v>39</v>
      </c>
      <c r="E20" s="78"/>
      <c r="F20" s="78"/>
      <c r="G20" s="78"/>
      <c r="H20" s="87"/>
      <c r="I20" s="51">
        <v>0</v>
      </c>
      <c r="J20" s="53" t="s">
        <v>55</v>
      </c>
      <c r="K20" s="65">
        <f>IF($A$51=2,IF($B$7="5.1b - Jednotlivá opatření snižující energetickou náročnost budovy",IF($A$12=TRUE,$I$20*400,0), IF($B$7="5.2 - Budování veřejných budov v pasivním energetickém standardu", IF($A$10=FALSE,0,IF($A$12=TRUE,$I$20*400,0)), IF($B$7="5.1a - Komplexní řešení energetické náročnosti budovy", IF($A$9=FALSE,0,IF($A$12=TRUE,$I$20*400,0)),0)))*1.05,IF($A$51=3,IF($B$7="5.1b - Jednotlivá opatření snižující energetickou náročnost budovy",IF($A$12=TRUE,$I$20*400,0), IF($B$7="5.2 - Budování veřejných budov v pasivním energetickém standardu", IF($A$10=FALSE,0,IF($A$12=TRUE,$I$20*400,0)), IF($B$7="5.1a - Komplexní řešení energetické náročnosti budovy", IF($A$9=FALSE,0,IF($A$12=TRUE,$I$20*400,0)),0)))*1.1,IF($B$7="5.1b - Jednotlivá opatření snižující energetickou náročnost budovy",IF($A$12=TRUE,$I$20*400,0), IF($B$7="5.2 - Budování veřejných budov v pasivním energetickém standardu", IF($A$10=FALSE,0,IF($A$12=TRUE,$I$20*400,0)), IF($B$7="5.1a - Komplexní řešení energetické náročnosti budovy", IF($A$9=FALSE,0,IF($A$12=TRUE,$I$20*400,0)),0)))))</f>
        <v>0</v>
      </c>
    </row>
    <row r="21" spans="1:11" ht="15" customHeight="1" thickBot="1" x14ac:dyDescent="0.4">
      <c r="A21" s="150"/>
      <c r="B21" s="150"/>
      <c r="D21" s="88" t="s">
        <v>56</v>
      </c>
      <c r="E21" s="89"/>
      <c r="F21" s="89"/>
      <c r="G21" s="89"/>
      <c r="H21" s="90"/>
      <c r="I21" s="64">
        <v>0</v>
      </c>
      <c r="J21" s="54" t="s">
        <v>57</v>
      </c>
      <c r="K21" s="62">
        <f>IF($A$51=2,IF($B$7="5.1a - Komplexní řešení energetické náročnosti budovy", IF($A$9=FALSE,IF($A$10=TRUE,IF($A$15=TRUE,I21*45000,0),0),IF($A$15=TRUE,I21*45000,0)),IF($B$7="5.1b - Jednotlivá opatření snižující energetickou náročnost budovy",IF($A$15=TRUE,I21*45000,0),0))*1.05,IF($A$51=3,IF($B$7="5.1a - Komplexní řešení energetické náročnosti budovy", IF($A$9=FALSE,IF($A$10=TRUE,IF($A$15=TRUE,I21*45000,0),0),IF($A$15=TRUE,I21*45000,0)),IF($B$7="5.1b - Jednotlivá opatření snižující energetickou náročnost budovy",IF($A$15=TRUE,I21*45000,0),0))*1.1,IF($B$7="5.1a - Komplexní řešení energetické náročnosti budovy", IF($A$9=FALSE,IF($A$10=TRUE,IF($A$15=TRUE,I21*45000,0),0),IF($A$15=TRUE,I21*45000,0)),IF($B$7="5.1b - Jednotlivá opatření snižující energetickou náročnost budovy",IF($A$15=TRUE,I21*45000,0),0))))</f>
        <v>0</v>
      </c>
    </row>
    <row r="22" spans="1:11" ht="18.600000000000001" customHeight="1" thickBot="1" x14ac:dyDescent="0.3">
      <c r="I22" s="107" t="s">
        <v>8</v>
      </c>
      <c r="J22" s="107"/>
      <c r="K22" s="61">
        <f>IF($A$9=TRUE, IF(SUM(H12:H16)&gt;5,"Irelevantní",SUM(K10:K21)),SUM(K10:K21))</f>
        <v>0</v>
      </c>
    </row>
    <row r="23" spans="1:11" ht="21.75" thickBot="1" x14ac:dyDescent="0.4">
      <c r="A23" s="8" t="s">
        <v>9</v>
      </c>
      <c r="B23" s="1"/>
      <c r="C23" s="1"/>
      <c r="D23" s="1"/>
      <c r="E23" s="1"/>
      <c r="F23" s="1"/>
      <c r="G23" s="1"/>
      <c r="H23" s="1"/>
      <c r="I23" s="1"/>
      <c r="J23" s="2"/>
      <c r="K23" s="1"/>
    </row>
    <row r="24" spans="1:11" ht="23.45" customHeight="1" x14ac:dyDescent="0.25">
      <c r="A24" s="91" t="s">
        <v>64</v>
      </c>
      <c r="B24" s="92"/>
      <c r="C24" s="95" t="str">
        <f>IF(I36&gt;10000000,"6",IF(I36&gt;3000000,"7",IF(I36&gt;1000000,"8","10")))</f>
        <v>6</v>
      </c>
      <c r="D24" s="79" t="s">
        <v>10</v>
      </c>
      <c r="E24" s="97" t="s">
        <v>11</v>
      </c>
      <c r="F24" s="98"/>
      <c r="G24" s="79" t="s">
        <v>60</v>
      </c>
      <c r="H24" s="103" t="s">
        <v>12</v>
      </c>
      <c r="I24" s="97" t="s">
        <v>81</v>
      </c>
      <c r="J24" s="113"/>
      <c r="K24" s="98"/>
    </row>
    <row r="25" spans="1:11" ht="23.45" customHeight="1" thickBot="1" x14ac:dyDescent="0.3">
      <c r="A25" s="93"/>
      <c r="B25" s="94"/>
      <c r="C25" s="96"/>
      <c r="D25" s="81"/>
      <c r="E25" s="99"/>
      <c r="F25" s="100"/>
      <c r="G25" s="81"/>
      <c r="H25" s="104"/>
      <c r="I25" s="99"/>
      <c r="J25" s="114"/>
      <c r="K25" s="100"/>
    </row>
    <row r="26" spans="1:11" x14ac:dyDescent="0.25">
      <c r="A26" s="79" t="s">
        <v>13</v>
      </c>
      <c r="B26" s="82" t="s">
        <v>45</v>
      </c>
      <c r="C26" s="83"/>
      <c r="D26" s="35">
        <v>0</v>
      </c>
      <c r="E26" s="84">
        <v>21</v>
      </c>
      <c r="F26" s="85"/>
      <c r="G26" s="9">
        <f>IF($B$7="nezvoleno",0,IF($B$7="5.1a - Komplexní řešení energetické náročnosti budovy",D26*(1+(E26/100)),0))</f>
        <v>0</v>
      </c>
      <c r="H26" s="35">
        <v>0</v>
      </c>
      <c r="I26" s="111">
        <f>IF($B$7="nezvoleno",0,IF($B$7="5.1a - Komplexní řešení energetické náročnosti budovy",IF(SUM(H12:H16)&gt;5,IF(List2!$A$22=TRUE,D26-H26,(D26-H26)*(1+(E26/100))),IF(List2!$A$22=TRUE,IF((D26-H26)&lt;(K12+K13+K14+K15+K16),(D26-H26),(K12+K13+K14+K15+K16)),IF((D26-H26)&lt;(K12+K13+K14+K15+K16),(D26-H26)*(1+(E26/100)),(K12+K13+K14+K15+K16)*(1+(E26/100))))),0))</f>
        <v>0</v>
      </c>
      <c r="J26" s="111"/>
      <c r="K26" s="112"/>
    </row>
    <row r="27" spans="1:11" x14ac:dyDescent="0.25">
      <c r="A27" s="80"/>
      <c r="B27" s="82" t="s">
        <v>46</v>
      </c>
      <c r="C27" s="83"/>
      <c r="D27" s="35">
        <v>0</v>
      </c>
      <c r="E27" s="101">
        <v>21</v>
      </c>
      <c r="F27" s="102"/>
      <c r="G27" s="9">
        <f>IF($B$7="nezvoleno",0,IF($B$7="5.2 - Budování veřejných budov v pasivním energetickém standardu",0,D27*(1+(E27/100))))</f>
        <v>0</v>
      </c>
      <c r="H27" s="35">
        <v>0</v>
      </c>
      <c r="I27" s="111">
        <f>IF($B$7="nezvoleno",0,IF($B$7="5.2 - Budování veřejných budov v pasivním energetickém standardu",0,IF($A$10=FALSE,0,IF($H$10=9,IF(List2!$A$22=TRUE,D27-H27,(D27-H27)*(1+(E27/100))),IF(List2!$A$22=TRUE,IF((D27-H27)&lt;K10,(D27-H27),K10),IF((D27-H27)&lt;K10,(D27-H27)*(1+(E27/100)),(K10)*(1+(E27/100))))))))</f>
        <v>0</v>
      </c>
      <c r="J27" s="111"/>
      <c r="K27" s="112"/>
    </row>
    <row r="28" spans="1:11" x14ac:dyDescent="0.25">
      <c r="A28" s="80"/>
      <c r="B28" s="82" t="s">
        <v>47</v>
      </c>
      <c r="C28" s="83"/>
      <c r="D28" s="35">
        <v>0</v>
      </c>
      <c r="E28" s="101">
        <v>21</v>
      </c>
      <c r="F28" s="102"/>
      <c r="G28" s="9">
        <f>IF($B$7="nezvoleno",0,IF($B$7="5.2 - Budování veřejných budov v pasivním energetickém standardu",0,D28*(1+(E28/100))))</f>
        <v>0</v>
      </c>
      <c r="H28" s="35">
        <v>0</v>
      </c>
      <c r="I28" s="111">
        <f>IF($B$7="nezvoleno",0,IF($B$7="5.2 - Budování veřejných budov v pasivním energetickém standardu",0,IF(List2!$A$22=TRUE,IF((D28-H28)&lt;K11,(D28-H28),K11),IF((D28-H28)&lt;K11,(D28-H28)*(1+(E28/100)),(K11)*(1+(E28/100))))))</f>
        <v>0</v>
      </c>
      <c r="J28" s="111"/>
      <c r="K28" s="112"/>
    </row>
    <row r="29" spans="1:11" x14ac:dyDescent="0.25">
      <c r="A29" s="80"/>
      <c r="B29" s="82" t="s">
        <v>77</v>
      </c>
      <c r="C29" s="83"/>
      <c r="D29" s="35">
        <v>0</v>
      </c>
      <c r="E29" s="101">
        <v>21</v>
      </c>
      <c r="F29" s="102"/>
      <c r="G29" s="9">
        <f>IF($B$7="nezvoleno",0,D29*(1+(E29/100)))</f>
        <v>0</v>
      </c>
      <c r="H29" s="35">
        <v>0</v>
      </c>
      <c r="I29" s="111">
        <f>IF($B$7="nezvoleno",0,IF(List2!$A$22=TRUE,IF((D29-H29)&lt;K20,(D29-H29),K20),IF((D29-H29)&lt;K20,(D29-H29)*(1+(E29/100)),(K20)*(1+(E29/100)))))</f>
        <v>0</v>
      </c>
      <c r="J29" s="111"/>
      <c r="K29" s="112"/>
    </row>
    <row r="30" spans="1:11" x14ac:dyDescent="0.25">
      <c r="A30" s="80"/>
      <c r="B30" s="82" t="s">
        <v>48</v>
      </c>
      <c r="C30" s="83"/>
      <c r="D30" s="35">
        <v>0</v>
      </c>
      <c r="E30" s="101">
        <v>21</v>
      </c>
      <c r="F30" s="102"/>
      <c r="G30" s="9">
        <f>IF($B$7="nezvoleno",0,IF($B$7="5.2 - Budování veřejných budov v pasivním energetickém standardu",0,D30*(1+(E30/100))))</f>
        <v>0</v>
      </c>
      <c r="H30" s="35">
        <v>0</v>
      </c>
      <c r="I30" s="111">
        <f>IF($B$7="nezvoleno",0,IF($B$7="5.2 - Budování veřejných budov v pasivním energetickém standardu",0,IF(List2!$A$22=TRUE,IF((D30-H30)&lt;K18,(D30-H30),K18),IF((D30-H30)&lt;K18,(D30-H30)*(1+(E30/100)),(K18)*(1+(E30/100))))))</f>
        <v>0</v>
      </c>
      <c r="J30" s="111"/>
      <c r="K30" s="112"/>
    </row>
    <row r="31" spans="1:11" x14ac:dyDescent="0.25">
      <c r="A31" s="80"/>
      <c r="B31" s="82" t="s">
        <v>49</v>
      </c>
      <c r="C31" s="83"/>
      <c r="D31" s="35">
        <v>0</v>
      </c>
      <c r="E31" s="101">
        <v>21</v>
      </c>
      <c r="F31" s="102"/>
      <c r="G31" s="9">
        <f>IF($B$7="nezvoleno",0,IF($B$7="5.2 - Budování veřejných budov v pasivním energetickém standardu",0,D31*(1+(E31/100))))</f>
        <v>0</v>
      </c>
      <c r="H31" s="35">
        <v>0</v>
      </c>
      <c r="I31" s="111">
        <f>IF($B$7="nezvoleno",0,IF($B$7="5.2 - Budování veřejných budov v pasivním energetickém standardu",0,IF(List2!$A$22=TRUE,IF((D31-H31)&lt;K19,(D31-H31),K19),IF((D31-H31)&lt;K19,(D31-H31)*(1+(E31/100)),(K19)*(1+(E31/100))))))</f>
        <v>0</v>
      </c>
      <c r="J31" s="111"/>
      <c r="K31" s="112"/>
    </row>
    <row r="32" spans="1:11" x14ac:dyDescent="0.25">
      <c r="A32" s="80"/>
      <c r="B32" s="82" t="s">
        <v>50</v>
      </c>
      <c r="C32" s="83"/>
      <c r="D32" s="35">
        <v>0</v>
      </c>
      <c r="E32" s="101">
        <v>21</v>
      </c>
      <c r="F32" s="102"/>
      <c r="G32" s="9">
        <f>IF($B$7="nezvoleno",0,IF($B$7="5.1a - Komplexní řešení energetické náročnosti budovy",IF($A$15=TRUE,D32*(1+(E32/100)),0),IF($B$7="5.1b - Jednotlivá opatření snižující energetickou náročnost budovy",IF($A$15=TRUE,D32*(1+(E32/100)),0),0)))</f>
        <v>0</v>
      </c>
      <c r="H32" s="35">
        <v>0</v>
      </c>
      <c r="I32" s="111">
        <f>IF($B$7="nezvoleno",0,IF($B$7="5.1a - Komplexní řešení energetické náročnosti budovy",IF($A$15=TRUE,IF(List2!$A$22=TRUE,IF((D32-H32)&lt;(K21),(D32-H32),(K21)),IF((D32-H32)*(1+(E32/100))&lt;((K21)*(1+(E32/100))),(D32-H32)*(1+(E32/100)),((K21)*(1+(E32/100))))),0),IF($B$7="5.1b - Jednotlivá opatření snižující energetickou náročnost budovy",IF($A$15=TRUE,IF(List2!$A$22=TRUE,IF((D32-H32)&lt;(K21),(D32-H32),(K21)),IF((D32-H32)*(1+(E32/100))&lt;((K21)*(1+(E32/100))),(D32-H32)*(1+(E32/100)),((K21)*(1+(E32/100))))),0),0)))</f>
        <v>0</v>
      </c>
      <c r="J32" s="111"/>
      <c r="K32" s="112"/>
    </row>
    <row r="33" spans="1:11" x14ac:dyDescent="0.25">
      <c r="A33" s="80"/>
      <c r="B33" s="117" t="s">
        <v>51</v>
      </c>
      <c r="C33" s="118"/>
      <c r="D33" s="49">
        <v>122022040</v>
      </c>
      <c r="E33" s="147">
        <v>21</v>
      </c>
      <c r="F33" s="148"/>
      <c r="G33" s="50">
        <f>IF($B$7="nezvoleno",0,IF($B$7="5.2 - Budování veřejných budov v pasivním energetickém standardu",IF($A$10=TRUE,D33*(1+(E33/100)),0),0))</f>
        <v>147646668.40000001</v>
      </c>
      <c r="H33" s="49">
        <v>18380216.5</v>
      </c>
      <c r="I33" s="115">
        <f>IF($B$7="nezvoleno",0,IF($B$7="5.2 - Budování veřejných budov v pasivním energetickém standardu",IF($A$10=TRUE,IF(List2!$A$22=TRUE,(D33-H33),(D33-H33)*(1+(E33/100))),0),0))</f>
        <v>125406606.435</v>
      </c>
      <c r="J33" s="115"/>
      <c r="K33" s="116"/>
    </row>
    <row r="34" spans="1:11" x14ac:dyDescent="0.25">
      <c r="A34" s="80"/>
      <c r="B34" s="117" t="s">
        <v>71</v>
      </c>
      <c r="C34" s="118"/>
      <c r="D34" s="49">
        <v>0</v>
      </c>
      <c r="E34" s="147">
        <v>21</v>
      </c>
      <c r="F34" s="148"/>
      <c r="G34" s="50" t="b">
        <f>IF($B$7="nezvoleno",0,IF($B$7="5.1a - Komplexní řešení energetické náročnosti budovy",IF($A$14=TRUE,D34*(1+(E34/100)),0),IF($B$7="5.1b - Jednotlivá opatření snižující energetickou náročnost budovy",IF($A$14=TRUE,D34*(1+(E34/100)),0))))</f>
        <v>0</v>
      </c>
      <c r="H34" s="49">
        <v>0</v>
      </c>
      <c r="I34" s="115">
        <f>IF($B$7="nezvoleno",0,IF($B$7="5.2 - Budování veřejných budov v pasivním energetickém standardu",0,IF(List2!$A$22=TRUE,IF((D34-H34)&lt;K17,(D34-H34),K17),IF((D34-H34)&lt;K17,(D34-H34)*(1+(E34/100)),(K17)*(1+(E34/100))))))</f>
        <v>0</v>
      </c>
      <c r="J34" s="115"/>
      <c r="K34" s="116"/>
    </row>
    <row r="35" spans="1:11" ht="15.75" thickBot="1" x14ac:dyDescent="0.3">
      <c r="A35" s="80"/>
      <c r="B35" s="149" t="s">
        <v>14</v>
      </c>
      <c r="C35" s="83"/>
      <c r="D35" s="36">
        <v>0</v>
      </c>
      <c r="E35" s="143">
        <v>21</v>
      </c>
      <c r="F35" s="144"/>
      <c r="G35" s="9">
        <f>IF($B$7="nezvoleno",0,D35*(1+(E35/100)))</f>
        <v>0</v>
      </c>
      <c r="H35" s="36">
        <v>0</v>
      </c>
      <c r="I35" s="111">
        <f>0</f>
        <v>0</v>
      </c>
      <c r="J35" s="111"/>
      <c r="K35" s="112"/>
    </row>
    <row r="36" spans="1:11" ht="15.75" thickBot="1" x14ac:dyDescent="0.3">
      <c r="A36" s="80"/>
      <c r="B36" s="105" t="s">
        <v>15</v>
      </c>
      <c r="C36" s="106"/>
      <c r="D36" s="10">
        <f>SUM(D26:D35)</f>
        <v>122022040</v>
      </c>
      <c r="E36" s="145"/>
      <c r="F36" s="146"/>
      <c r="G36" s="11">
        <f>SUM(G26:G35)</f>
        <v>147646668.40000001</v>
      </c>
      <c r="H36" s="12">
        <f>SUM(H26:H35)</f>
        <v>18380216.5</v>
      </c>
      <c r="I36" s="119">
        <f>SUM(I26:K35)</f>
        <v>125406606.435</v>
      </c>
      <c r="J36" s="120"/>
      <c r="K36" s="121"/>
    </row>
    <row r="37" spans="1:11" ht="15.75" thickBot="1" x14ac:dyDescent="0.3">
      <c r="A37" s="81"/>
      <c r="B37" s="105" t="s">
        <v>16</v>
      </c>
      <c r="C37" s="106"/>
      <c r="D37" s="32">
        <v>20000</v>
      </c>
      <c r="E37" s="122">
        <v>21</v>
      </c>
      <c r="F37" s="123"/>
      <c r="G37" s="11">
        <f t="shared" ref="G37:G45" si="0">IF($B$7="nezvoleno",0,D37*(1+(E37/100)))</f>
        <v>24200</v>
      </c>
      <c r="H37" s="32">
        <v>0</v>
      </c>
      <c r="I37" s="108">
        <f>IF((I36+I46)*List2!$H$7&lt;12500000,IF(List2!$A$22=TRUE,IF((D37-H37)&lt;2000,(D37-H37),2000),IF((D37-H37)*(1+(E37/100))&lt;2000*(1+(E37/100)),(D37-H37)*(1+(E37/100)),2000*(1+(E37/100)))),IF((I36+I46)&lt;136000000,IF(List2!$A$22=TRUE,IF((D37-H37)&lt;20000,(D37-H37),20000),IF((D37-H37)*(1+(E37/100))&lt;22000*(1+(E37/100)),(D37-H37)*(1+(E37/100)),20000*(1+(E37/100)))),IF(List2!$A$22=TRUE,IF((D37-H37)&lt;70000,(D37-H37),70000),IF((D37-H37)*(1+(E37/100))&lt;70000*(1+(E37/100)),(D37-H37)*(1+(E37/100)),72000*(1+(E37/100))))))</f>
        <v>24200</v>
      </c>
      <c r="J37" s="109"/>
      <c r="K37" s="110"/>
    </row>
    <row r="38" spans="1:11" x14ac:dyDescent="0.25">
      <c r="A38" s="103" t="s">
        <v>62</v>
      </c>
      <c r="B38" s="159" t="s">
        <v>17</v>
      </c>
      <c r="C38" s="158"/>
      <c r="D38" s="33">
        <v>3488382</v>
      </c>
      <c r="E38" s="84">
        <v>21</v>
      </c>
      <c r="F38" s="85"/>
      <c r="G38" s="13">
        <f t="shared" si="0"/>
        <v>4220942.22</v>
      </c>
      <c r="H38" s="34">
        <v>0</v>
      </c>
      <c r="I38" s="156">
        <f>IF($B$7="nezvoleno",0,IF(List2!$A$22=TRUE,IF((D38-H38)&gt;($I$36*($C$24/100)),($I$36*($C$24/100)),(D38-H38)),IF((D38-H38)*(1+(E38/100))&gt;($I$36*($C$24/100)),($I$36*($C$24/100)),(D38-H38)*(1+(E38/100)))))</f>
        <v>4220942.22</v>
      </c>
      <c r="J38" s="111"/>
      <c r="K38" s="112"/>
    </row>
    <row r="39" spans="1:11" x14ac:dyDescent="0.25">
      <c r="A39" s="151"/>
      <c r="B39" s="157" t="s">
        <v>18</v>
      </c>
      <c r="C39" s="158"/>
      <c r="D39" s="34">
        <v>40000</v>
      </c>
      <c r="E39" s="101">
        <v>0</v>
      </c>
      <c r="F39" s="102"/>
      <c r="G39" s="14">
        <f t="shared" si="0"/>
        <v>40000</v>
      </c>
      <c r="H39" s="34">
        <v>0</v>
      </c>
      <c r="I39" s="156">
        <f>IF($B$7="nezvoleno",0,IF(List2!$A$22=TRUE,IF((D39-H39)&gt;(($I$36*($C$24/100))-I38),(($I$36*($C$24/100))-I38),(D39-H39)),IF((D39-H39)*(1+(E39/100))&gt;(($I$36*($C$24/100))-I38),(($I$36*($C$24/100))-I38),(D39-H39)*(1+(E39/100)))))</f>
        <v>40000</v>
      </c>
      <c r="J39" s="111"/>
      <c r="K39" s="112"/>
    </row>
    <row r="40" spans="1:11" x14ac:dyDescent="0.25">
      <c r="A40" s="151"/>
      <c r="B40" s="157" t="s">
        <v>19</v>
      </c>
      <c r="C40" s="158"/>
      <c r="D40" s="34">
        <v>0</v>
      </c>
      <c r="E40" s="101">
        <v>21</v>
      </c>
      <c r="F40" s="102"/>
      <c r="G40" s="14">
        <f t="shared" si="0"/>
        <v>0</v>
      </c>
      <c r="H40" s="34">
        <v>0</v>
      </c>
      <c r="I40" s="156">
        <f>IF(List2!$A$22=TRUE,IF((D40-H40)&gt;(($I$36*($C$24/100))-I38-I39),(($I$36*($C$24/100))-I38-I39),(D40-H40)),IF((D40-H40)*(1+(E40/100))&gt;(($I$36*($C$24/100))-I38-I39),(($I$36*($C$24/100))-I38-I39),(D40-H40)*(1+(E40/100))))</f>
        <v>0</v>
      </c>
      <c r="J40" s="111"/>
      <c r="K40" s="112"/>
    </row>
    <row r="41" spans="1:11" x14ac:dyDescent="0.25">
      <c r="A41" s="151"/>
      <c r="B41" s="157" t="s">
        <v>20</v>
      </c>
      <c r="C41" s="158"/>
      <c r="D41" s="34">
        <v>258000</v>
      </c>
      <c r="E41" s="101">
        <v>21</v>
      </c>
      <c r="F41" s="102"/>
      <c r="G41" s="14">
        <f t="shared" si="0"/>
        <v>312180</v>
      </c>
      <c r="H41" s="34">
        <v>0</v>
      </c>
      <c r="I41" s="156">
        <f>IF($B$7="nezvoleno",0,IF(List2!$A$22=TRUE,IF((D41-H41)&gt;(($I$36*($C$24/100))-I38-I39-I40),(($I$36*($C$24/100))-I38-I39-I40),(D41-H41)),IF((D41-H41)*(1+(E41/100))&gt;(($I$36*($C$24/100))-I38-I39-I40),(($I$36*($C$24/100))-I38-I39-I40),(D41-H41)*(1+(E41/100)))))</f>
        <v>312180</v>
      </c>
      <c r="J41" s="111"/>
      <c r="K41" s="112"/>
    </row>
    <row r="42" spans="1:11" x14ac:dyDescent="0.25">
      <c r="A42" s="151"/>
      <c r="B42" s="157" t="s">
        <v>21</v>
      </c>
      <c r="C42" s="158"/>
      <c r="D42" s="34">
        <v>0</v>
      </c>
      <c r="E42" s="101">
        <v>21</v>
      </c>
      <c r="F42" s="102"/>
      <c r="G42" s="14">
        <f t="shared" si="0"/>
        <v>0</v>
      </c>
      <c r="H42" s="34">
        <v>0</v>
      </c>
      <c r="I42" s="156">
        <f>IF($B$7="nezvoleno",0,IF(List2!$A$22=TRUE,IF((D42-H42)&gt;30000,IF((($I$36*($C$24/100))-I38-I39-I40-I41)&gt;(30000),(30000),(($I$36*($C$24/100))-I38-I39-I40-I41)),IF((D42-H42)*(1+(E42/100))&gt;(($I$36*($C$24/100))-I38-I39-I40-I41),(($I$36*($C$24/100))-I38-I39-I40-I41),(D42-H42))),IF((D42-H42)&gt;30000,IF((($I$36*($C$24/100))-I38-I39-I40-I41)&gt;(30000*(1+(E42/100))),(30000*(1+(E42/100))),(($I$36*($C$24/100))-I38-I39-I40-I41)),IF((D42-H42)*(1+(E42/100))&gt;(($I$36*($C$24/100))-I38-I39-I40-I41),(($I$36*($C$24/100))-I38-I39-I40-I41),(D42-H42)*(1+(E42/100))))))</f>
        <v>0</v>
      </c>
      <c r="J42" s="111"/>
      <c r="K42" s="112"/>
    </row>
    <row r="43" spans="1:11" x14ac:dyDescent="0.25">
      <c r="A43" s="151"/>
      <c r="B43" s="157" t="s">
        <v>22</v>
      </c>
      <c r="C43" s="158"/>
      <c r="D43" s="34">
        <v>0</v>
      </c>
      <c r="E43" s="101">
        <v>21</v>
      </c>
      <c r="F43" s="102"/>
      <c r="G43" s="14">
        <f t="shared" si="0"/>
        <v>0</v>
      </c>
      <c r="H43" s="34">
        <v>0</v>
      </c>
      <c r="I43" s="156">
        <f>IF($B$7="nezvoleno",0,IF(List2!$A$22=TRUE,IF((D43-H43)&gt;(($I$36*($C$24/100))-I38-I39-I40-I41-I42),(($I$36*($C$24/100))-I38-I39-I40-I41-I42),(D43-H43)),IF((D43-H43)*(1+(E43/100))&gt;(($I$36*($C$24/100))-I38-I39-I40-I41-I42),(($I$36*($C$24/100))-I38-I39-I40-I41-I42),(D43-H43)*(1+(E43/100)))))</f>
        <v>0</v>
      </c>
      <c r="J43" s="111"/>
      <c r="K43" s="112"/>
    </row>
    <row r="44" spans="1:11" x14ac:dyDescent="0.25">
      <c r="A44" s="151"/>
      <c r="B44" s="157" t="s">
        <v>69</v>
      </c>
      <c r="C44" s="158"/>
      <c r="D44" s="34">
        <v>0</v>
      </c>
      <c r="E44" s="101">
        <v>21</v>
      </c>
      <c r="F44" s="102"/>
      <c r="G44" s="14">
        <f t="shared" si="0"/>
        <v>0</v>
      </c>
      <c r="H44" s="34">
        <v>0</v>
      </c>
      <c r="I44" s="156">
        <f>IF($B$7="nezvoleno",0,IF(List2!$A$22=TRUE,IF((D44-H44)&gt;(($I$36*($C$24/100))-I38-I39-I40-I41-I42-I43),(($I$36*($C$24/100))-I38-I39-I40-I41-I42-I43),(D44-H44)),IF((D44-H44)*(1+(E44/100))&gt;(($I$36*($C$24/100))-I38-I39-I40-I41-I42-I43),(($I$36*($C$24/100))-I38-I39-I40-I41-I42-I43),(D44-H44)*(1+(E44/100)))))</f>
        <v>0</v>
      </c>
      <c r="J44" s="111"/>
      <c r="K44" s="112"/>
    </row>
    <row r="45" spans="1:11" ht="15.75" thickBot="1" x14ac:dyDescent="0.3">
      <c r="A45" s="151"/>
      <c r="B45" s="154" t="s">
        <v>92</v>
      </c>
      <c r="C45" s="155"/>
      <c r="D45" s="34">
        <v>200000</v>
      </c>
      <c r="E45" s="143">
        <v>21</v>
      </c>
      <c r="F45" s="144"/>
      <c r="G45" s="14">
        <f t="shared" si="0"/>
        <v>242000</v>
      </c>
      <c r="H45" s="34">
        <v>0</v>
      </c>
      <c r="I45" s="156">
        <f>IF($B$7="nezvoleno",0,IF(List2!$A$22=TRUE,IF((D45-H45)&gt;(($I$36*($C$24/100))-I38-I39-I40-I41-I42-I43-I44),(($I$36*($C$24/100))-I38-I39-I40-I41-I42-I43-I44),(D45-H45)),IF((D45-H45)*(1+(E45/100))&gt;(($I$36*($C$24/100))-I38-I39-I40-I41-I42-I43-I44),(($I$36*($C$24/100))-I38-I39-I40-I41-I42-I43-I44),(D45-H45)*(1+(E45/100)))))</f>
        <v>242000</v>
      </c>
      <c r="J45" s="111"/>
      <c r="K45" s="112"/>
    </row>
    <row r="46" spans="1:11" ht="15.75" thickBot="1" x14ac:dyDescent="0.3">
      <c r="A46" s="104"/>
      <c r="B46" s="15" t="s">
        <v>23</v>
      </c>
      <c r="C46" s="16"/>
      <c r="D46" s="17">
        <f>SUM(D38:D45)</f>
        <v>3986382</v>
      </c>
      <c r="E46" s="177"/>
      <c r="F46" s="178"/>
      <c r="G46" s="11">
        <f>SUM(G38:G45)</f>
        <v>4815122.22</v>
      </c>
      <c r="H46" s="17">
        <f>SUM(H38:H45)</f>
        <v>0</v>
      </c>
      <c r="I46" s="119">
        <f>SUM(I38:K45)</f>
        <v>4815122.22</v>
      </c>
      <c r="J46" s="120"/>
      <c r="K46" s="121"/>
    </row>
    <row r="47" spans="1:11" ht="15.75" thickBot="1" x14ac:dyDescent="0.3">
      <c r="A47" s="18"/>
      <c r="B47" s="19"/>
      <c r="C47" s="18" t="s">
        <v>8</v>
      </c>
      <c r="D47" s="55">
        <f>D46+D37+D36</f>
        <v>126028422</v>
      </c>
      <c r="E47" s="145"/>
      <c r="F47" s="146"/>
      <c r="G47" s="20">
        <f>G46+G37+G36</f>
        <v>152485990.62</v>
      </c>
      <c r="H47" s="21">
        <f>H46+H37+H36</f>
        <v>18380216.5</v>
      </c>
      <c r="I47" s="169">
        <f>I36+I37+I46</f>
        <v>130245928.655</v>
      </c>
      <c r="J47" s="170"/>
      <c r="K47" s="171"/>
    </row>
    <row r="48" spans="1:11" x14ac:dyDescent="0.25">
      <c r="A48" s="25"/>
      <c r="B48" s="25"/>
      <c r="C48" s="25"/>
      <c r="D48" s="66"/>
      <c r="E48" s="67"/>
      <c r="F48" s="67"/>
      <c r="G48" s="68"/>
      <c r="H48" s="66"/>
      <c r="I48" s="66"/>
      <c r="J48" s="66"/>
      <c r="K48" s="66"/>
    </row>
    <row r="49" spans="1:11" x14ac:dyDescent="0.25">
      <c r="A49" s="3" t="s">
        <v>80</v>
      </c>
      <c r="B49" s="25"/>
      <c r="C49" s="25"/>
      <c r="D49" s="66"/>
      <c r="E49" s="67"/>
      <c r="F49" s="67"/>
      <c r="G49" s="68"/>
      <c r="H49" s="66"/>
      <c r="I49" s="66"/>
      <c r="J49" s="66"/>
      <c r="K49" s="66"/>
    </row>
    <row r="50" spans="1:11" x14ac:dyDescent="0.25">
      <c r="B50" s="1"/>
      <c r="C50" s="1"/>
      <c r="D50" s="1"/>
      <c r="E50" s="1"/>
      <c r="F50" s="1"/>
      <c r="G50" s="1"/>
      <c r="H50" s="1"/>
      <c r="I50" s="1"/>
      <c r="J50" s="2"/>
      <c r="K50" s="1"/>
    </row>
    <row r="51" spans="1:11" x14ac:dyDescent="0.25">
      <c r="A51" s="57">
        <v>1</v>
      </c>
      <c r="B51" s="1"/>
      <c r="C51" s="1"/>
      <c r="D51" s="1"/>
      <c r="E51" s="1"/>
      <c r="F51" s="1"/>
      <c r="G51" s="1"/>
      <c r="H51" s="1"/>
      <c r="I51" s="1"/>
      <c r="J51" s="2"/>
      <c r="K51" s="1"/>
    </row>
    <row r="52" spans="1:11" ht="15.75" thickBot="1" x14ac:dyDescent="0.3">
      <c r="A52" s="1"/>
      <c r="B52" s="1"/>
      <c r="C52" s="1"/>
      <c r="D52" s="1"/>
      <c r="E52" s="1"/>
      <c r="F52" s="1"/>
      <c r="G52" s="1"/>
      <c r="H52" s="1"/>
      <c r="I52" s="1"/>
      <c r="J52" s="2"/>
      <c r="K52" s="1"/>
    </row>
    <row r="53" spans="1:11" ht="15.75" thickBot="1" x14ac:dyDescent="0.3">
      <c r="A53" s="22" t="s">
        <v>63</v>
      </c>
      <c r="B53" s="23"/>
      <c r="C53" s="24">
        <f>G47</f>
        <v>152485990.62</v>
      </c>
      <c r="D53" s="25"/>
      <c r="E53" s="174" t="s">
        <v>24</v>
      </c>
      <c r="F53" s="175"/>
      <c r="G53" s="175"/>
      <c r="H53" s="175"/>
      <c r="I53" s="175"/>
      <c r="J53" s="175"/>
      <c r="K53" s="176"/>
    </row>
    <row r="54" spans="1:11" x14ac:dyDescent="0.25">
      <c r="A54" s="26" t="s">
        <v>87</v>
      </c>
      <c r="B54" s="27"/>
      <c r="C54" s="28">
        <f>$I$47</f>
        <v>130245928.655</v>
      </c>
      <c r="D54" s="25"/>
      <c r="E54" s="160" t="s">
        <v>91</v>
      </c>
      <c r="F54" s="161"/>
      <c r="G54" s="161"/>
      <c r="H54" s="161"/>
      <c r="I54" s="161"/>
      <c r="J54" s="161"/>
      <c r="K54" s="162"/>
    </row>
    <row r="55" spans="1:11" x14ac:dyDescent="0.25">
      <c r="A55" s="26" t="s">
        <v>25</v>
      </c>
      <c r="B55" s="27"/>
      <c r="C55" s="28">
        <f>C53-C54</f>
        <v>22240061.965000004</v>
      </c>
      <c r="D55" s="25"/>
      <c r="E55" s="163"/>
      <c r="F55" s="164"/>
      <c r="G55" s="164"/>
      <c r="H55" s="164"/>
      <c r="I55" s="164"/>
      <c r="J55" s="164"/>
      <c r="K55" s="165"/>
    </row>
    <row r="56" spans="1:11" x14ac:dyDescent="0.25">
      <c r="A56" s="152" t="s">
        <v>88</v>
      </c>
      <c r="B56" s="153"/>
      <c r="C56" s="28">
        <f>IF(List2!$A$22=FALSE,I26/(1+(E26/100)),I26)+IF(List2!$A$22=FALSE,I27/(1+(E27/100)),I27)+IF(List2!$A$22=FALSE,I28/(1+(E28/100)),I28)+IF(List2!$A$22=FALSE,I29/(1+(E29/100)),I29)+IF(List2!$A$22=FALSE,I30/(1+(E30/100)),I30)+IF(List2!$A$22=FALSE,I31/(1+(E31/100)),I31)+IF(List2!$A$22=FALSE,I32/(1+(E32/100)),I32)+IF(List2!$A$22=FALSE,I33/(1+(E33/100)),I33)+IF(List2!$A$22=FALSE,I34/(1+(E34/100)),I34)</f>
        <v>103641823.5</v>
      </c>
      <c r="D56" s="25"/>
      <c r="E56" s="163"/>
      <c r="F56" s="164"/>
      <c r="G56" s="164"/>
      <c r="H56" s="164"/>
      <c r="I56" s="164"/>
      <c r="J56" s="164"/>
      <c r="K56" s="165"/>
    </row>
    <row r="57" spans="1:11" ht="15.75" thickBot="1" x14ac:dyDescent="0.3">
      <c r="A57" s="172" t="s">
        <v>58</v>
      </c>
      <c r="B57" s="173"/>
      <c r="C57" s="29">
        <f>$I$36</f>
        <v>125406606.435</v>
      </c>
      <c r="D57" s="25"/>
      <c r="E57" s="166"/>
      <c r="F57" s="167"/>
      <c r="G57" s="167"/>
      <c r="H57" s="167"/>
      <c r="I57" s="167"/>
      <c r="J57" s="167"/>
      <c r="K57" s="168"/>
    </row>
    <row r="58" spans="1:11" x14ac:dyDescent="0.25">
      <c r="A58" s="25"/>
      <c r="B58" s="1"/>
      <c r="C58" s="25"/>
      <c r="D58" s="31"/>
      <c r="E58" s="25"/>
      <c r="F58" s="25"/>
      <c r="G58" s="25"/>
      <c r="H58" s="25"/>
      <c r="I58" s="25"/>
      <c r="J58" s="30"/>
      <c r="K58" s="25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2"/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2"/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2"/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2"/>
      <c r="K62" s="1"/>
    </row>
  </sheetData>
  <sheetProtection password="972E" sheet="1" scenarios="1" formatCells="0" selectLockedCells="1"/>
  <mergeCells count="100">
    <mergeCell ref="E54:K57"/>
    <mergeCell ref="B40:C40"/>
    <mergeCell ref="E40:F40"/>
    <mergeCell ref="E41:F41"/>
    <mergeCell ref="I41:K41"/>
    <mergeCell ref="I47:K47"/>
    <mergeCell ref="A57:B57"/>
    <mergeCell ref="E53:K53"/>
    <mergeCell ref="E46:F46"/>
    <mergeCell ref="I46:K46"/>
    <mergeCell ref="B44:C44"/>
    <mergeCell ref="E44:F44"/>
    <mergeCell ref="E43:F43"/>
    <mergeCell ref="I43:K43"/>
    <mergeCell ref="I40:K40"/>
    <mergeCell ref="E38:F38"/>
    <mergeCell ref="A56:B56"/>
    <mergeCell ref="E47:F47"/>
    <mergeCell ref="B45:C45"/>
    <mergeCell ref="I45:K45"/>
    <mergeCell ref="B42:C42"/>
    <mergeCell ref="E42:F42"/>
    <mergeCell ref="I42:K42"/>
    <mergeCell ref="B43:C43"/>
    <mergeCell ref="B38:C38"/>
    <mergeCell ref="I38:K38"/>
    <mergeCell ref="B39:C39"/>
    <mergeCell ref="E39:F39"/>
    <mergeCell ref="I39:K39"/>
    <mergeCell ref="I44:K44"/>
    <mergeCell ref="B41:C41"/>
    <mergeCell ref="B37:C37"/>
    <mergeCell ref="E34:F34"/>
    <mergeCell ref="B35:C35"/>
    <mergeCell ref="A19:B21"/>
    <mergeCell ref="A38:A46"/>
    <mergeCell ref="E45:F45"/>
    <mergeCell ref="B28:C28"/>
    <mergeCell ref="E28:F28"/>
    <mergeCell ref="E31:F31"/>
    <mergeCell ref="B31:C31"/>
    <mergeCell ref="B32:C32"/>
    <mergeCell ref="E33:F33"/>
    <mergeCell ref="B33:C33"/>
    <mergeCell ref="B29:C29"/>
    <mergeCell ref="E29:F29"/>
    <mergeCell ref="E30:F30"/>
    <mergeCell ref="I30:K30"/>
    <mergeCell ref="I32:K32"/>
    <mergeCell ref="E32:F32"/>
    <mergeCell ref="E35:F35"/>
    <mergeCell ref="E36:F36"/>
    <mergeCell ref="A1:K1"/>
    <mergeCell ref="B3:D3"/>
    <mergeCell ref="B4:D4"/>
    <mergeCell ref="D10:G10"/>
    <mergeCell ref="D18:G18"/>
    <mergeCell ref="D8:H9"/>
    <mergeCell ref="I8:J9"/>
    <mergeCell ref="K8:K9"/>
    <mergeCell ref="D11:H11"/>
    <mergeCell ref="G7:K7"/>
    <mergeCell ref="G3:K6"/>
    <mergeCell ref="D17:H17"/>
    <mergeCell ref="D12:G12"/>
    <mergeCell ref="D13:G13"/>
    <mergeCell ref="D14:G14"/>
    <mergeCell ref="D15:G15"/>
    <mergeCell ref="B36:C36"/>
    <mergeCell ref="I22:J22"/>
    <mergeCell ref="I37:K37"/>
    <mergeCell ref="I35:K35"/>
    <mergeCell ref="I24:K25"/>
    <mergeCell ref="I34:K34"/>
    <mergeCell ref="B34:C34"/>
    <mergeCell ref="I26:K26"/>
    <mergeCell ref="I27:K27"/>
    <mergeCell ref="I36:K36"/>
    <mergeCell ref="I28:K28"/>
    <mergeCell ref="B30:C30"/>
    <mergeCell ref="E37:F37"/>
    <mergeCell ref="I31:K31"/>
    <mergeCell ref="I33:K33"/>
    <mergeCell ref="I29:K29"/>
    <mergeCell ref="D16:G16"/>
    <mergeCell ref="A26:A37"/>
    <mergeCell ref="B26:C26"/>
    <mergeCell ref="E26:F26"/>
    <mergeCell ref="B7:C7"/>
    <mergeCell ref="D20:H20"/>
    <mergeCell ref="D21:H21"/>
    <mergeCell ref="D19:H19"/>
    <mergeCell ref="A24:B25"/>
    <mergeCell ref="C24:C25"/>
    <mergeCell ref="D24:D25"/>
    <mergeCell ref="E24:F25"/>
    <mergeCell ref="G24:G25"/>
    <mergeCell ref="B27:C27"/>
    <mergeCell ref="E27:F27"/>
    <mergeCell ref="H24:H25"/>
  </mergeCells>
  <conditionalFormatting sqref="H37:H45 I10 D37:F45 H26:H35 D26:F35 I12:I21">
    <cfRule type="expression" dxfId="47" priority="35">
      <formula>$B$7="nezvoleno"</formula>
    </cfRule>
  </conditionalFormatting>
  <conditionalFormatting sqref="B26:C33 B37:C43 D11:H11 D10 H10 D18 H18 D19:H21 K17 G37:G45 I37:K45 G26:G35 B35:C35 I26:K35 J18:K21 D12 H12 J10:K16">
    <cfRule type="expression" dxfId="46" priority="32">
      <formula>$B$7="nezvoleno"</formula>
    </cfRule>
  </conditionalFormatting>
  <conditionalFormatting sqref="I10 I12:I21 D26:F32 D34:F34 H26:H32 H34">
    <cfRule type="expression" dxfId="45" priority="53">
      <formula>$B$7="5.2 - Budování veřejných budov v pasivním energetickém standardu"</formula>
    </cfRule>
  </conditionalFormatting>
  <conditionalFormatting sqref="B26:C32 B34 D10:H11 D21 G26:G32 G34 I26:K32 I34 D18:H20 D12 H12 J10:K21">
    <cfRule type="expression" dxfId="44" priority="29">
      <formula>$B$7="5.2 - Budování veřejných budov v pasivním energetickém standardu"</formula>
    </cfRule>
  </conditionalFormatting>
  <conditionalFormatting sqref="B31:C31 G31 I31:K31">
    <cfRule type="expression" dxfId="43" priority="51">
      <formula>$A$11=TRUE</formula>
    </cfRule>
  </conditionalFormatting>
  <conditionalFormatting sqref="D31:F31 H31">
    <cfRule type="expression" dxfId="42" priority="50">
      <formula>$A$11=TRUE</formula>
    </cfRule>
  </conditionalFormatting>
  <conditionalFormatting sqref="D26:F26 H26 I12:I16">
    <cfRule type="expression" dxfId="41" priority="49">
      <formula>$A$9=FALSE</formula>
    </cfRule>
  </conditionalFormatting>
  <conditionalFormatting sqref="G26 B26:C26 I26:K26 J12:K16 D12 H12">
    <cfRule type="expression" dxfId="40" priority="48">
      <formula>$A$9=FALSE</formula>
    </cfRule>
  </conditionalFormatting>
  <conditionalFormatting sqref="D27:F28 H27:H28 I10">
    <cfRule type="expression" dxfId="39" priority="47">
      <formula>$A$10=FALSE</formula>
    </cfRule>
  </conditionalFormatting>
  <conditionalFormatting sqref="B27:C28 G27:G28 I27:K28 D11:H11 D10 H10 J10:K11">
    <cfRule type="expression" dxfId="38" priority="52">
      <formula>$A$10=FALSE</formula>
    </cfRule>
  </conditionalFormatting>
  <conditionalFormatting sqref="D28:F28 H28">
    <cfRule type="expression" dxfId="37" priority="45">
      <formula>$C$10=FALSE</formula>
    </cfRule>
  </conditionalFormatting>
  <conditionalFormatting sqref="B28:C28 G28 I28:K28 D11:H11 J11:K11">
    <cfRule type="expression" dxfId="36" priority="44">
      <formula>$C$10=FALSE</formula>
    </cfRule>
  </conditionalFormatting>
  <conditionalFormatting sqref="D29:F29 H29 I20">
    <cfRule type="expression" dxfId="35" priority="43">
      <formula>$A$12=FALSE</formula>
    </cfRule>
  </conditionalFormatting>
  <conditionalFormatting sqref="B29:C29 G29 I29:K29 D20:H20 J20:K20">
    <cfRule type="expression" dxfId="34" priority="42">
      <formula>$A$12=FALSE</formula>
    </cfRule>
  </conditionalFormatting>
  <conditionalFormatting sqref="D30:F30 H30 I18">
    <cfRule type="expression" dxfId="33" priority="41">
      <formula>$A$11=FALSE</formula>
    </cfRule>
  </conditionalFormatting>
  <conditionalFormatting sqref="B30:C30 G30 I30:K30 D18 J18:K18 H18">
    <cfRule type="expression" dxfId="32" priority="40">
      <formula>$A$11=FALSE</formula>
    </cfRule>
  </conditionalFormatting>
  <conditionalFormatting sqref="D31:F31 H31 I19">
    <cfRule type="expression" dxfId="31" priority="39">
      <formula>$A$13=FALSE</formula>
    </cfRule>
  </conditionalFormatting>
  <conditionalFormatting sqref="B31:C31 G31 I31:K31 D19:H19 J19:K19">
    <cfRule type="expression" dxfId="30" priority="38">
      <formula>$A$13=FALSE</formula>
    </cfRule>
  </conditionalFormatting>
  <conditionalFormatting sqref="B32:C32 G32 I32:K32 D21 J21:K21">
    <cfRule type="expression" dxfId="29" priority="36">
      <formula>$A$15=FALSE</formula>
    </cfRule>
  </conditionalFormatting>
  <conditionalFormatting sqref="H34 D34:F34">
    <cfRule type="expression" dxfId="28" priority="57">
      <formula>$A$14=TRUE</formula>
    </cfRule>
  </conditionalFormatting>
  <conditionalFormatting sqref="B34:C34 G34 I34:K34">
    <cfRule type="expression" dxfId="27" priority="56">
      <formula>$A$14=TRUE</formula>
    </cfRule>
  </conditionalFormatting>
  <conditionalFormatting sqref="D21:H21 J21:K21">
    <cfRule type="expression" dxfId="26" priority="28">
      <formula>$A$15=TRUE</formula>
    </cfRule>
  </conditionalFormatting>
  <conditionalFormatting sqref="I21 D32:F32 H32">
    <cfRule type="expression" dxfId="25" priority="27">
      <formula>$A$15=FALSE</formula>
    </cfRule>
  </conditionalFormatting>
  <conditionalFormatting sqref="K10:K11">
    <cfRule type="expression" dxfId="24" priority="26">
      <formula>$H$10=9</formula>
    </cfRule>
  </conditionalFormatting>
  <conditionalFormatting sqref="B33 G33 I33">
    <cfRule type="expression" dxfId="23" priority="6">
      <formula>$B$7="5.1a - Komplexní řešení energetické náročnosti budovy"</formula>
    </cfRule>
    <cfRule type="expression" dxfId="22" priority="31">
      <formula>$B$7="5.1b - Jednotlivá opatření snižující energetickou náročnost budovy"</formula>
    </cfRule>
  </conditionalFormatting>
  <conditionalFormatting sqref="B44:C44">
    <cfRule type="expression" dxfId="21" priority="11">
      <formula>$B$7="nezvoleno"</formula>
    </cfRule>
  </conditionalFormatting>
  <conditionalFormatting sqref="J17:K17 B34 G34 I34 D17">
    <cfRule type="expression" dxfId="20" priority="10">
      <formula>$A$14=FALSE</formula>
    </cfRule>
  </conditionalFormatting>
  <conditionalFormatting sqref="I17">
    <cfRule type="expression" dxfId="19" priority="7">
      <formula>$A$14=FALSE</formula>
    </cfRule>
  </conditionalFormatting>
  <conditionalFormatting sqref="H33 D33:F33">
    <cfRule type="expression" dxfId="18" priority="4">
      <formula>$B$7="5.1b - Jednotlivá opatření snižující energetickou náročnost budovy"</formula>
    </cfRule>
    <cfRule type="expression" dxfId="17" priority="34">
      <formula>$B$7="5.1a - Komplexní řešení energetické náročnosti budovy"</formula>
    </cfRule>
  </conditionalFormatting>
  <conditionalFormatting sqref="B33 G33 I33">
    <cfRule type="expression" dxfId="16" priority="46">
      <formula>$A$10=TRUE</formula>
    </cfRule>
  </conditionalFormatting>
  <conditionalFormatting sqref="D33:F33 H33">
    <cfRule type="expression" dxfId="15" priority="55">
      <formula>$A$10=TRUE</formula>
    </cfRule>
  </conditionalFormatting>
  <conditionalFormatting sqref="D13:D17 H13:H16">
    <cfRule type="expression" dxfId="14" priority="2">
      <formula>$B$7="nezvoleno"</formula>
    </cfRule>
  </conditionalFormatting>
  <conditionalFormatting sqref="D13:D17 H13:H16">
    <cfRule type="expression" dxfId="13" priority="1">
      <formula>$B$7="5.2 - Budování veřejných budov v pasivním energetickém standardu"</formula>
    </cfRule>
  </conditionalFormatting>
  <conditionalFormatting sqref="D12:D16 H12:H16">
    <cfRule type="expression" dxfId="12" priority="3">
      <formula>$A$9=FALSE</formula>
    </cfRule>
  </conditionalFormatting>
  <printOptions horizontalCentered="1" verticalCentered="1"/>
  <pageMargins left="0" right="0" top="0" bottom="0" header="0" footer="0"/>
  <pageSetup paperSize="9" scale="5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3" r:id="rId4" name="Check Box 59">
              <controlPr locked="0" defaultSize="0" autoFill="0" autoLine="0" autoPict="0">
                <anchor moveWithCells="1">
                  <from>
                    <xdr:col>1</xdr:col>
                    <xdr:colOff>590550</xdr:colOff>
                    <xdr:row>22</xdr:row>
                    <xdr:rowOff>28575</xdr:rowOff>
                  </from>
                  <to>
                    <xdr:col>3</xdr:col>
                    <xdr:colOff>514350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" name="Drop Down 67">
              <controlPr defaultSize="0" autoLine="0" autoPict="0">
                <anchor moveWithCells="1">
                  <from>
                    <xdr:col>7</xdr:col>
                    <xdr:colOff>695325</xdr:colOff>
                    <xdr:row>9</xdr:row>
                    <xdr:rowOff>9525</xdr:rowOff>
                  </from>
                  <to>
                    <xdr:col>7</xdr:col>
                    <xdr:colOff>2847975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6" name="Drop Down 552">
              <controlPr defaultSize="0" autoLine="0" autoPict="0">
                <anchor moveWithCells="1">
                  <from>
                    <xdr:col>7</xdr:col>
                    <xdr:colOff>962025</xdr:colOff>
                    <xdr:row>17</xdr:row>
                    <xdr:rowOff>0</xdr:rowOff>
                  </from>
                  <to>
                    <xdr:col>7</xdr:col>
                    <xdr:colOff>2847975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7" name="Drop Down 689">
              <controlPr defaultSize="0" autoLine="0" autoPict="0">
                <anchor moveWithCells="1">
                  <from>
                    <xdr:col>0</xdr:col>
                    <xdr:colOff>9525</xdr:colOff>
                    <xdr:row>49</xdr:row>
                    <xdr:rowOff>171450</xdr:rowOff>
                  </from>
                  <to>
                    <xdr:col>3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8" name="Drop Down 690">
              <controlPr defaultSize="0" autoLine="0" autoPict="0">
                <anchor moveWithCells="1">
                  <from>
                    <xdr:col>6</xdr:col>
                    <xdr:colOff>1447800</xdr:colOff>
                    <xdr:row>11</xdr:row>
                    <xdr:rowOff>19050</xdr:rowOff>
                  </from>
                  <to>
                    <xdr:col>8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9" name="Drop Down 691">
              <controlPr defaultSize="0" autoLine="0" autoPict="0">
                <anchor moveWithCells="1">
                  <from>
                    <xdr:col>6</xdr:col>
                    <xdr:colOff>1447800</xdr:colOff>
                    <xdr:row>12</xdr:row>
                    <xdr:rowOff>19050</xdr:rowOff>
                  </from>
                  <to>
                    <xdr:col>7</xdr:col>
                    <xdr:colOff>2857500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10" name="Drop Down 692">
              <controlPr defaultSize="0" autoLine="0" autoPict="0">
                <anchor moveWithCells="1">
                  <from>
                    <xdr:col>6</xdr:col>
                    <xdr:colOff>1447800</xdr:colOff>
                    <xdr:row>13</xdr:row>
                    <xdr:rowOff>19050</xdr:rowOff>
                  </from>
                  <to>
                    <xdr:col>8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11" name="Drop Down 693">
              <controlPr defaultSize="0" autoLine="0" autoPict="0">
                <anchor moveWithCells="1">
                  <from>
                    <xdr:col>6</xdr:col>
                    <xdr:colOff>1447800</xdr:colOff>
                    <xdr:row>14</xdr:row>
                    <xdr:rowOff>9525</xdr:rowOff>
                  </from>
                  <to>
                    <xdr:col>8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12" name="Drop Down 694">
              <controlPr defaultSize="0" autoLine="0" autoPict="0">
                <anchor moveWithCells="1">
                  <from>
                    <xdr:col>6</xdr:col>
                    <xdr:colOff>1447800</xdr:colOff>
                    <xdr:row>15</xdr:row>
                    <xdr:rowOff>9525</xdr:rowOff>
                  </from>
                  <to>
                    <xdr:col>8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" r:id="rId13" name="Check Box 696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0</xdr:rowOff>
                  </from>
                  <to>
                    <xdr:col>2</xdr:col>
                    <xdr:colOff>95250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List2!$A$1:$A$4</xm:f>
          </x14:formula1>
          <xm:sqref>B7:C7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T32"/>
  <sheetViews>
    <sheetView workbookViewId="0">
      <selection activeCell="A22" sqref="A22"/>
    </sheetView>
  </sheetViews>
  <sheetFormatPr defaultRowHeight="15" x14ac:dyDescent="0.25"/>
  <cols>
    <col min="1" max="1" width="10.5703125" customWidth="1"/>
  </cols>
  <sheetData>
    <row r="1" spans="1:15" x14ac:dyDescent="0.25">
      <c r="A1" s="37" t="s">
        <v>42</v>
      </c>
      <c r="B1" s="38"/>
      <c r="C1" s="38"/>
      <c r="D1" s="38"/>
      <c r="E1" s="38"/>
      <c r="F1" s="39"/>
      <c r="H1" s="41" t="s">
        <v>75</v>
      </c>
      <c r="I1" s="41"/>
      <c r="J1" s="41"/>
      <c r="K1" s="41"/>
      <c r="L1" s="41"/>
      <c r="M1" s="41"/>
      <c r="N1" s="41"/>
    </row>
    <row r="2" spans="1:15" x14ac:dyDescent="0.25">
      <c r="A2" s="40" t="s">
        <v>40</v>
      </c>
      <c r="B2" s="41"/>
      <c r="C2" s="41"/>
      <c r="D2" s="41"/>
      <c r="E2" s="41"/>
      <c r="F2" s="42"/>
      <c r="H2" s="41" t="s">
        <v>74</v>
      </c>
      <c r="I2" s="41"/>
      <c r="J2" s="41"/>
      <c r="K2" s="41"/>
      <c r="L2" s="41"/>
      <c r="M2" s="41"/>
      <c r="N2" s="41"/>
    </row>
    <row r="3" spans="1:15" x14ac:dyDescent="0.25">
      <c r="A3" s="40" t="s">
        <v>41</v>
      </c>
      <c r="B3" s="41"/>
      <c r="C3" s="41"/>
      <c r="D3" s="41"/>
      <c r="E3" s="41"/>
      <c r="F3" s="42"/>
      <c r="H3" s="41" t="s">
        <v>73</v>
      </c>
      <c r="I3" s="41"/>
      <c r="J3" s="41"/>
      <c r="K3" s="41"/>
      <c r="L3" s="41"/>
      <c r="M3" s="41"/>
      <c r="N3" s="41"/>
    </row>
    <row r="4" spans="1:15" x14ac:dyDescent="0.25">
      <c r="A4" s="43" t="s">
        <v>44</v>
      </c>
      <c r="B4" s="44"/>
      <c r="C4" s="44"/>
      <c r="D4" s="44"/>
      <c r="E4" s="44"/>
      <c r="F4" s="45"/>
      <c r="I4" s="41"/>
      <c r="J4" s="41"/>
      <c r="K4" s="41"/>
      <c r="L4" s="41"/>
      <c r="M4" s="41"/>
      <c r="N4" s="41"/>
    </row>
    <row r="5" spans="1:15" x14ac:dyDescent="0.25">
      <c r="H5" s="70"/>
    </row>
    <row r="6" spans="1:15" x14ac:dyDescent="0.25">
      <c r="A6" s="46" t="s">
        <v>61</v>
      </c>
      <c r="B6" s="38"/>
      <c r="C6" s="38"/>
      <c r="D6" s="39"/>
      <c r="H6" s="70" t="s">
        <v>76</v>
      </c>
    </row>
    <row r="7" spans="1:15" x14ac:dyDescent="0.25">
      <c r="A7" s="47" t="s">
        <v>26</v>
      </c>
      <c r="B7" s="41"/>
      <c r="C7" s="41"/>
      <c r="D7" s="42"/>
      <c r="H7" s="69">
        <f>IF('Kumulativní rozpočet projektu'!$B$7="5.1a - Komplexní řešení energetické náročnosti budovy",0.55,IF('Kumulativní rozpočet projektu'!$B$7="5.1b - Jednotlivá opatření snižující energetickou náročnost budovy",IF('Kumulativní rozpočet projektu'!A12=TRUE,IF(O13=1,0.7,0.4)),0.32))</f>
        <v>0.32</v>
      </c>
      <c r="O7">
        <f>IF('Kumulativní rozpočet projektu'!$A$9=TRUE,1,0)</f>
        <v>0</v>
      </c>
    </row>
    <row r="8" spans="1:15" x14ac:dyDescent="0.25">
      <c r="A8" s="47" t="s">
        <v>27</v>
      </c>
      <c r="B8" s="41"/>
      <c r="C8" s="41"/>
      <c r="D8" s="42"/>
      <c r="O8">
        <f>IF('Kumulativní rozpočet projektu'!$A$10=TRUE,1,0)</f>
        <v>1</v>
      </c>
    </row>
    <row r="9" spans="1:15" x14ac:dyDescent="0.25">
      <c r="A9" s="47" t="s">
        <v>28</v>
      </c>
      <c r="B9" s="41"/>
      <c r="C9" s="41"/>
      <c r="D9" s="42"/>
      <c r="O9">
        <f>IF('Kumulativní rozpočet projektu'!$A$11=TRUE,1,0)</f>
        <v>0</v>
      </c>
    </row>
    <row r="10" spans="1:15" x14ac:dyDescent="0.25">
      <c r="A10" s="47" t="s">
        <v>29</v>
      </c>
      <c r="B10" s="41"/>
      <c r="C10" s="41"/>
      <c r="D10" s="42"/>
      <c r="O10">
        <f>IF('Kumulativní rozpočet projektu'!$A$12=TRUE,1,0)</f>
        <v>0</v>
      </c>
    </row>
    <row r="11" spans="1:15" x14ac:dyDescent="0.25">
      <c r="A11" s="47" t="s">
        <v>30</v>
      </c>
      <c r="B11" s="41"/>
      <c r="C11" s="41"/>
      <c r="D11" s="42"/>
      <c r="O11">
        <f>IF('Kumulativní rozpočet projektu'!$A$13=TRUE,1,0)</f>
        <v>0</v>
      </c>
    </row>
    <row r="12" spans="1:15" x14ac:dyDescent="0.25">
      <c r="A12" s="47" t="s">
        <v>31</v>
      </c>
      <c r="B12" s="41"/>
      <c r="C12" s="41"/>
      <c r="D12" s="42"/>
      <c r="O12">
        <f>IF('Kumulativní rozpočet projektu'!$A$15=TRUE,1,0)</f>
        <v>0</v>
      </c>
    </row>
    <row r="13" spans="1:15" x14ac:dyDescent="0.25">
      <c r="A13" s="47" t="s">
        <v>66</v>
      </c>
      <c r="B13" s="41"/>
      <c r="C13" s="41"/>
      <c r="D13" s="42"/>
      <c r="O13">
        <f>SUM(O7:O12)</f>
        <v>1</v>
      </c>
    </row>
    <row r="14" spans="1:15" x14ac:dyDescent="0.25">
      <c r="A14" s="47" t="s">
        <v>67</v>
      </c>
      <c r="B14" s="41"/>
      <c r="C14" s="41"/>
      <c r="D14" s="42"/>
      <c r="O14" s="71"/>
    </row>
    <row r="15" spans="1:15" x14ac:dyDescent="0.25">
      <c r="A15" s="46" t="s">
        <v>32</v>
      </c>
      <c r="B15" s="38"/>
      <c r="C15" s="38"/>
      <c r="D15" s="39"/>
    </row>
    <row r="16" spans="1:15" x14ac:dyDescent="0.25">
      <c r="A16" s="48" t="s">
        <v>33</v>
      </c>
      <c r="B16" s="44"/>
      <c r="C16" s="44"/>
      <c r="D16" s="45"/>
      <c r="H16" t="s">
        <v>86</v>
      </c>
    </row>
    <row r="17" spans="1:20" x14ac:dyDescent="0.25">
      <c r="A17" s="46" t="s">
        <v>75</v>
      </c>
      <c r="B17" s="38"/>
      <c r="C17" s="38"/>
      <c r="D17" s="39"/>
      <c r="H17" t="s">
        <v>85</v>
      </c>
    </row>
    <row r="18" spans="1:20" x14ac:dyDescent="0.25">
      <c r="A18" s="47" t="s">
        <v>78</v>
      </c>
      <c r="B18" s="41"/>
      <c r="C18" s="41"/>
      <c r="D18" s="42"/>
    </row>
    <row r="19" spans="1:20" x14ac:dyDescent="0.25">
      <c r="A19" s="48" t="s">
        <v>79</v>
      </c>
      <c r="B19" s="44"/>
      <c r="C19" s="44"/>
      <c r="D19" s="45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</row>
    <row r="20" spans="1:20" x14ac:dyDescent="0.25">
      <c r="G20" s="41"/>
      <c r="H20" s="74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</row>
    <row r="21" spans="1:20" x14ac:dyDescent="0.25">
      <c r="G21" s="41"/>
      <c r="H21" s="74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0" x14ac:dyDescent="0.25">
      <c r="A22" s="57" t="b">
        <v>0</v>
      </c>
      <c r="G22" s="41"/>
      <c r="H22" s="74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</row>
    <row r="23" spans="1:20" x14ac:dyDescent="0.25">
      <c r="G23" s="41"/>
      <c r="H23" s="74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</row>
    <row r="24" spans="1:20" x14ac:dyDescent="0.25">
      <c r="G24" s="41"/>
      <c r="H24" s="74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</row>
    <row r="25" spans="1:20" x14ac:dyDescent="0.25">
      <c r="G25" s="41"/>
      <c r="H25" s="74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</row>
    <row r="26" spans="1:20" x14ac:dyDescent="0.25">
      <c r="G26" s="41"/>
      <c r="H26" s="74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</row>
    <row r="27" spans="1:20" x14ac:dyDescent="0.25">
      <c r="G27" s="41"/>
      <c r="H27" s="74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</row>
    <row r="28" spans="1:20" x14ac:dyDescent="0.25">
      <c r="G28" s="41"/>
      <c r="H28" s="74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</row>
    <row r="29" spans="1:20" x14ac:dyDescent="0.25">
      <c r="G29" s="41"/>
      <c r="H29" s="74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1:20" x14ac:dyDescent="0.25">
      <c r="G30" s="41"/>
      <c r="H30" s="74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</row>
    <row r="31" spans="1:20" x14ac:dyDescent="0.25">
      <c r="G31" s="41"/>
      <c r="H31" s="75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</row>
    <row r="32" spans="1:20" x14ac:dyDescent="0.25"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</row>
  </sheetData>
  <sheetProtection password="972E" sheet="1" objects="1" scenarios="1" selectLockedCells="1"/>
  <conditionalFormatting sqref="H20:H31">
    <cfRule type="expression" dxfId="11" priority="5">
      <formula>$B$7="nezvoleno"</formula>
    </cfRule>
  </conditionalFormatting>
  <conditionalFormatting sqref="H20:H31">
    <cfRule type="expression" dxfId="10" priority="4">
      <formula>$B$7="5.2 - Budování veřejných budov v pasivním energetickém standardu"</formula>
    </cfRule>
  </conditionalFormatting>
  <conditionalFormatting sqref="H22:H26">
    <cfRule type="expression" dxfId="9" priority="11">
      <formula>$A$9=FALSE</formula>
    </cfRule>
  </conditionalFormatting>
  <conditionalFormatting sqref="H20:H21">
    <cfRule type="expression" dxfId="8" priority="12">
      <formula>$A$10=FALSE</formula>
    </cfRule>
  </conditionalFormatting>
  <conditionalFormatting sqref="H21">
    <cfRule type="expression" dxfId="7" priority="10">
      <formula>$C$10=FALSE</formula>
    </cfRule>
  </conditionalFormatting>
  <conditionalFormatting sqref="H30">
    <cfRule type="expression" dxfId="6" priority="9">
      <formula>$A$12=FALSE</formula>
    </cfRule>
  </conditionalFormatting>
  <conditionalFormatting sqref="H28">
    <cfRule type="expression" dxfId="5" priority="8">
      <formula>$A$11=FALSE</formula>
    </cfRule>
  </conditionalFormatting>
  <conditionalFormatting sqref="H29">
    <cfRule type="expression" dxfId="4" priority="7">
      <formula>$A$13=FALSE</formula>
    </cfRule>
  </conditionalFormatting>
  <conditionalFormatting sqref="H31">
    <cfRule type="expression" dxfId="3" priority="6">
      <formula>$A$15=FALSE</formula>
    </cfRule>
  </conditionalFormatting>
  <conditionalFormatting sqref="H31">
    <cfRule type="expression" dxfId="2" priority="3">
      <formula>$A$15=TRUE</formula>
    </cfRule>
  </conditionalFormatting>
  <conditionalFormatting sqref="H20">
    <cfRule type="expression" dxfId="1" priority="2">
      <formula>$H$10=9</formula>
    </cfRule>
  </conditionalFormatting>
  <conditionalFormatting sqref="H27">
    <cfRule type="expression" dxfId="0" priority="1">
      <formula>$A$14=FALSE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Kumulativní rozpočet projektu</vt:lpstr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a Verča</dc:creator>
  <cp:lastModifiedBy>Vlčková Renáta, Ing.</cp:lastModifiedBy>
  <cp:lastPrinted>2019-02-07T09:48:10Z</cp:lastPrinted>
  <dcterms:created xsi:type="dcterms:W3CDTF">2015-09-04T16:12:02Z</dcterms:created>
  <dcterms:modified xsi:type="dcterms:W3CDTF">2019-02-07T09:50:16Z</dcterms:modified>
</cp:coreProperties>
</file>