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Public\PS\AkceVZ\!_Probihajici_akce_OIN\Dostavba a rekonstrukce budovy U\Projekt\PD dotace\"/>
    </mc:Choice>
  </mc:AlternateContent>
  <xr:revisionPtr revIDLastSave="0" documentId="13_ncr:1_{D45F476D-A598-4D45-9E0E-7CC459618B6E}" xr6:coauthVersionLast="36" xr6:coauthVersionMax="47" xr10:uidLastSave="{00000000-0000-0000-0000-000000000000}"/>
  <bookViews>
    <workbookView xWindow="0" yWindow="0" windowWidth="16440" windowHeight="3435" xr2:uid="{E5E68DE8-2555-4C84-8A30-53A378E6AF10}"/>
  </bookViews>
  <sheets>
    <sheet name="Rekapitulace" sheetId="1" r:id="rId1"/>
    <sheet name="Stavební objekt U1" sheetId="2" r:id="rId2"/>
    <sheet name="Stavební objekt U2" sheetId="10" r:id="rId3"/>
    <sheet name="IS" sheetId="8" r:id="rId4"/>
    <sheet name="Vedlejší a ostatní náklady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9" i="10" l="1"/>
  <c r="F96" i="2" l="1"/>
  <c r="F97" i="2"/>
  <c r="F95" i="2"/>
  <c r="D11" i="10"/>
  <c r="D26" i="10"/>
  <c r="D7" i="10"/>
  <c r="F5" i="8"/>
  <c r="F12" i="8"/>
  <c r="F13" i="8"/>
  <c r="F14" i="8"/>
  <c r="F15" i="8"/>
  <c r="F11" i="8"/>
  <c r="D28" i="10"/>
  <c r="D29" i="10"/>
  <c r="D30" i="10"/>
  <c r="D27" i="10"/>
  <c r="D134" i="10"/>
  <c r="D135" i="10"/>
  <c r="D133" i="10"/>
  <c r="D132" i="10"/>
  <c r="D32" i="10"/>
  <c r="F54" i="10"/>
  <c r="F143" i="10"/>
  <c r="F142" i="10" s="1"/>
  <c r="F53" i="10"/>
  <c r="F52" i="10" s="1"/>
  <c r="F51" i="10" l="1"/>
  <c r="F106" i="10"/>
  <c r="F107" i="10"/>
  <c r="F108" i="10"/>
  <c r="E84" i="10"/>
  <c r="E82" i="10"/>
  <c r="E83" i="10"/>
  <c r="E81" i="10"/>
  <c r="F89" i="10"/>
  <c r="F90" i="10"/>
  <c r="F91" i="10"/>
  <c r="F92" i="10"/>
  <c r="F63" i="10"/>
  <c r="F64" i="10"/>
  <c r="F65" i="10"/>
  <c r="F66" i="10"/>
  <c r="F67" i="10"/>
  <c r="F68" i="10"/>
  <c r="F69" i="10"/>
  <c r="F70" i="10"/>
  <c r="F62" i="10"/>
  <c r="D37" i="10" l="1"/>
  <c r="D34" i="10"/>
  <c r="D35" i="10"/>
  <c r="D33" i="10"/>
  <c r="D19" i="10"/>
  <c r="F19" i="10" s="1"/>
  <c r="D20" i="10"/>
  <c r="F20" i="10" s="1"/>
  <c r="D18" i="10"/>
  <c r="F18" i="10" s="1"/>
  <c r="D17" i="10"/>
  <c r="F17" i="10" s="1"/>
  <c r="D21" i="10"/>
  <c r="F21" i="10" s="1"/>
  <c r="D12" i="10"/>
  <c r="F27" i="10"/>
  <c r="F28" i="10"/>
  <c r="F29" i="10"/>
  <c r="F30" i="10"/>
  <c r="F26" i="10"/>
  <c r="D23" i="10"/>
  <c r="F23" i="10" s="1"/>
  <c r="D24" i="10"/>
  <c r="F24" i="10" s="1"/>
  <c r="D22" i="10"/>
  <c r="F22" i="10" s="1"/>
  <c r="D15" i="10"/>
  <c r="D14" i="10"/>
  <c r="D13" i="10"/>
  <c r="D16" i="10"/>
  <c r="F16" i="10" s="1"/>
  <c r="F11" i="10"/>
  <c r="F7" i="10"/>
  <c r="D8" i="10"/>
  <c r="F8" i="10" s="1"/>
  <c r="D9" i="10"/>
  <c r="F9" i="10" s="1"/>
  <c r="F6" i="10"/>
  <c r="F25" i="10" l="1"/>
  <c r="F5" i="10"/>
  <c r="F141" i="10" l="1"/>
  <c r="F140" i="10" s="1"/>
  <c r="F138" i="10"/>
  <c r="F137" i="10"/>
  <c r="F136" i="10" s="1"/>
  <c r="F135" i="10"/>
  <c r="F134" i="10"/>
  <c r="F133" i="10"/>
  <c r="F132" i="10"/>
  <c r="F130" i="10"/>
  <c r="F129" i="10"/>
  <c r="F128" i="10"/>
  <c r="F127" i="10"/>
  <c r="F125" i="10"/>
  <c r="F124" i="10"/>
  <c r="F123" i="10"/>
  <c r="F122" i="10"/>
  <c r="F120" i="10"/>
  <c r="F119" i="10"/>
  <c r="F118" i="10"/>
  <c r="F117" i="10"/>
  <c r="F115" i="10"/>
  <c r="F114" i="10" s="1"/>
  <c r="F113" i="10"/>
  <c r="F112" i="10"/>
  <c r="F111" i="10"/>
  <c r="F110" i="10"/>
  <c r="F105" i="10"/>
  <c r="F104" i="10"/>
  <c r="F103" i="10"/>
  <c r="F102" i="10"/>
  <c r="F101" i="10"/>
  <c r="F100" i="10" s="1"/>
  <c r="F99" i="10"/>
  <c r="F98" i="10"/>
  <c r="F97" i="10"/>
  <c r="F96" i="10"/>
  <c r="F95" i="10"/>
  <c r="F93" i="10"/>
  <c r="F88" i="10"/>
  <c r="F87" i="10"/>
  <c r="F86" i="10"/>
  <c r="F85" i="10"/>
  <c r="F84" i="10"/>
  <c r="F83" i="10"/>
  <c r="F82" i="10"/>
  <c r="F81" i="10"/>
  <c r="F79" i="10"/>
  <c r="F78" i="10"/>
  <c r="F76" i="10"/>
  <c r="F75" i="10"/>
  <c r="F74" i="10"/>
  <c r="F73" i="10"/>
  <c r="F72" i="10"/>
  <c r="F61" i="10"/>
  <c r="F60" i="10"/>
  <c r="F59" i="10"/>
  <c r="F58" i="10"/>
  <c r="F56" i="10"/>
  <c r="F55" i="10" s="1"/>
  <c r="F50" i="10"/>
  <c r="F49" i="10" s="1"/>
  <c r="F48" i="10"/>
  <c r="F47" i="10" s="1"/>
  <c r="F46" i="10"/>
  <c r="F45" i="10" s="1"/>
  <c r="F44" i="10"/>
  <c r="F43" i="10" s="1"/>
  <c r="F42" i="10"/>
  <c r="F41" i="10"/>
  <c r="F40" i="10"/>
  <c r="F39" i="10"/>
  <c r="F37" i="10"/>
  <c r="F36" i="10" s="1"/>
  <c r="F35" i="10"/>
  <c r="F34" i="10"/>
  <c r="F33" i="10"/>
  <c r="F32" i="10"/>
  <c r="F15" i="10"/>
  <c r="F14" i="10"/>
  <c r="F13" i="10"/>
  <c r="F12" i="10"/>
  <c r="F4" i="10"/>
  <c r="F3" i="10" s="1"/>
  <c r="D107" i="2"/>
  <c r="D105" i="2"/>
  <c r="D106" i="2"/>
  <c r="D104" i="2"/>
  <c r="F94" i="2"/>
  <c r="F110" i="2"/>
  <c r="F113" i="2"/>
  <c r="F112" i="2" s="1"/>
  <c r="D16" i="2"/>
  <c r="F121" i="10" l="1"/>
  <c r="F109" i="10"/>
  <c r="F80" i="10"/>
  <c r="F94" i="10"/>
  <c r="F77" i="10"/>
  <c r="F71" i="10"/>
  <c r="F57" i="10"/>
  <c r="F31" i="10"/>
  <c r="F10" i="10"/>
  <c r="F126" i="10"/>
  <c r="F38" i="10"/>
  <c r="F116" i="10"/>
  <c r="F131" i="10"/>
  <c r="D92" i="2"/>
  <c r="F92" i="2" s="1"/>
  <c r="D91" i="2"/>
  <c r="F91" i="2" s="1"/>
  <c r="D90" i="2"/>
  <c r="D89" i="2"/>
  <c r="F107" i="2"/>
  <c r="F106" i="2"/>
  <c r="F84" i="2"/>
  <c r="F85" i="2"/>
  <c r="F64" i="2"/>
  <c r="F65" i="2"/>
  <c r="F66" i="2"/>
  <c r="F67" i="2"/>
  <c r="E63" i="2"/>
  <c r="E62" i="2"/>
  <c r="E61" i="2"/>
  <c r="D14" i="2"/>
  <c r="D13" i="2"/>
  <c r="D12" i="2"/>
  <c r="D11" i="2"/>
  <c r="D9" i="2"/>
  <c r="D8" i="2"/>
  <c r="D7" i="2"/>
  <c r="D6" i="2"/>
  <c r="F6" i="2" s="1"/>
  <c r="F100" i="2"/>
  <c r="F101" i="2"/>
  <c r="F102" i="2"/>
  <c r="F99" i="2"/>
  <c r="F19" i="2"/>
  <c r="F20" i="2"/>
  <c r="F21" i="2"/>
  <c r="F18" i="2"/>
  <c r="D28" i="2"/>
  <c r="F28" i="2" s="1"/>
  <c r="D32" i="2"/>
  <c r="F32" i="2" s="1"/>
  <c r="D29" i="2"/>
  <c r="F29" i="2" s="1"/>
  <c r="D31" i="2"/>
  <c r="F31" i="2" s="1"/>
  <c r="D27" i="2"/>
  <c r="F27" i="2" s="1"/>
  <c r="D30" i="2"/>
  <c r="F30" i="2" s="1"/>
  <c r="D16" i="8"/>
  <c r="F16" i="8" s="1"/>
  <c r="F48" i="8"/>
  <c r="F47" i="8" s="1"/>
  <c r="F46" i="8"/>
  <c r="F41" i="8"/>
  <c r="F42" i="8"/>
  <c r="F43" i="8"/>
  <c r="F44" i="8"/>
  <c r="F40" i="8"/>
  <c r="F36" i="8"/>
  <c r="F37" i="8"/>
  <c r="F38" i="8"/>
  <c r="F35" i="8"/>
  <c r="F1" i="10" l="1"/>
  <c r="D17" i="1" s="1"/>
  <c r="E17" i="1" s="1"/>
  <c r="F98" i="2"/>
  <c r="F26" i="2"/>
  <c r="F45" i="8"/>
  <c r="F39" i="8"/>
  <c r="F34" i="8"/>
  <c r="F29" i="8"/>
  <c r="F30" i="8"/>
  <c r="F31" i="8"/>
  <c r="F32" i="8"/>
  <c r="F33" i="8"/>
  <c r="F28" i="8"/>
  <c r="F26" i="8"/>
  <c r="F23" i="8"/>
  <c r="F24" i="8"/>
  <c r="F22" i="8"/>
  <c r="F19" i="8"/>
  <c r="F20" i="8"/>
  <c r="F18" i="8"/>
  <c r="F8" i="8"/>
  <c r="F9" i="8"/>
  <c r="F7" i="8"/>
  <c r="F4" i="8"/>
  <c r="F27" i="8" l="1"/>
  <c r="F17" i="8"/>
  <c r="F25" i="8"/>
  <c r="F21" i="8"/>
  <c r="F6" i="8"/>
  <c r="F3" i="8" l="1"/>
  <c r="F76" i="2" l="1"/>
  <c r="F77" i="2"/>
  <c r="F78" i="2"/>
  <c r="F79" i="2"/>
  <c r="F80" i="2"/>
  <c r="F46" i="2"/>
  <c r="F47" i="2"/>
  <c r="F48" i="2"/>
  <c r="F11" i="2" l="1"/>
  <c r="F13" i="2"/>
  <c r="F14" i="2"/>
  <c r="F9" i="2"/>
  <c r="F8" i="2"/>
  <c r="F53" i="2" l="1"/>
  <c r="F54" i="2"/>
  <c r="F55" i="2"/>
  <c r="F52" i="2"/>
  <c r="F51" i="2"/>
  <c r="F42" i="2"/>
  <c r="F41" i="2"/>
  <c r="F40" i="2"/>
  <c r="F7" i="2"/>
  <c r="F23" i="2"/>
  <c r="F109" i="2"/>
  <c r="F108" i="2" s="1"/>
  <c r="F58" i="2"/>
  <c r="F4" i="6"/>
  <c r="F3" i="6" s="1"/>
  <c r="F1" i="6" s="1"/>
  <c r="D19" i="1" s="1"/>
  <c r="E19" i="1" s="1"/>
  <c r="F105" i="2"/>
  <c r="F104" i="2"/>
  <c r="F93" i="2"/>
  <c r="F90" i="2"/>
  <c r="F89" i="2"/>
  <c r="F88" i="2" s="1"/>
  <c r="F87" i="2"/>
  <c r="F83" i="2"/>
  <c r="F82" i="2"/>
  <c r="F75" i="2"/>
  <c r="F74" i="2"/>
  <c r="F73" i="2"/>
  <c r="F72" i="2"/>
  <c r="F71" i="2"/>
  <c r="F70" i="2"/>
  <c r="F68" i="2"/>
  <c r="F63" i="2"/>
  <c r="F62" i="2"/>
  <c r="F61" i="2"/>
  <c r="F60" i="2"/>
  <c r="F57" i="2"/>
  <c r="F49" i="2"/>
  <c r="F45" i="2"/>
  <c r="F44" i="2"/>
  <c r="F38" i="2"/>
  <c r="F36" i="2"/>
  <c r="F34" i="2"/>
  <c r="F33" i="2" s="1"/>
  <c r="F25" i="2"/>
  <c r="F16" i="2"/>
  <c r="F12" i="2"/>
  <c r="F10" i="2" s="1"/>
  <c r="F4" i="2"/>
  <c r="F81" i="2" l="1"/>
  <c r="F103" i="2"/>
  <c r="F17" i="2"/>
  <c r="F15" i="2"/>
  <c r="F50" i="2"/>
  <c r="F24" i="2"/>
  <c r="F37" i="2"/>
  <c r="F5" i="2"/>
  <c r="F35" i="2"/>
  <c r="F56" i="2"/>
  <c r="F3" i="2"/>
  <c r="F22" i="2"/>
  <c r="F39" i="2"/>
  <c r="F43" i="2"/>
  <c r="F59" i="2"/>
  <c r="F69" i="2"/>
  <c r="F86" i="2"/>
  <c r="F1" i="2" l="1"/>
  <c r="D16" i="1" s="1"/>
  <c r="E32" i="1"/>
  <c r="E16" i="1" l="1"/>
  <c r="E29" i="1" s="1"/>
  <c r="E30" i="1"/>
  <c r="F10" i="8" l="1"/>
  <c r="F1" i="8" s="1"/>
  <c r="D18" i="1" s="1"/>
  <c r="E18" i="1" s="1"/>
  <c r="E31" i="1" l="1"/>
  <c r="E33" i="1" s="1"/>
  <c r="E35" i="1" s="1"/>
  <c r="D21" i="1"/>
  <c r="E21" i="1" l="1"/>
</calcChain>
</file>

<file path=xl/sharedStrings.xml><?xml version="1.0" encoding="utf-8"?>
<sst xmlns="http://schemas.openxmlformats.org/spreadsheetml/2006/main" count="633" uniqueCount="258">
  <si>
    <t>Rekapitulace stavby</t>
  </si>
  <si>
    <t>Stavba:</t>
  </si>
  <si>
    <t>Místo:</t>
  </si>
  <si>
    <t>Olomouc</t>
  </si>
  <si>
    <t>Zadavatel:</t>
  </si>
  <si>
    <t>FN Olomouc</t>
  </si>
  <si>
    <t>Cena bez DPH</t>
  </si>
  <si>
    <t>DPH</t>
  </si>
  <si>
    <t>Cena s DPH</t>
  </si>
  <si>
    <t>Kód</t>
  </si>
  <si>
    <t>Objekt,
Soupis prací</t>
  </si>
  <si>
    <t>Celkové výdaje
Cena bez DPH [CZK]</t>
  </si>
  <si>
    <t>Celkové výdaje
Cena s DPH [CZK]</t>
  </si>
  <si>
    <t>SO 01</t>
  </si>
  <si>
    <t>SO 02</t>
  </si>
  <si>
    <t>Celkem</t>
  </si>
  <si>
    <t>Ozn. stav. dílu / PČ položky</t>
  </si>
  <si>
    <t>Stavební díl / Popis položky</t>
  </si>
  <si>
    <t>měrná jednotka</t>
  </si>
  <si>
    <t>množství</t>
  </si>
  <si>
    <t>jednotková cena [Kč]</t>
  </si>
  <si>
    <t>celková cena [Kč]</t>
  </si>
  <si>
    <t>001</t>
  </si>
  <si>
    <t>Zemní práce</t>
  </si>
  <si>
    <t xml:space="preserve">zásypy zeminou </t>
  </si>
  <si>
    <t>m3</t>
  </si>
  <si>
    <t>Základy</t>
  </si>
  <si>
    <t>003</t>
  </si>
  <si>
    <t>Svislé konstrukce (nosné stěny + příčky)</t>
  </si>
  <si>
    <t>kpl</t>
  </si>
  <si>
    <t>Příčky a stěny - 2NP</t>
  </si>
  <si>
    <t>004</t>
  </si>
  <si>
    <t>Vodorovné konstrukce (stropní kontrukce)</t>
  </si>
  <si>
    <t>ŽB strop nad 1NP</t>
  </si>
  <si>
    <t>m2</t>
  </si>
  <si>
    <t>ŽB strop nad 2NP</t>
  </si>
  <si>
    <t>061</t>
  </si>
  <si>
    <t>Omítky - 1NP</t>
  </si>
  <si>
    <t>Omítky - 2NP</t>
  </si>
  <si>
    <t>062</t>
  </si>
  <si>
    <t>Úpravy povrchů vnější (montáž zateplení, fasád, atd.)</t>
  </si>
  <si>
    <t>063</t>
  </si>
  <si>
    <t>Podlahy a podlahové konstrukce (mazaniny, potěry, podsypy, atd.)</t>
  </si>
  <si>
    <t>Podlahy 1NP</t>
  </si>
  <si>
    <t>Podlahy 2NP</t>
  </si>
  <si>
    <t>094</t>
  </si>
  <si>
    <t>Lešení</t>
  </si>
  <si>
    <t>095</t>
  </si>
  <si>
    <t>Dokončovací konstrukce a práce - pozemní stavby</t>
  </si>
  <si>
    <t>Vyčištění</t>
  </si>
  <si>
    <t>096</t>
  </si>
  <si>
    <t>Bourání konstrukcí</t>
  </si>
  <si>
    <t>099</t>
  </si>
  <si>
    <t>Přesuny hmot</t>
  </si>
  <si>
    <t>Izolace proti vodě, vlhkosti a plynům (pásy, stěrky, atd.)</t>
  </si>
  <si>
    <t>Izolace teplné (tepelné izolace běžných stavebních konstrukcí, tzn. stropů, podlah, stěn, atd.)</t>
  </si>
  <si>
    <t>Izolace tepelné podlah</t>
  </si>
  <si>
    <t>Obklad stěn</t>
  </si>
  <si>
    <t>Zdravotně technická instalace budov (vodovod, kanalizace, plynovod, zařizovací předměty, atd.)</t>
  </si>
  <si>
    <t>Elektroinstalace - silnoproud</t>
  </si>
  <si>
    <t>Elektroinstalace - slaboproud</t>
  </si>
  <si>
    <t>Slaboproud</t>
  </si>
  <si>
    <t>Měření a regulace</t>
  </si>
  <si>
    <t>EPS, NZS</t>
  </si>
  <si>
    <t>Vzduchotechnika (ventilátory, potrubí, klimatizace, atd.)</t>
  </si>
  <si>
    <t>Rozvody chladu</t>
  </si>
  <si>
    <t>Konstrukce suché výstavby (sádrokartonové, sádrovláknité, cementové, desky a podhledy, konstrukce z montovaných dílců,atd.)</t>
  </si>
  <si>
    <t>Podhledy 1NP</t>
  </si>
  <si>
    <t>Podhledy 2NP</t>
  </si>
  <si>
    <t>Klepířské konstrukce</t>
  </si>
  <si>
    <t xml:space="preserve">Konstrukce truhlářské (okna, dveře, zárubně, dřevěné obklady a podhledy, atd.) </t>
  </si>
  <si>
    <t>Truhlářské konstrukce 1NP</t>
  </si>
  <si>
    <t>Truhlářské konstrukce 2NP</t>
  </si>
  <si>
    <t>Konstrukce zámečnické (kovová zábradlí, balkónová zábradlí, mříže, lávky, atd.)</t>
  </si>
  <si>
    <t>Zámečnické konstrukce 1NP</t>
  </si>
  <si>
    <t>Zámečnické konstrukce 2NP</t>
  </si>
  <si>
    <t>Malby a tapety</t>
  </si>
  <si>
    <t>Malby a omyvatelné nátěry 1NP</t>
  </si>
  <si>
    <t>VRN</t>
  </si>
  <si>
    <t>VON</t>
  </si>
  <si>
    <t>Přeložky IS</t>
  </si>
  <si>
    <t>IS</t>
  </si>
  <si>
    <t>Řídící systém</t>
  </si>
  <si>
    <t>Prvky, rozvaděče</t>
  </si>
  <si>
    <t>Montážní materiál</t>
  </si>
  <si>
    <t>Montážní práce</t>
  </si>
  <si>
    <t>Služby, oživení, SW, revize apod.</t>
  </si>
  <si>
    <t>Ostatní (montáž, lešení, zaregulování, doprava, …)</t>
  </si>
  <si>
    <t>785</t>
  </si>
  <si>
    <t>Projekt interiéru</t>
  </si>
  <si>
    <t>Interiér</t>
  </si>
  <si>
    <t>Přesuny hmot HSV (přesuny hmot pro části 001 - 098)</t>
  </si>
  <si>
    <t>D.1.12</t>
  </si>
  <si>
    <t>Komunikace a zpevněné plochy</t>
  </si>
  <si>
    <t>D.1.13</t>
  </si>
  <si>
    <t>Terénní a sadové úpravy</t>
  </si>
  <si>
    <t>D.1.14</t>
  </si>
  <si>
    <t>D.1.15</t>
  </si>
  <si>
    <t>D.1.17</t>
  </si>
  <si>
    <t>Přeložka a přípojka medicinálních plynů</t>
  </si>
  <si>
    <t>D.1.18</t>
  </si>
  <si>
    <t>D.1.19</t>
  </si>
  <si>
    <t>D.1.20</t>
  </si>
  <si>
    <t>D.1.21</t>
  </si>
  <si>
    <t>Přeložky elektronických komunikací</t>
  </si>
  <si>
    <t>Přeložka potrubní pošty</t>
  </si>
  <si>
    <t>Vedlejší a ostatní náklady</t>
  </si>
  <si>
    <t>D.1.11</t>
  </si>
  <si>
    <t>Příprava území</t>
  </si>
  <si>
    <t>Areálová kanalizace, retenčí nádrž</t>
  </si>
  <si>
    <t>Retenční nádrž</t>
  </si>
  <si>
    <t>Areálový vodovod</t>
  </si>
  <si>
    <t>Mediciální plyny</t>
  </si>
  <si>
    <t>D.1.16</t>
  </si>
  <si>
    <t>Přípojka tepla</t>
  </si>
  <si>
    <t>Areálové silnoproudé elektroinstalace NN, VN</t>
  </si>
  <si>
    <t>Areálové venkovní osvětlení</t>
  </si>
  <si>
    <t>Potrubní pošta</t>
  </si>
  <si>
    <t>Areálové elektronické komunikace</t>
  </si>
  <si>
    <t>D.2.01</t>
  </si>
  <si>
    <t>Fotovoltaika</t>
  </si>
  <si>
    <t>D.2.02</t>
  </si>
  <si>
    <t>Dostavba a rekonstrukce budovy U</t>
  </si>
  <si>
    <t>ŽB piloty</t>
  </si>
  <si>
    <t>Příčky a stěny - 4NP</t>
  </si>
  <si>
    <t>Omítky - 3NP</t>
  </si>
  <si>
    <t>Omítky - 4NP</t>
  </si>
  <si>
    <t>Podlahy 3NP</t>
  </si>
  <si>
    <t>Podlahy 4NP</t>
  </si>
  <si>
    <t>Bourání stěn</t>
  </si>
  <si>
    <t>Bourání podlah</t>
  </si>
  <si>
    <t>Komunikace</t>
  </si>
  <si>
    <t>Trubní vedení</t>
  </si>
  <si>
    <t>Doplňující práce na komunikaci</t>
  </si>
  <si>
    <t>zemní práce</t>
  </si>
  <si>
    <t>rozvody potrubí předizolované</t>
  </si>
  <si>
    <t>rozvody potrubí v budově</t>
  </si>
  <si>
    <t>armatury</t>
  </si>
  <si>
    <t>kotevní systém a požární ucpávky</t>
  </si>
  <si>
    <t>zkoušky, revize, ostatní</t>
  </si>
  <si>
    <t>Stavební objekt U1</t>
  </si>
  <si>
    <t>Stavební objekt U2</t>
  </si>
  <si>
    <t>rozvody potrubí</t>
  </si>
  <si>
    <t>otopná tělesa</t>
  </si>
  <si>
    <t>kompakt ohřevu TV</t>
  </si>
  <si>
    <t>Ústřední vytápění (radiátory, kotle, potrubí, atd.)</t>
  </si>
  <si>
    <t>zdroj chladu</t>
  </si>
  <si>
    <t>strojovna chlazení</t>
  </si>
  <si>
    <t>armatury a připojení VZT jednotek</t>
  </si>
  <si>
    <t>armatury a připojení FCU jednotek</t>
  </si>
  <si>
    <t>strojovna vytápění</t>
  </si>
  <si>
    <t>podlahové vytápění 2.NP</t>
  </si>
  <si>
    <t xml:space="preserve">Rozvaděče RIS venkovní </t>
  </si>
  <si>
    <t xml:space="preserve">Venkovní kabely příslušensví </t>
  </si>
  <si>
    <t xml:space="preserve">Výkopové práce </t>
  </si>
  <si>
    <t xml:space="preserve">Ostatní </t>
  </si>
  <si>
    <t>Svítidal stožáry atd.</t>
  </si>
  <si>
    <t>Přípojka splaškové kanalizace</t>
  </si>
  <si>
    <t>Přípojka dešťové kanalizace</t>
  </si>
  <si>
    <t>Přeložka vody</t>
  </si>
  <si>
    <t>Přípojka vody U1</t>
  </si>
  <si>
    <t>Přípojka vody U2</t>
  </si>
  <si>
    <t>Výtahy U1</t>
  </si>
  <si>
    <t>ks</t>
  </si>
  <si>
    <t>Příčky a stěny - 3NP</t>
  </si>
  <si>
    <t>Příčky a stěny - 1NP</t>
  </si>
  <si>
    <t>Izolace proti vodě</t>
  </si>
  <si>
    <t>Akustické a protiotřesové opatření (akustické obklady, izolace, atd.)</t>
  </si>
  <si>
    <t>Opěrné stěny</t>
  </si>
  <si>
    <t>Bourání zařizovacích předmětů</t>
  </si>
  <si>
    <t>Bourání  okenních výplní</t>
  </si>
  <si>
    <t>Bourání dveří se zárubní</t>
  </si>
  <si>
    <t>Bourání schodiště</t>
  </si>
  <si>
    <t>Podlahy  (koberce, PVC, dlaždice)</t>
  </si>
  <si>
    <t>Zařizovací předměty včetně armatur</t>
  </si>
  <si>
    <t>VodovodnÍ rozvody včetně armatur</t>
  </si>
  <si>
    <t xml:space="preserve">Kanalizační rozvody </t>
  </si>
  <si>
    <t>Elektromontáže -Rozvaděče</t>
  </si>
  <si>
    <t>Elektromontáže -Osvětlení</t>
  </si>
  <si>
    <t xml:space="preserve">Elektromontáže -Kusový materiál </t>
  </si>
  <si>
    <t>Elektromontáže -Délkový materiál</t>
  </si>
  <si>
    <t>Elektromontáže -Ostatní</t>
  </si>
  <si>
    <t>Zař.č.1 - Větrání hygienického zázemí pokojů</t>
  </si>
  <si>
    <t>Zař.č.2 - Větrání chodeb, skladů a společného hygienického zázem</t>
  </si>
  <si>
    <t>Zař.č.3 - Větrání chodeb, skladů a společného hygienického zázemí</t>
  </si>
  <si>
    <t>Zař.č.4 - Větrání chodeb, skladů a společného hygienického zázemí</t>
  </si>
  <si>
    <t>Zař.č.5 - Větrání chodeb, skladů a společného hygienického zázemí</t>
  </si>
  <si>
    <t>Zař.č.8 - Větrání technické místnosti</t>
  </si>
  <si>
    <t>Zař.č.10 Chlazení FCU</t>
  </si>
  <si>
    <t>Zař.č.12 - Požární větrání</t>
  </si>
  <si>
    <t>Podhledy 3NP</t>
  </si>
  <si>
    <t>Podhledy 4NP</t>
  </si>
  <si>
    <t>Malby a omyvatelné nátěry 2NP</t>
  </si>
  <si>
    <t>Malby a omyvatelné nátěry 3NP</t>
  </si>
  <si>
    <t>Fasáda</t>
  </si>
  <si>
    <t>Konstrukce klempířské (parapety, oplechování, lemování, atd.)</t>
  </si>
  <si>
    <t>U1</t>
  </si>
  <si>
    <t>D.1.05</t>
  </si>
  <si>
    <t>Zdravotnická technologie</t>
  </si>
  <si>
    <t>Zdravotnická technolgie</t>
  </si>
  <si>
    <t>Úpravy povrchů vnitřní (omítky, atd.)</t>
  </si>
  <si>
    <t>podkladní beton pod deskou 100 mm</t>
  </si>
  <si>
    <t>výkopy, zásypy, svahování</t>
  </si>
  <si>
    <t>ŽB stěny - 1NP</t>
  </si>
  <si>
    <t>ŽB stěny - 2NP</t>
  </si>
  <si>
    <t>ŽB stěny - 3NP</t>
  </si>
  <si>
    <t>ŽB stěny - 4NP</t>
  </si>
  <si>
    <t>ŽB stěny - 1PP</t>
  </si>
  <si>
    <t>ŽB základová deska 300 mm - 1PP</t>
  </si>
  <si>
    <t>ŽB základová deska 150 mm - 1NP</t>
  </si>
  <si>
    <t>ŽB sloupy- 1PP</t>
  </si>
  <si>
    <t>ŽB sloupy- 1NP</t>
  </si>
  <si>
    <t>ŽB sloupy- 2NP</t>
  </si>
  <si>
    <t>ŽB sloupy- 3NP</t>
  </si>
  <si>
    <t>ŽB sloupy- 4NP</t>
  </si>
  <si>
    <t>Příčky + stěny - 1NP</t>
  </si>
  <si>
    <t>Příčky + stěny - 2NP</t>
  </si>
  <si>
    <t>Příčky + stěny - 3NP</t>
  </si>
  <si>
    <t>Příčky + stěny - 4NP</t>
  </si>
  <si>
    <t>ŽB strop nad 1PP</t>
  </si>
  <si>
    <t>ŽB strop nad 3NP</t>
  </si>
  <si>
    <t>ŽB strop nad 4NP</t>
  </si>
  <si>
    <t>Úpravy povrchů vnější ( fasád, atd.)</t>
  </si>
  <si>
    <t>Zař.č.1 - Lůžková jednotka - akutní oddělení</t>
  </si>
  <si>
    <t>Zař.č.2 - Lůžková jednotka - uzavřené oddělení</t>
  </si>
  <si>
    <t>Zař.č.3 - Lůžková jednotka - otevřené oddělení</t>
  </si>
  <si>
    <t>Zař.č.4 - Technické a provozní zázemí, klubovna</t>
  </si>
  <si>
    <t>Zař.č.5 - Kuřárny</t>
  </si>
  <si>
    <t>Zař.č.6 - Havarijní větrání strojovny chlazení</t>
  </si>
  <si>
    <t>Zař.č.7 - Větrání strojovny UT</t>
  </si>
  <si>
    <t>Zař.č.9 Vzdcuhová clona</t>
  </si>
  <si>
    <t>Zař.č.11 Chlazení technických místností</t>
  </si>
  <si>
    <t>Izolace spodní stavby</t>
  </si>
  <si>
    <t>Izolace střechy</t>
  </si>
  <si>
    <t>Izolace tepelné střechy</t>
  </si>
  <si>
    <t>U2</t>
  </si>
  <si>
    <t>Klempířské konstrukce</t>
  </si>
  <si>
    <t>výsadby</t>
  </si>
  <si>
    <t>zpevněné plochy</t>
  </si>
  <si>
    <t>hřiště, workoout, pingpong</t>
  </si>
  <si>
    <t>oplocení</t>
  </si>
  <si>
    <t>sedací hranoly, přírodní balvany</t>
  </si>
  <si>
    <t>Demolice vstupu do pevnosti Tafelberg</t>
  </si>
  <si>
    <t>Konstrukce zámečnické (hliníkové výplně otvorů, kovová zábradlí, balkónová zábradlí, mříže, lávky, atd.)</t>
  </si>
  <si>
    <t>Zámečnické konstrukce 3NP</t>
  </si>
  <si>
    <t>Zámečnické konstrukce 4NP</t>
  </si>
  <si>
    <t>Truhlářské konstrukce 3NP</t>
  </si>
  <si>
    <t>Truhlářské konstrukce 4NP</t>
  </si>
  <si>
    <t>Malby a omyvatelné nátěry 4NP</t>
  </si>
  <si>
    <t>CELKEM</t>
  </si>
  <si>
    <t>ZPŮSOBILÉ NÁKLADY</t>
  </si>
  <si>
    <t>NEZPŮSOBILÉ NÁKLADY</t>
  </si>
  <si>
    <t>vč. DPH</t>
  </si>
  <si>
    <t>Stavební objekt U1 - Realizační náklady do limitu</t>
  </si>
  <si>
    <t>Stavební objekt U1 - Realizační náklady nad limit</t>
  </si>
  <si>
    <t>VON - Nad limit způsobilých výdajů</t>
  </si>
  <si>
    <t>Přeložky IS - Nad limit způsobilých výdajů</t>
  </si>
  <si>
    <t>Stavební objekt U2 - Věcně nezpůsobilý výdaj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</si>
</sst>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4" tint="-0.249977111117893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9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4" fillId="0" borderId="4" xfId="0" applyFont="1" applyBorder="1"/>
    <xf numFmtId="10" fontId="4" fillId="2" borderId="5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164" fontId="9" fillId="0" borderId="0" xfId="0" applyNumberFormat="1" applyFont="1" applyAlignment="1">
      <alignment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wrapText="1"/>
    </xf>
    <xf numFmtId="165" fontId="0" fillId="3" borderId="11" xfId="0" applyNumberFormat="1" applyFill="1" applyBorder="1" applyAlignment="1">
      <alignment horizontal="center" wrapText="1"/>
    </xf>
    <xf numFmtId="164" fontId="1" fillId="3" borderId="12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49" fontId="0" fillId="2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2" fontId="0" fillId="2" borderId="0" xfId="0" applyNumberFormat="1" applyFill="1" applyAlignment="1" applyProtection="1">
      <alignment horizontal="center" wrapText="1"/>
      <protection locked="0"/>
    </xf>
    <xf numFmtId="164" fontId="0" fillId="2" borderId="0" xfId="0" applyNumberFormat="1" applyFill="1" applyAlignment="1" applyProtection="1">
      <alignment horizontal="center" wrapText="1"/>
      <protection locked="0"/>
    </xf>
    <xf numFmtId="164" fontId="0" fillId="0" borderId="0" xfId="0" applyNumberFormat="1" applyAlignment="1">
      <alignment horizontal="center" wrapText="1"/>
    </xf>
    <xf numFmtId="164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2" borderId="19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2" fontId="11" fillId="3" borderId="11" xfId="0" applyNumberFormat="1" applyFont="1" applyFill="1" applyBorder="1" applyAlignment="1">
      <alignment horizontal="center" wrapText="1"/>
    </xf>
    <xf numFmtId="164" fontId="12" fillId="3" borderId="12" xfId="0" applyNumberFormat="1" applyFont="1" applyFill="1" applyBorder="1" applyAlignment="1">
      <alignment horizontal="center" wrapText="1"/>
    </xf>
    <xf numFmtId="164" fontId="12" fillId="3" borderId="13" xfId="0" applyNumberFormat="1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left" vertical="center" wrapText="1"/>
    </xf>
    <xf numFmtId="164" fontId="0" fillId="0" borderId="17" xfId="0" applyNumberFormat="1" applyBorder="1" applyAlignment="1">
      <alignment horizontal="center" wrapText="1"/>
    </xf>
    <xf numFmtId="49" fontId="10" fillId="2" borderId="0" xfId="0" applyNumberFormat="1" applyFont="1" applyFill="1" applyAlignment="1">
      <alignment horizontal="right" vertical="center"/>
    </xf>
    <xf numFmtId="2" fontId="0" fillId="3" borderId="11" xfId="0" applyNumberFormat="1" applyFill="1" applyBorder="1" applyAlignment="1">
      <alignment horizontal="center" wrapText="1"/>
    </xf>
    <xf numFmtId="2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2" fontId="11" fillId="3" borderId="14" xfId="0" applyNumberFormat="1" applyFont="1" applyFill="1" applyBorder="1" applyAlignment="1">
      <alignment horizontal="center" wrapText="1"/>
    </xf>
    <xf numFmtId="2" fontId="11" fillId="2" borderId="24" xfId="0" applyNumberFormat="1" applyFont="1" applyFill="1" applyBorder="1" applyAlignment="1">
      <alignment horizontal="center" wrapText="1"/>
    </xf>
    <xf numFmtId="164" fontId="12" fillId="3" borderId="15" xfId="0" applyNumberFormat="1" applyFont="1" applyFill="1" applyBorder="1" applyAlignment="1">
      <alignment horizontal="center" wrapText="1"/>
    </xf>
    <xf numFmtId="164" fontId="12" fillId="3" borderId="16" xfId="0" applyNumberFormat="1" applyFont="1" applyFill="1" applyBorder="1" applyAlignment="1">
      <alignment horizontal="center" wrapText="1"/>
    </xf>
    <xf numFmtId="164" fontId="11" fillId="0" borderId="23" xfId="0" applyNumberFormat="1" applyFont="1" applyBorder="1" applyAlignment="1">
      <alignment horizontal="center" wrapText="1"/>
    </xf>
    <xf numFmtId="164" fontId="11" fillId="2" borderId="25" xfId="0" applyNumberFormat="1" applyFont="1" applyFill="1" applyBorder="1"/>
    <xf numFmtId="49" fontId="10" fillId="3" borderId="14" xfId="0" applyNumberFormat="1" applyFont="1" applyFill="1" applyBorder="1" applyAlignment="1">
      <alignment horizontal="right" vertical="center"/>
    </xf>
    <xf numFmtId="49" fontId="0" fillId="2" borderId="14" xfId="0" applyNumberForma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wrapText="1"/>
    </xf>
    <xf numFmtId="2" fontId="11" fillId="2" borderId="22" xfId="0" applyNumberFormat="1" applyFont="1" applyFill="1" applyBorder="1" applyAlignment="1">
      <alignment horizontal="center" wrapText="1"/>
    </xf>
    <xf numFmtId="2" fontId="11" fillId="2" borderId="18" xfId="0" applyNumberFormat="1" applyFont="1" applyFill="1" applyBorder="1" applyAlignment="1">
      <alignment horizontal="center" wrapText="1"/>
    </xf>
    <xf numFmtId="164" fontId="11" fillId="0" borderId="20" xfId="0" applyNumberFormat="1" applyFont="1" applyBorder="1" applyAlignment="1">
      <alignment horizontal="center" wrapText="1"/>
    </xf>
    <xf numFmtId="0" fontId="14" fillId="0" borderId="0" xfId="0" applyFont="1"/>
    <xf numFmtId="164" fontId="14" fillId="0" borderId="0" xfId="0" applyNumberFormat="1" applyFont="1"/>
    <xf numFmtId="44" fontId="0" fillId="0" borderId="0" xfId="1" applyFont="1"/>
    <xf numFmtId="164" fontId="16" fillId="0" borderId="0" xfId="0" applyNumberFormat="1" applyFont="1"/>
    <xf numFmtId="0" fontId="16" fillId="0" borderId="0" xfId="0" applyFont="1"/>
    <xf numFmtId="44" fontId="16" fillId="0" borderId="0" xfId="1" applyFont="1"/>
    <xf numFmtId="0" fontId="0" fillId="0" borderId="26" xfId="0" applyBorder="1"/>
    <xf numFmtId="44" fontId="0" fillId="0" borderId="26" xfId="1" applyFont="1" applyBorder="1"/>
    <xf numFmtId="0" fontId="1" fillId="0" borderId="0" xfId="0" applyFont="1" applyAlignment="1">
      <alignment horizontal="right"/>
    </xf>
    <xf numFmtId="44" fontId="1" fillId="0" borderId="0" xfId="0" applyNumberFormat="1" applyFont="1"/>
    <xf numFmtId="164" fontId="0" fillId="0" borderId="26" xfId="1" applyNumberFormat="1" applyFont="1" applyBorder="1"/>
    <xf numFmtId="0" fontId="0" fillId="2" borderId="5" xfId="0" applyFill="1" applyBorder="1" applyAlignment="1" applyProtection="1">
      <alignment horizontal="left"/>
      <protection locked="0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6" fillId="0" borderId="8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2">
    <cellStyle name="Měna" xfId="1" builtinId="4"/>
    <cellStyle name="Normální" xfId="0" builtinId="0"/>
  </cellStyles>
  <dxfs count="67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vertical="center" textRotation="0" wrapText="1" indent="0" justifyLastLine="0" shrinkToFit="0" readingOrder="0"/>
      <protection locked="1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1E2A7E-3745-4D4F-9564-A877C12899F7}" name="Tabulka13" displayName="Tabulka13" ref="B15:E21" totalsRowCount="1" headerRowDxfId="66" dataDxfId="65" totalsRowDxfId="64">
  <autoFilter ref="B15:E20" xr:uid="{58D37D7D-D8C0-4AF4-9B4C-1C92663E0F28}"/>
  <tableColumns count="4">
    <tableColumn id="1" xr3:uid="{95588902-1CFF-4BE9-B184-0DA9D251B6D9}" name="Kód" totalsRowLabel="Celkem" dataDxfId="63" totalsRowDxfId="62"/>
    <tableColumn id="2" xr3:uid="{1ADC7587-7D6C-48D3-BD2C-6040D2AA7330}" name="Objekt,_x000a_Soupis prací" dataDxfId="61" totalsRowDxfId="60"/>
    <tableColumn id="8" xr3:uid="{89085313-C80E-4D59-A5F3-A7E0771746F7}" name="Celkové výdaje_x000a_Cena bez DPH [CZK]" totalsRowFunction="sum" dataDxfId="59" totalsRowDxfId="58">
      <calculatedColumnFormula>#REF!+#REF!</calculatedColumnFormula>
    </tableColumn>
    <tableColumn id="9" xr3:uid="{AE598840-A1CA-4999-9476-49282A0A4A1A}" name="Celkové výdaje_x000a_Cena s DPH [CZK]" totalsRowFunction="sum" dataDxfId="57" totalsRowDxfId="56">
      <calculatedColumnFormula>#REF!+#REF!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F20077-1EC1-4456-9353-C9CCA4D45A4B}" name="Tabulka3" displayName="Tabulka3" ref="A2:C113" headerRowDxfId="55" dataDxfId="54" totalsRowDxfId="53">
  <autoFilter ref="A2:C113" xr:uid="{DAEE1D7C-42C2-4BE8-941D-F9F9CE6DDD66}"/>
  <tableColumns count="3">
    <tableColumn id="1" xr3:uid="{7BD11502-D853-42F8-8D4E-C9B99D2EED32}" name="Ozn. stav. dílu / PČ položky" totalsRowLabel="Celkem" dataDxfId="52" totalsRowDxfId="51"/>
    <tableColumn id="2" xr3:uid="{934E0364-B070-4388-9D07-EBFA1341F631}" name="Stavební díl / Popis položky" dataDxfId="50" totalsRowDxfId="49"/>
    <tableColumn id="3" xr3:uid="{113312C1-D953-49F0-B07B-E18D782A5A36}" name="měrná jednotka" totalsRowFunction="count" dataDxfId="48" totalsRowDxfId="47"/>
  </tableColumns>
  <tableStyleInfo name="TableStyleLight8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ED4343-CE08-4A6C-BD8D-757D4F72A5F7}" name="Tabulka4" displayName="Tabulka4" ref="D2:F113" totalsRowShown="0" headerRowDxfId="46" dataDxfId="45">
  <autoFilter ref="D2:F113" xr:uid="{4DB841BC-9380-4FA5-8ECB-0DB23A6E97AE}"/>
  <tableColumns count="3">
    <tableColumn id="1" xr3:uid="{441F8B79-AA3E-4483-9474-29C965331352}" name="množství" dataDxfId="44"/>
    <tableColumn id="2" xr3:uid="{202E99E5-575A-463A-B76B-950E9DCF793E}" name="jednotková cena [Kč]" dataDxfId="43"/>
    <tableColumn id="3" xr3:uid="{0FDEFAE9-582D-4C6F-99CD-6E82D0F0A802}" name="celková cena [Kč]" dataDxfId="42">
      <calculatedColumnFormula>SUM(F4:F4)</calculatedColumnFormula>
    </tableColumn>
  </tableColumns>
  <tableStyleInfo name="TableStyleLight9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191AAEF-1561-478F-9E44-C75552F85CDA}" name="Tabulka327" displayName="Tabulka327" ref="A2:C143" headerRowDxfId="41" dataDxfId="40" totalsRowDxfId="39">
  <autoFilter ref="A2:C143" xr:uid="{DAEE1D7C-42C2-4BE8-941D-F9F9CE6DDD66}"/>
  <tableColumns count="3">
    <tableColumn id="1" xr3:uid="{879A73C1-8EAA-475F-9B07-2FCB7FF171CC}" name="Ozn. stav. dílu / PČ položky" totalsRowLabel="Celkem" dataDxfId="38" totalsRowDxfId="37"/>
    <tableColumn id="2" xr3:uid="{D1CC3638-A602-49D0-BFCB-9F709ADC2443}" name="Stavební díl / Popis položky" dataDxfId="36" totalsRowDxfId="35"/>
    <tableColumn id="3" xr3:uid="{02379036-E996-4062-A7EB-136D47266DAE}" name="měrná jednotka" totalsRowFunction="count" dataDxfId="34" totalsRowDxfId="33"/>
  </tableColumns>
  <tableStyleInfo name="TableStyleLight8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51A9B27-A8D7-4EBD-AC6B-75413D1A2375}" name="Tabulka428" displayName="Tabulka428" ref="D2:F143" totalsRowShown="0" headerRowDxfId="32" dataDxfId="31">
  <autoFilter ref="D2:F143" xr:uid="{4DB841BC-9380-4FA5-8ECB-0DB23A6E97AE}"/>
  <tableColumns count="3">
    <tableColumn id="1" xr3:uid="{7AED94FF-5314-4FAF-BE34-A0D8F4B7FA82}" name="množství" dataDxfId="30"/>
    <tableColumn id="2" xr3:uid="{85158481-AE3F-4D0A-BF96-E1B6D921054F}" name="jednotková cena [Kč]" dataDxfId="29"/>
    <tableColumn id="3" xr3:uid="{EDDFA92F-2955-4450-BB0F-61A430CA775D}" name="celková cena [Kč]" dataDxfId="28">
      <calculatedColumnFormula>SUM(F4:F4)</calculatedColumnFormula>
    </tableColumn>
  </tableColumns>
  <tableStyleInfo name="TableStyleLight9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BF267E7-031F-4CA5-B3D4-DF4D95ADE82E}" name="Tabulka369121821" displayName="Tabulka369121821" ref="A2:C48" headerRowDxfId="27" dataDxfId="26" totalsRowDxfId="25">
  <autoFilter ref="A2:C48" xr:uid="{DAEE1D7C-42C2-4BE8-941D-F9F9CE6DDD66}"/>
  <tableColumns count="3">
    <tableColumn id="1" xr3:uid="{A1CB5A60-3A5E-451D-88FA-4A9C4C34864E}" name="Ozn. stav. dílu / PČ položky" totalsRowLabel="Celkem" dataDxfId="24" totalsRowDxfId="23"/>
    <tableColumn id="2" xr3:uid="{D2648FD3-0DD0-4B46-9A90-AEE185D22064}" name="Stavební díl / Popis položky" dataDxfId="22" totalsRowDxfId="21"/>
    <tableColumn id="3" xr3:uid="{5006705F-45E0-4521-A7DB-52C74B334C9D}" name="měrná jednotka" totalsRowFunction="count" dataDxfId="20" totalsRowDxfId="19"/>
  </tableColumns>
  <tableStyleInfo name="TableStyleLight8" showFirstColumn="0" showLastColumn="0" showRowStripes="1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A0E4640-015C-45F2-84B7-2A22925C534E}" name="Tabulka4710131922" displayName="Tabulka4710131922" ref="D2:F48" totalsRowShown="0" headerRowDxfId="18" dataDxfId="17">
  <autoFilter ref="D2:F48" xr:uid="{4DB841BC-9380-4FA5-8ECB-0DB23A6E97AE}"/>
  <tableColumns count="3">
    <tableColumn id="1" xr3:uid="{F521FA0D-4A1D-4FB7-B26F-5A7E21DEC926}" name="množství" dataDxfId="16"/>
    <tableColumn id="2" xr3:uid="{BD6BDCED-6247-4ADD-9FC2-D69B873363B8}" name="jednotková cena [Kč]" dataDxfId="15"/>
    <tableColumn id="3" xr3:uid="{30953B99-8EC3-43E9-954F-CB232E3D1CCD}" name="celková cena [Kč]" dataDxfId="14">
      <calculatedColumnFormula>SUM(F4:F4)</calculatedColumnFormula>
    </tableColumn>
  </tableColumns>
  <tableStyleInfo name="TableStyleLight9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F056BD1-742A-46B9-9312-D0ADC4E4E513}" name="Tabulka3691215" displayName="Tabulka3691215" ref="A2:C4" headerRowDxfId="13" dataDxfId="12" totalsRowDxfId="11">
  <autoFilter ref="A2:C4" xr:uid="{DAEE1D7C-42C2-4BE8-941D-F9F9CE6DDD66}"/>
  <tableColumns count="3">
    <tableColumn id="1" xr3:uid="{F1738827-9759-473E-B631-DFF3DA0F9532}" name="Ozn. stav. dílu / PČ položky" totalsRowLabel="Celkem" dataDxfId="10" totalsRowDxfId="9"/>
    <tableColumn id="2" xr3:uid="{B2FFF672-2B97-4EF6-BA71-C592D7CFB2B2}" name="Stavební díl / Popis položky" dataDxfId="8" totalsRowDxfId="7"/>
    <tableColumn id="3" xr3:uid="{2B6D3868-E34F-47B8-AF17-DE9C6AA7204F}" name="měrná jednotka" totalsRowFunction="count" dataDxfId="6" totalsRowDxfId="5"/>
  </tableColumns>
  <tableStyleInfo name="TableStyleLight8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7032EF4-62A4-4F8B-AC02-AD625C5AD618}" name="Tabulka47101316" displayName="Tabulka47101316" ref="D2:F4" totalsRowShown="0" headerRowDxfId="4" dataDxfId="3">
  <autoFilter ref="D2:F4" xr:uid="{4DB841BC-9380-4FA5-8ECB-0DB23A6E97AE}"/>
  <tableColumns count="3">
    <tableColumn id="1" xr3:uid="{221649AC-0830-40AB-8E5B-ED6857540736}" name="množství" dataDxfId="2"/>
    <tableColumn id="2" xr3:uid="{9312D9D1-6AEE-4F7A-93EA-A0A576EE83D5}" name="jednotková cena [Kč]" dataDxfId="1"/>
    <tableColumn id="3" xr3:uid="{9C5C3ACA-0D86-4095-B1D2-CA6B7C873CA7}" name="celková cena [Kč]" dataDxfId="0">
      <calculatedColumnFormula>SUM(F4:F4)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6B3E2-A785-4676-A6D9-C2F8F75E8480}">
  <sheetPr>
    <pageSetUpPr fitToPage="1"/>
  </sheetPr>
  <dimension ref="B2:I35"/>
  <sheetViews>
    <sheetView showGridLines="0" tabSelected="1" topLeftCell="A7" workbookViewId="0">
      <selection activeCell="J10" sqref="J10"/>
    </sheetView>
  </sheetViews>
  <sheetFormatPr defaultRowHeight="15" x14ac:dyDescent="0.25"/>
  <cols>
    <col min="2" max="2" width="16.140625" customWidth="1"/>
    <col min="3" max="5" width="21.7109375" customWidth="1"/>
    <col min="6" max="6" width="14.5703125" customWidth="1"/>
    <col min="7" max="7" width="16.28515625" customWidth="1"/>
    <col min="8" max="8" width="13.42578125" customWidth="1"/>
    <col min="9" max="9" width="18.85546875" customWidth="1"/>
  </cols>
  <sheetData>
    <row r="2" spans="2:9" ht="33.75" x14ac:dyDescent="0.5">
      <c r="B2" s="83" t="s">
        <v>0</v>
      </c>
      <c r="C2" s="84"/>
      <c r="D2" s="84"/>
      <c r="E2" s="85"/>
    </row>
    <row r="3" spans="2:9" x14ac:dyDescent="0.25">
      <c r="B3" s="1"/>
      <c r="C3" s="2"/>
      <c r="D3" s="2"/>
      <c r="E3" s="3"/>
    </row>
    <row r="4" spans="2:9" x14ac:dyDescent="0.25">
      <c r="B4" s="4" t="s">
        <v>1</v>
      </c>
      <c r="C4" s="86" t="s">
        <v>122</v>
      </c>
      <c r="D4" s="86"/>
      <c r="E4" s="87"/>
    </row>
    <row r="5" spans="2:9" x14ac:dyDescent="0.25">
      <c r="B5" s="1"/>
      <c r="C5" s="2"/>
      <c r="D5" s="2"/>
      <c r="E5" s="3"/>
    </row>
    <row r="6" spans="2:9" x14ac:dyDescent="0.25">
      <c r="B6" s="1" t="s">
        <v>2</v>
      </c>
      <c r="C6" s="76" t="s">
        <v>3</v>
      </c>
      <c r="D6" s="88"/>
      <c r="E6" s="89"/>
    </row>
    <row r="7" spans="2:9" x14ac:dyDescent="0.25">
      <c r="B7" s="1" t="s">
        <v>4</v>
      </c>
      <c r="C7" s="76" t="s">
        <v>5</v>
      </c>
      <c r="D7" s="88"/>
      <c r="E7" s="89"/>
    </row>
    <row r="8" spans="2:9" x14ac:dyDescent="0.25">
      <c r="B8" s="1"/>
      <c r="C8" s="2"/>
      <c r="D8" s="2"/>
      <c r="E8" s="3"/>
    </row>
    <row r="9" spans="2:9" x14ac:dyDescent="0.25">
      <c r="B9" s="1"/>
      <c r="C9" s="2"/>
      <c r="D9" s="2"/>
      <c r="E9" s="3"/>
    </row>
    <row r="10" spans="2:9" ht="23.25" x14ac:dyDescent="0.35">
      <c r="B10" s="90" t="s">
        <v>6</v>
      </c>
      <c r="C10" s="91"/>
      <c r="D10" s="92"/>
      <c r="E10" s="93"/>
    </row>
    <row r="11" spans="2:9" ht="18.75" x14ac:dyDescent="0.3">
      <c r="B11" s="5" t="s">
        <v>7</v>
      </c>
      <c r="C11" s="6">
        <v>0.21</v>
      </c>
      <c r="D11" s="77"/>
      <c r="E11" s="78"/>
    </row>
    <row r="12" spans="2:9" x14ac:dyDescent="0.25">
      <c r="B12" s="1"/>
      <c r="C12" s="2"/>
      <c r="D12" s="2"/>
      <c r="E12" s="3"/>
    </row>
    <row r="13" spans="2:9" ht="31.5" x14ac:dyDescent="0.5">
      <c r="B13" s="79" t="s">
        <v>8</v>
      </c>
      <c r="C13" s="80"/>
      <c r="D13" s="81"/>
      <c r="E13" s="82"/>
    </row>
    <row r="15" spans="2:9" ht="30" x14ac:dyDescent="0.25">
      <c r="B15" s="7" t="s">
        <v>9</v>
      </c>
      <c r="C15" s="7" t="s">
        <v>10</v>
      </c>
      <c r="D15" s="7" t="s">
        <v>11</v>
      </c>
      <c r="E15" s="7" t="s">
        <v>12</v>
      </c>
    </row>
    <row r="16" spans="2:9" ht="16.5" customHeight="1" x14ac:dyDescent="0.25">
      <c r="B16" s="8" t="s">
        <v>14</v>
      </c>
      <c r="C16" s="8" t="s">
        <v>140</v>
      </c>
      <c r="D16" s="9">
        <f>'Stavební objekt U1'!F1</f>
        <v>130276953</v>
      </c>
      <c r="E16" s="9">
        <f>D16*C11+D16</f>
        <v>157635113.13</v>
      </c>
      <c r="G16" s="31"/>
      <c r="I16" s="31"/>
    </row>
    <row r="17" spans="2:9" x14ac:dyDescent="0.25">
      <c r="B17" s="8" t="s">
        <v>13</v>
      </c>
      <c r="C17" s="8" t="s">
        <v>141</v>
      </c>
      <c r="D17" s="9">
        <f>'Stavební objekt U2'!F1</f>
        <v>302050105.75</v>
      </c>
      <c r="E17" s="9">
        <f>D17*C11+D17</f>
        <v>365480627.95749998</v>
      </c>
      <c r="G17" s="31"/>
      <c r="I17" s="31"/>
    </row>
    <row r="18" spans="2:9" x14ac:dyDescent="0.25">
      <c r="B18" s="8" t="s">
        <v>81</v>
      </c>
      <c r="C18" s="8" t="s">
        <v>80</v>
      </c>
      <c r="D18" s="9">
        <f>IS!F1</f>
        <v>29441066.210000001</v>
      </c>
      <c r="E18" s="9">
        <f>D18*C11+D18</f>
        <v>35623690.114100002</v>
      </c>
      <c r="G18" s="31"/>
      <c r="I18" s="31"/>
    </row>
    <row r="19" spans="2:9" x14ac:dyDescent="0.25">
      <c r="B19" s="8" t="s">
        <v>78</v>
      </c>
      <c r="C19" s="8" t="s">
        <v>79</v>
      </c>
      <c r="D19" s="9">
        <f>'Vedlejší a ostatní náklady'!F1</f>
        <v>8000000</v>
      </c>
      <c r="E19" s="9">
        <f>D19*C11+D19</f>
        <v>9680000</v>
      </c>
      <c r="I19" s="31"/>
    </row>
    <row r="20" spans="2:9" x14ac:dyDescent="0.25">
      <c r="B20" s="8"/>
      <c r="C20" s="8"/>
      <c r="D20" s="9"/>
      <c r="E20" s="9"/>
    </row>
    <row r="21" spans="2:9" x14ac:dyDescent="0.25">
      <c r="B21" s="10" t="s">
        <v>15</v>
      </c>
      <c r="C21" s="10"/>
      <c r="D21" s="11">
        <f>SUBTOTAL(109,Tabulka13[Celkové výdaje
Cena bez DPH '[CZK']])</f>
        <v>469768124.95999998</v>
      </c>
      <c r="E21" s="11">
        <f>SUBTOTAL(109,Tabulka13[Celkové výdaje
Cena s DPH '[CZK']])</f>
        <v>568419431.20159996</v>
      </c>
    </row>
    <row r="22" spans="2:9" x14ac:dyDescent="0.25">
      <c r="B22" s="33"/>
    </row>
    <row r="24" spans="2:9" x14ac:dyDescent="0.25">
      <c r="B24" s="33" t="s">
        <v>250</v>
      </c>
      <c r="C24" s="31"/>
    </row>
    <row r="25" spans="2:9" x14ac:dyDescent="0.25">
      <c r="B25" s="71" t="s">
        <v>14</v>
      </c>
      <c r="C25" s="71" t="s">
        <v>253</v>
      </c>
      <c r="D25" s="72"/>
      <c r="E25" s="72">
        <v>150000000</v>
      </c>
    </row>
    <row r="26" spans="2:9" x14ac:dyDescent="0.25">
      <c r="F26" s="31"/>
    </row>
    <row r="27" spans="2:9" x14ac:dyDescent="0.25">
      <c r="F27" s="31"/>
    </row>
    <row r="28" spans="2:9" x14ac:dyDescent="0.25">
      <c r="B28" s="33" t="s">
        <v>251</v>
      </c>
      <c r="F28" s="31"/>
    </row>
    <row r="29" spans="2:9" x14ac:dyDescent="0.25">
      <c r="B29" t="s">
        <v>14</v>
      </c>
      <c r="C29" t="s">
        <v>254</v>
      </c>
      <c r="E29" s="31">
        <f>E16-E25</f>
        <v>7635113.1299999952</v>
      </c>
    </row>
    <row r="30" spans="2:9" x14ac:dyDescent="0.25">
      <c r="B30" t="s">
        <v>13</v>
      </c>
      <c r="C30" t="s">
        <v>257</v>
      </c>
      <c r="E30" s="31">
        <f>E17</f>
        <v>365480627.95749998</v>
      </c>
    </row>
    <row r="31" spans="2:9" x14ac:dyDescent="0.25">
      <c r="B31" t="s">
        <v>81</v>
      </c>
      <c r="C31" t="s">
        <v>256</v>
      </c>
      <c r="E31" s="31">
        <f>E18</f>
        <v>35623690.114100002</v>
      </c>
    </row>
    <row r="32" spans="2:9" x14ac:dyDescent="0.25">
      <c r="B32" s="71" t="s">
        <v>78</v>
      </c>
      <c r="C32" s="71" t="s">
        <v>255</v>
      </c>
      <c r="D32" s="71"/>
      <c r="E32" s="75">
        <f>E19</f>
        <v>9680000</v>
      </c>
    </row>
    <row r="33" spans="4:6" x14ac:dyDescent="0.25">
      <c r="E33" s="31">
        <f>SUM(E29:E32)</f>
        <v>418419431.20159996</v>
      </c>
    </row>
    <row r="35" spans="4:6" x14ac:dyDescent="0.25">
      <c r="D35" s="73" t="s">
        <v>249</v>
      </c>
      <c r="E35" s="74">
        <f>E25+E33</f>
        <v>568419431.20159996</v>
      </c>
      <c r="F35" s="33" t="s">
        <v>252</v>
      </c>
    </row>
  </sheetData>
  <mergeCells count="9">
    <mergeCell ref="D11:E11"/>
    <mergeCell ref="B13:C13"/>
    <mergeCell ref="D13:E13"/>
    <mergeCell ref="B2:E2"/>
    <mergeCell ref="C4:E4"/>
    <mergeCell ref="D6:E6"/>
    <mergeCell ref="D7:E7"/>
    <mergeCell ref="B10:C10"/>
    <mergeCell ref="D10:E10"/>
  </mergeCells>
  <pageMargins left="0.25" right="0.25" top="0.75" bottom="0.75" header="0.3" footer="0.3"/>
  <pageSetup scale="6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D35D-51E4-4D93-9D80-2507048A4670}">
  <dimension ref="A1:K293"/>
  <sheetViews>
    <sheetView topLeftCell="A76" zoomScale="85" zoomScaleNormal="85" workbookViewId="0">
      <selection activeCell="G2" sqref="G2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2.42578125" bestFit="1" customWidth="1"/>
    <col min="9" max="9" width="17.85546875" bestFit="1" customWidth="1"/>
    <col min="10" max="10" width="18.42578125" customWidth="1"/>
    <col min="11" max="11" width="14" bestFit="1" customWidth="1"/>
  </cols>
  <sheetData>
    <row r="1" spans="1:11" ht="18.75" x14ac:dyDescent="0.3">
      <c r="A1" s="12" t="s">
        <v>196</v>
      </c>
      <c r="B1" s="13"/>
      <c r="C1" s="14"/>
      <c r="D1" s="94"/>
      <c r="E1" s="94"/>
      <c r="F1" s="15">
        <f>F3+F5+F10+F15+F17+F22+F24+F26+F33+F35+F37+F39+F43+F50+F56+F59+F69+F75+F81+F86+F88+F93+F98+F103+F108+F112+F110</f>
        <v>130276953</v>
      </c>
      <c r="I1" s="31"/>
    </row>
    <row r="2" spans="1:11" ht="30" x14ac:dyDescent="0.25">
      <c r="A2" s="13" t="s">
        <v>16</v>
      </c>
      <c r="B2" s="16" t="s">
        <v>17</v>
      </c>
      <c r="C2" s="17" t="s">
        <v>18</v>
      </c>
      <c r="D2" s="17" t="s">
        <v>19</v>
      </c>
      <c r="E2" s="18" t="s">
        <v>20</v>
      </c>
      <c r="F2" s="17" t="s">
        <v>21</v>
      </c>
      <c r="I2" s="67"/>
    </row>
    <row r="3" spans="1:11" ht="15" customHeight="1" x14ac:dyDescent="0.25">
      <c r="A3" s="19" t="s">
        <v>22</v>
      </c>
      <c r="B3" s="20" t="s">
        <v>23</v>
      </c>
      <c r="C3" s="21"/>
      <c r="D3" s="22"/>
      <c r="E3" s="23"/>
      <c r="F3" s="24">
        <f>SUM(F4:F4)</f>
        <v>50000</v>
      </c>
      <c r="G3" s="32"/>
      <c r="I3" s="31"/>
      <c r="K3" s="31"/>
    </row>
    <row r="4" spans="1:11" ht="15" customHeight="1" x14ac:dyDescent="0.25">
      <c r="A4" s="25"/>
      <c r="B4" s="26" t="s">
        <v>24</v>
      </c>
      <c r="C4" s="27" t="s">
        <v>25</v>
      </c>
      <c r="D4" s="28">
        <v>1</v>
      </c>
      <c r="E4" s="29">
        <v>50000</v>
      </c>
      <c r="F4" s="30">
        <f>Tabulka4[[#This Row],[množství]]*Tabulka4[[#This Row],[jednotková cena '[Kč']]]</f>
        <v>50000</v>
      </c>
      <c r="G4" s="32"/>
    </row>
    <row r="5" spans="1:11" ht="15" customHeight="1" x14ac:dyDescent="0.25">
      <c r="A5" s="19" t="s">
        <v>27</v>
      </c>
      <c r="B5" s="20" t="s">
        <v>28</v>
      </c>
      <c r="C5" s="21"/>
      <c r="D5" s="48"/>
      <c r="E5" s="23"/>
      <c r="F5" s="24">
        <f>SUM(F6:F9)</f>
        <v>1421550</v>
      </c>
      <c r="G5" s="32"/>
      <c r="I5" s="31"/>
      <c r="K5" s="31"/>
    </row>
    <row r="6" spans="1:11" ht="15" customHeight="1" x14ac:dyDescent="0.25">
      <c r="A6" s="39"/>
      <c r="B6" s="40" t="s">
        <v>165</v>
      </c>
      <c r="C6" s="35" t="s">
        <v>34</v>
      </c>
      <c r="D6" s="49">
        <f>2.7*20</f>
        <v>54</v>
      </c>
      <c r="E6" s="50">
        <v>2700</v>
      </c>
      <c r="F6" s="30">
        <f>Tabulka4[[#This Row],[množství]]*Tabulka4[[#This Row],[jednotková cena '[Kč']]]</f>
        <v>145800</v>
      </c>
      <c r="G6" s="32"/>
    </row>
    <row r="7" spans="1:11" ht="15" customHeight="1" x14ac:dyDescent="0.25">
      <c r="A7" s="39"/>
      <c r="B7" s="40" t="s">
        <v>30</v>
      </c>
      <c r="C7" s="35" t="s">
        <v>34</v>
      </c>
      <c r="D7" s="49">
        <f>2.7*75</f>
        <v>202.5</v>
      </c>
      <c r="E7" s="50">
        <v>2700</v>
      </c>
      <c r="F7" s="30">
        <f>Tabulka4[[#This Row],[množství]]*Tabulka4[[#This Row],[jednotková cena '[Kč']]]</f>
        <v>546750</v>
      </c>
      <c r="G7" s="32"/>
    </row>
    <row r="8" spans="1:11" ht="15" customHeight="1" x14ac:dyDescent="0.25">
      <c r="A8" s="39"/>
      <c r="B8" s="40" t="s">
        <v>164</v>
      </c>
      <c r="C8" s="35" t="s">
        <v>34</v>
      </c>
      <c r="D8" s="49">
        <f>2.7*50</f>
        <v>135</v>
      </c>
      <c r="E8" s="50">
        <v>2700</v>
      </c>
      <c r="F8" s="30">
        <f>Tabulka4[[#This Row],[množství]]*Tabulka4[[#This Row],[jednotková cena '[Kč']]]</f>
        <v>364500</v>
      </c>
      <c r="G8" s="32"/>
    </row>
    <row r="9" spans="1:11" ht="15" customHeight="1" x14ac:dyDescent="0.25">
      <c r="A9" s="39"/>
      <c r="B9" s="40" t="s">
        <v>124</v>
      </c>
      <c r="C9" s="35" t="s">
        <v>34</v>
      </c>
      <c r="D9" s="49">
        <f>2.7*50</f>
        <v>135</v>
      </c>
      <c r="E9" s="50">
        <v>2700</v>
      </c>
      <c r="F9" s="30">
        <f>Tabulka4[[#This Row],[množství]]*Tabulka4[[#This Row],[jednotková cena '[Kč']]]</f>
        <v>364500</v>
      </c>
      <c r="G9" s="32"/>
    </row>
    <row r="10" spans="1:11" ht="15" customHeight="1" x14ac:dyDescent="0.25">
      <c r="A10" s="19" t="s">
        <v>36</v>
      </c>
      <c r="B10" s="20" t="s">
        <v>200</v>
      </c>
      <c r="C10" s="21"/>
      <c r="D10" s="48"/>
      <c r="E10" s="23"/>
      <c r="F10" s="24">
        <f>SUM(F11:F14)</f>
        <v>447525</v>
      </c>
      <c r="G10" s="32"/>
      <c r="I10" s="31"/>
      <c r="K10" s="31"/>
    </row>
    <row r="11" spans="1:11" ht="15" customHeight="1" x14ac:dyDescent="0.25">
      <c r="A11" s="39"/>
      <c r="B11" s="40" t="s">
        <v>37</v>
      </c>
      <c r="C11" s="41" t="s">
        <v>29</v>
      </c>
      <c r="D11" s="49">
        <f>2.7*20*2</f>
        <v>108</v>
      </c>
      <c r="E11" s="50">
        <v>1300</v>
      </c>
      <c r="F11" s="46">
        <f>Tabulka4[[#This Row],[množství]]*Tabulka4[[#This Row],[jednotková cena '[Kč']]]</f>
        <v>140400</v>
      </c>
      <c r="G11" s="32"/>
    </row>
    <row r="12" spans="1:11" ht="15" customHeight="1" x14ac:dyDescent="0.25">
      <c r="A12" s="39"/>
      <c r="B12" s="40" t="s">
        <v>38</v>
      </c>
      <c r="C12" s="41" t="s">
        <v>29</v>
      </c>
      <c r="D12" s="49">
        <f>2.7*75/2</f>
        <v>101.25</v>
      </c>
      <c r="E12" s="50">
        <v>1300</v>
      </c>
      <c r="F12" s="30">
        <f>Tabulka4[[#This Row],[množství]]*Tabulka4[[#This Row],[jednotková cena '[Kč']]]</f>
        <v>131625</v>
      </c>
      <c r="G12" s="32"/>
    </row>
    <row r="13" spans="1:11" ht="15" customHeight="1" x14ac:dyDescent="0.25">
      <c r="A13" s="39"/>
      <c r="B13" s="40" t="s">
        <v>125</v>
      </c>
      <c r="C13" s="41" t="s">
        <v>29</v>
      </c>
      <c r="D13" s="49">
        <f>2.7*50/2</f>
        <v>67.5</v>
      </c>
      <c r="E13" s="50">
        <v>1300</v>
      </c>
      <c r="F13" s="30">
        <f>Tabulka4[[#This Row],[množství]]*Tabulka4[[#This Row],[jednotková cena '[Kč']]]</f>
        <v>87750</v>
      </c>
      <c r="G13" s="32"/>
    </row>
    <row r="14" spans="1:11" ht="15" customHeight="1" x14ac:dyDescent="0.25">
      <c r="A14" s="39"/>
      <c r="B14" s="40" t="s">
        <v>126</v>
      </c>
      <c r="C14" s="41" t="s">
        <v>29</v>
      </c>
      <c r="D14" s="49">
        <f>2.7*50/2</f>
        <v>67.5</v>
      </c>
      <c r="E14" s="50">
        <v>1300</v>
      </c>
      <c r="F14" s="30">
        <f>Tabulka4[[#This Row],[množství]]*Tabulka4[[#This Row],[jednotková cena '[Kč']]]</f>
        <v>87750</v>
      </c>
      <c r="G14" s="32"/>
    </row>
    <row r="15" spans="1:11" ht="15" customHeight="1" x14ac:dyDescent="0.25">
      <c r="A15" s="19" t="s">
        <v>39</v>
      </c>
      <c r="B15" s="20" t="s">
        <v>222</v>
      </c>
      <c r="C15" s="21"/>
      <c r="D15" s="48"/>
      <c r="E15" s="23"/>
      <c r="F15" s="24">
        <f>SUM(F16:F16)</f>
        <v>1603000</v>
      </c>
      <c r="G15" s="32"/>
      <c r="I15" s="31"/>
      <c r="K15" s="31"/>
    </row>
    <row r="16" spans="1:11" ht="15" customHeight="1" x14ac:dyDescent="0.25">
      <c r="A16" s="39"/>
      <c r="B16" s="40" t="s">
        <v>194</v>
      </c>
      <c r="C16" s="41" t="s">
        <v>34</v>
      </c>
      <c r="D16" s="49">
        <f>115+515*2</f>
        <v>1145</v>
      </c>
      <c r="E16" s="50">
        <v>1400</v>
      </c>
      <c r="F16" s="30">
        <f>Tabulka4[[#This Row],[množství]]*Tabulka4[[#This Row],[jednotková cena '[Kč']]]</f>
        <v>1603000</v>
      </c>
      <c r="G16" s="32"/>
    </row>
    <row r="17" spans="1:11" ht="15" customHeight="1" x14ac:dyDescent="0.25">
      <c r="A17" s="19" t="s">
        <v>41</v>
      </c>
      <c r="B17" s="20" t="s">
        <v>42</v>
      </c>
      <c r="C17" s="21"/>
      <c r="D17" s="48"/>
      <c r="E17" s="23"/>
      <c r="F17" s="24">
        <f>SUM(F18:F21)</f>
        <v>2508000</v>
      </c>
      <c r="G17" s="32"/>
      <c r="I17" s="31"/>
      <c r="K17" s="31"/>
    </row>
    <row r="18" spans="1:11" ht="15" customHeight="1" x14ac:dyDescent="0.25">
      <c r="A18" s="47"/>
      <c r="B18" s="40" t="s">
        <v>43</v>
      </c>
      <c r="C18" s="41" t="s">
        <v>34</v>
      </c>
      <c r="D18" s="49">
        <v>680</v>
      </c>
      <c r="E18" s="50">
        <v>950</v>
      </c>
      <c r="F18" s="30">
        <f>D18*E18</f>
        <v>646000</v>
      </c>
      <c r="G18" s="32"/>
    </row>
    <row r="19" spans="1:11" ht="15" customHeight="1" x14ac:dyDescent="0.25">
      <c r="A19" s="47"/>
      <c r="B19" s="40" t="s">
        <v>44</v>
      </c>
      <c r="C19" s="41" t="s">
        <v>34</v>
      </c>
      <c r="D19" s="49">
        <v>540</v>
      </c>
      <c r="E19" s="50">
        <v>950</v>
      </c>
      <c r="F19" s="30">
        <f t="shared" ref="F19:F21" si="0">D19*E19</f>
        <v>513000</v>
      </c>
      <c r="G19" s="32"/>
    </row>
    <row r="20" spans="1:11" ht="15" customHeight="1" x14ac:dyDescent="0.25">
      <c r="A20" s="47"/>
      <c r="B20" s="40" t="s">
        <v>127</v>
      </c>
      <c r="C20" s="41" t="s">
        <v>34</v>
      </c>
      <c r="D20" s="49">
        <v>720</v>
      </c>
      <c r="E20" s="50">
        <v>950</v>
      </c>
      <c r="F20" s="30">
        <f t="shared" si="0"/>
        <v>684000</v>
      </c>
      <c r="G20" s="32"/>
    </row>
    <row r="21" spans="1:11" ht="15" customHeight="1" x14ac:dyDescent="0.25">
      <c r="A21" s="47"/>
      <c r="B21" s="40" t="s">
        <v>128</v>
      </c>
      <c r="C21" s="41" t="s">
        <v>34</v>
      </c>
      <c r="D21" s="49">
        <v>700</v>
      </c>
      <c r="E21" s="50">
        <v>950</v>
      </c>
      <c r="F21" s="30">
        <f t="shared" si="0"/>
        <v>665000</v>
      </c>
      <c r="G21" s="32"/>
    </row>
    <row r="22" spans="1:11" ht="15" customHeight="1" x14ac:dyDescent="0.25">
      <c r="A22" s="19" t="s">
        <v>45</v>
      </c>
      <c r="B22" s="20" t="s">
        <v>46</v>
      </c>
      <c r="C22" s="21"/>
      <c r="D22" s="48"/>
      <c r="E22" s="23"/>
      <c r="F22" s="24">
        <f>SUM(F23:F23)</f>
        <v>600000</v>
      </c>
      <c r="G22" s="32"/>
      <c r="I22" s="31"/>
      <c r="K22" s="31"/>
    </row>
    <row r="23" spans="1:11" ht="15" customHeight="1" x14ac:dyDescent="0.25">
      <c r="A23" s="47"/>
      <c r="B23" s="40" t="s">
        <v>46</v>
      </c>
      <c r="C23" s="41" t="s">
        <v>29</v>
      </c>
      <c r="D23" s="49">
        <v>1</v>
      </c>
      <c r="E23" s="50">
        <v>600000</v>
      </c>
      <c r="F23" s="30">
        <f>Tabulka4[[#This Row],[množství]]*Tabulka4[[#This Row],[jednotková cena '[Kč']]]</f>
        <v>600000</v>
      </c>
      <c r="G23" s="32"/>
    </row>
    <row r="24" spans="1:11" ht="15" customHeight="1" x14ac:dyDescent="0.25">
      <c r="A24" s="19" t="s">
        <v>47</v>
      </c>
      <c r="B24" s="20" t="s">
        <v>48</v>
      </c>
      <c r="C24" s="21"/>
      <c r="D24" s="48"/>
      <c r="E24" s="23"/>
      <c r="F24" s="24">
        <f>SUM(F25:F25)</f>
        <v>80000</v>
      </c>
      <c r="G24" s="32"/>
      <c r="I24" s="31"/>
      <c r="K24" s="31"/>
    </row>
    <row r="25" spans="1:11" ht="15" customHeight="1" x14ac:dyDescent="0.25">
      <c r="A25" s="39"/>
      <c r="B25" s="40" t="s">
        <v>49</v>
      </c>
      <c r="C25" s="41" t="s">
        <v>29</v>
      </c>
      <c r="D25" s="49">
        <v>1</v>
      </c>
      <c r="E25" s="50">
        <v>80000</v>
      </c>
      <c r="F25" s="30">
        <f>Tabulka4[[#This Row],[množství]]*Tabulka4[[#This Row],[jednotková cena '[Kč']]]</f>
        <v>80000</v>
      </c>
    </row>
    <row r="26" spans="1:11" ht="15" customHeight="1" x14ac:dyDescent="0.25">
      <c r="A26" s="19" t="s">
        <v>50</v>
      </c>
      <c r="B26" s="20" t="s">
        <v>51</v>
      </c>
      <c r="C26" s="21"/>
      <c r="D26" s="48"/>
      <c r="E26" s="23"/>
      <c r="F26" s="24">
        <f>SUM(F27:F32)</f>
        <v>1877230</v>
      </c>
    </row>
    <row r="27" spans="1:11" ht="15" customHeight="1" x14ac:dyDescent="0.25">
      <c r="A27" s="47"/>
      <c r="B27" s="40" t="s">
        <v>129</v>
      </c>
      <c r="C27" s="41" t="s">
        <v>25</v>
      </c>
      <c r="D27" s="49">
        <f>2.6*0.15*(200+60+100)</f>
        <v>140.4</v>
      </c>
      <c r="E27" s="50">
        <v>1200</v>
      </c>
      <c r="F27" s="30">
        <f t="shared" ref="F27:F29" si="1">D27*E27</f>
        <v>168480</v>
      </c>
    </row>
    <row r="28" spans="1:11" ht="15" customHeight="1" x14ac:dyDescent="0.25">
      <c r="A28" s="47"/>
      <c r="B28" s="40" t="s">
        <v>130</v>
      </c>
      <c r="C28" s="41" t="s">
        <v>34</v>
      </c>
      <c r="D28" s="49">
        <f>680+540+720+700</f>
        <v>2640</v>
      </c>
      <c r="E28" s="50">
        <v>500</v>
      </c>
      <c r="F28" s="30">
        <f>D28*E28</f>
        <v>1320000</v>
      </c>
    </row>
    <row r="29" spans="1:11" ht="15" customHeight="1" x14ac:dyDescent="0.25">
      <c r="A29" s="47"/>
      <c r="B29" s="40" t="s">
        <v>169</v>
      </c>
      <c r="C29" s="41" t="s">
        <v>163</v>
      </c>
      <c r="D29" s="49">
        <f>43+25+68+22</f>
        <v>158</v>
      </c>
      <c r="E29" s="50">
        <v>1000</v>
      </c>
      <c r="F29" s="30">
        <f t="shared" si="1"/>
        <v>158000</v>
      </c>
    </row>
    <row r="30" spans="1:11" ht="15" customHeight="1" x14ac:dyDescent="0.25">
      <c r="A30" s="47"/>
      <c r="B30" s="40" t="s">
        <v>170</v>
      </c>
      <c r="C30" s="41" t="s">
        <v>163</v>
      </c>
      <c r="D30" s="49">
        <f>3+2+2</f>
        <v>7</v>
      </c>
      <c r="E30" s="50">
        <v>400</v>
      </c>
      <c r="F30" s="30">
        <f>D30*E30</f>
        <v>2800</v>
      </c>
    </row>
    <row r="31" spans="1:11" ht="15" customHeight="1" x14ac:dyDescent="0.25">
      <c r="A31" s="47"/>
      <c r="B31" s="40" t="s">
        <v>171</v>
      </c>
      <c r="C31" s="41" t="s">
        <v>163</v>
      </c>
      <c r="D31" s="49">
        <f>55+28+56+25</f>
        <v>164</v>
      </c>
      <c r="E31" s="50">
        <v>1250</v>
      </c>
      <c r="F31" s="30">
        <f>D31*E31</f>
        <v>205000</v>
      </c>
    </row>
    <row r="32" spans="1:11" ht="15" customHeight="1" x14ac:dyDescent="0.25">
      <c r="A32" s="47"/>
      <c r="B32" s="40" t="s">
        <v>172</v>
      </c>
      <c r="C32" s="41" t="s">
        <v>25</v>
      </c>
      <c r="D32" s="49">
        <f>(3*3.4)*0.3*3</f>
        <v>9.18</v>
      </c>
      <c r="E32" s="50">
        <v>2500</v>
      </c>
      <c r="F32" s="30">
        <f>D32*E32</f>
        <v>22950</v>
      </c>
    </row>
    <row r="33" spans="1:11" ht="15" customHeight="1" x14ac:dyDescent="0.25">
      <c r="A33" s="19" t="s">
        <v>52</v>
      </c>
      <c r="B33" s="20" t="s">
        <v>91</v>
      </c>
      <c r="C33" s="21"/>
      <c r="D33" s="48"/>
      <c r="E33" s="23"/>
      <c r="F33" s="24">
        <f>SUM(F34:F34)</f>
        <v>3224000</v>
      </c>
      <c r="K33" s="31"/>
    </row>
    <row r="34" spans="1:11" ht="15" customHeight="1" x14ac:dyDescent="0.25">
      <c r="A34" s="47"/>
      <c r="B34" s="40" t="s">
        <v>53</v>
      </c>
      <c r="C34" s="41" t="s">
        <v>29</v>
      </c>
      <c r="D34" s="49">
        <v>1</v>
      </c>
      <c r="E34" s="50">
        <v>3224000</v>
      </c>
      <c r="F34" s="30">
        <f>Tabulka4[[#This Row],[množství]]*Tabulka4[[#This Row],[jednotková cena '[Kč']]]</f>
        <v>3224000</v>
      </c>
    </row>
    <row r="35" spans="1:11" ht="15" customHeight="1" x14ac:dyDescent="0.25">
      <c r="A35" s="19">
        <v>711</v>
      </c>
      <c r="B35" s="20" t="s">
        <v>54</v>
      </c>
      <c r="C35" s="21"/>
      <c r="D35" s="48"/>
      <c r="E35" s="23"/>
      <c r="F35" s="24">
        <f>SUM(F36:F36)</f>
        <v>50000</v>
      </c>
      <c r="K35" s="32"/>
    </row>
    <row r="36" spans="1:11" ht="15" customHeight="1" x14ac:dyDescent="0.25">
      <c r="A36" s="39"/>
      <c r="B36" s="40" t="s">
        <v>166</v>
      </c>
      <c r="C36" s="41" t="s">
        <v>29</v>
      </c>
      <c r="D36" s="49">
        <v>1</v>
      </c>
      <c r="E36" s="50">
        <v>50000</v>
      </c>
      <c r="F36" s="30">
        <f>Tabulka4[[#This Row],[množství]]*Tabulka4[[#This Row],[jednotková cena '[Kč']]]</f>
        <v>50000</v>
      </c>
    </row>
    <row r="37" spans="1:11" ht="15" customHeight="1" x14ac:dyDescent="0.25">
      <c r="A37" s="19">
        <v>714</v>
      </c>
      <c r="B37" s="20" t="s">
        <v>167</v>
      </c>
      <c r="C37" s="21"/>
      <c r="D37" s="48"/>
      <c r="E37" s="23"/>
      <c r="F37" s="24">
        <f>SUM(F38:F38)</f>
        <v>170000</v>
      </c>
    </row>
    <row r="38" spans="1:11" ht="15" customHeight="1" x14ac:dyDescent="0.25">
      <c r="A38" s="47"/>
      <c r="B38" s="40" t="s">
        <v>57</v>
      </c>
      <c r="C38" s="41" t="s">
        <v>29</v>
      </c>
      <c r="D38" s="49">
        <v>1</v>
      </c>
      <c r="E38" s="50">
        <v>170000</v>
      </c>
      <c r="F38" s="30">
        <f>Tabulka4[[#This Row],[množství]]*Tabulka4[[#This Row],[jednotková cena '[Kč']]]</f>
        <v>170000</v>
      </c>
    </row>
    <row r="39" spans="1:11" ht="30" customHeight="1" x14ac:dyDescent="0.25">
      <c r="A39" s="19">
        <v>721</v>
      </c>
      <c r="B39" s="20" t="s">
        <v>58</v>
      </c>
      <c r="C39" s="21"/>
      <c r="D39" s="48"/>
      <c r="E39" s="23"/>
      <c r="F39" s="24">
        <f>SUM(F40:F42)</f>
        <v>5940000</v>
      </c>
    </row>
    <row r="40" spans="1:11" ht="15" customHeight="1" x14ac:dyDescent="0.25">
      <c r="A40" s="47"/>
      <c r="B40" s="40" t="s">
        <v>174</v>
      </c>
      <c r="C40" s="41" t="s">
        <v>29</v>
      </c>
      <c r="D40" s="49">
        <v>1</v>
      </c>
      <c r="E40" s="50">
        <v>2450000</v>
      </c>
      <c r="F40" s="30">
        <f>Tabulka4[[#This Row],[množství]]*Tabulka4[[#This Row],[jednotková cena '[Kč']]]</f>
        <v>2450000</v>
      </c>
    </row>
    <row r="41" spans="1:11" ht="15" customHeight="1" x14ac:dyDescent="0.25">
      <c r="A41" s="47"/>
      <c r="B41" s="40" t="s">
        <v>175</v>
      </c>
      <c r="C41" s="41" t="s">
        <v>29</v>
      </c>
      <c r="D41" s="49">
        <v>1</v>
      </c>
      <c r="E41" s="50">
        <v>1950000</v>
      </c>
      <c r="F41" s="30">
        <f>Tabulka4[[#This Row],[množství]]*Tabulka4[[#This Row],[jednotková cena '[Kč']]]</f>
        <v>1950000</v>
      </c>
    </row>
    <row r="42" spans="1:11" ht="15" customHeight="1" x14ac:dyDescent="0.25">
      <c r="A42" s="47"/>
      <c r="B42" s="40" t="s">
        <v>176</v>
      </c>
      <c r="C42" s="41" t="s">
        <v>29</v>
      </c>
      <c r="D42" s="49">
        <v>1</v>
      </c>
      <c r="E42" s="50">
        <v>1540000</v>
      </c>
      <c r="F42" s="30">
        <f>Tabulka4[[#This Row],[množství]]*Tabulka4[[#This Row],[jednotková cena '[Kč']]]</f>
        <v>1540000</v>
      </c>
    </row>
    <row r="43" spans="1:11" ht="15" customHeight="1" x14ac:dyDescent="0.25">
      <c r="A43" s="19">
        <v>731</v>
      </c>
      <c r="B43" s="20" t="s">
        <v>145</v>
      </c>
      <c r="C43" s="21"/>
      <c r="D43" s="48"/>
      <c r="E43" s="23"/>
      <c r="F43" s="24">
        <f>SUM(F44:F49)</f>
        <v>5544000</v>
      </c>
    </row>
    <row r="44" spans="1:11" ht="15" customHeight="1" x14ac:dyDescent="0.25">
      <c r="A44" s="39"/>
      <c r="B44" s="40" t="s">
        <v>142</v>
      </c>
      <c r="C44" s="41" t="s">
        <v>29</v>
      </c>
      <c r="D44" s="49">
        <v>1</v>
      </c>
      <c r="E44" s="50">
        <v>2462000</v>
      </c>
      <c r="F44" s="30">
        <f>Tabulka4[[#This Row],[množství]]*Tabulka4[[#This Row],[jednotková cena '[Kč']]]</f>
        <v>2462000</v>
      </c>
    </row>
    <row r="45" spans="1:11" ht="15" customHeight="1" x14ac:dyDescent="0.25">
      <c r="A45" s="39"/>
      <c r="B45" s="40" t="s">
        <v>137</v>
      </c>
      <c r="C45" s="41" t="s">
        <v>29</v>
      </c>
      <c r="D45" s="49">
        <v>1</v>
      </c>
      <c r="E45" s="50">
        <v>966000</v>
      </c>
      <c r="F45" s="30">
        <f>Tabulka4[[#This Row],[množství]]*Tabulka4[[#This Row],[jednotková cena '[Kč']]]</f>
        <v>966000</v>
      </c>
    </row>
    <row r="46" spans="1:11" ht="15" customHeight="1" x14ac:dyDescent="0.25">
      <c r="A46" s="39"/>
      <c r="B46" s="40" t="s">
        <v>143</v>
      </c>
      <c r="C46" s="41" t="s">
        <v>29</v>
      </c>
      <c r="D46" s="49">
        <v>1</v>
      </c>
      <c r="E46" s="50">
        <v>1529000</v>
      </c>
      <c r="F46" s="30">
        <f>Tabulka4[[#This Row],[množství]]*Tabulka4[[#This Row],[jednotková cena '[Kč']]]</f>
        <v>1529000</v>
      </c>
    </row>
    <row r="47" spans="1:11" ht="15" customHeight="1" x14ac:dyDescent="0.25">
      <c r="A47" s="39"/>
      <c r="B47" s="40" t="s">
        <v>144</v>
      </c>
      <c r="C47" s="41" t="s">
        <v>29</v>
      </c>
      <c r="D47" s="49">
        <v>1</v>
      </c>
      <c r="E47" s="50">
        <v>172000</v>
      </c>
      <c r="F47" s="30">
        <f>Tabulka4[[#This Row],[množství]]*Tabulka4[[#This Row],[jednotková cena '[Kč']]]</f>
        <v>172000</v>
      </c>
    </row>
    <row r="48" spans="1:11" ht="15" customHeight="1" x14ac:dyDescent="0.25">
      <c r="A48" s="39"/>
      <c r="B48" s="40" t="s">
        <v>138</v>
      </c>
      <c r="C48" s="41" t="s">
        <v>29</v>
      </c>
      <c r="D48" s="49">
        <v>1</v>
      </c>
      <c r="E48" s="50">
        <v>235000</v>
      </c>
      <c r="F48" s="30">
        <f>Tabulka4[[#This Row],[množství]]*Tabulka4[[#This Row],[jednotková cena '[Kč']]]</f>
        <v>235000</v>
      </c>
    </row>
    <row r="49" spans="1:6" ht="15" customHeight="1" x14ac:dyDescent="0.25">
      <c r="A49" s="39"/>
      <c r="B49" s="40" t="s">
        <v>139</v>
      </c>
      <c r="C49" s="41" t="s">
        <v>29</v>
      </c>
      <c r="D49" s="49">
        <v>1</v>
      </c>
      <c r="E49" s="50">
        <v>180000</v>
      </c>
      <c r="F49" s="30">
        <f>Tabulka4[[#This Row],[množství]]*Tabulka4[[#This Row],[jednotková cena '[Kč']]]</f>
        <v>180000</v>
      </c>
    </row>
    <row r="50" spans="1:6" ht="15" customHeight="1" x14ac:dyDescent="0.25">
      <c r="A50" s="19">
        <v>741</v>
      </c>
      <c r="B50" s="20" t="s">
        <v>59</v>
      </c>
      <c r="C50" s="21"/>
      <c r="D50" s="48"/>
      <c r="E50" s="23"/>
      <c r="F50" s="24">
        <f>SUM(F51:F55)</f>
        <v>41290000</v>
      </c>
    </row>
    <row r="51" spans="1:6" ht="15" customHeight="1" x14ac:dyDescent="0.25">
      <c r="A51" s="47"/>
      <c r="B51" s="40" t="s">
        <v>177</v>
      </c>
      <c r="C51" s="41" t="s">
        <v>29</v>
      </c>
      <c r="D51" s="49">
        <v>1</v>
      </c>
      <c r="E51" s="50">
        <v>3690000</v>
      </c>
      <c r="F51" s="30">
        <f>Tabulka4[[#This Row],[jednotková cena '[Kč']]]*Tabulka4[[#This Row],[množství]]</f>
        <v>3690000</v>
      </c>
    </row>
    <row r="52" spans="1:6" ht="15" customHeight="1" x14ac:dyDescent="0.25">
      <c r="A52" s="39"/>
      <c r="B52" s="40" t="s">
        <v>178</v>
      </c>
      <c r="C52" s="41" t="s">
        <v>29</v>
      </c>
      <c r="D52" s="49">
        <v>1</v>
      </c>
      <c r="E52" s="50">
        <v>14500000</v>
      </c>
      <c r="F52" s="30">
        <f>Tabulka4[[#This Row],[jednotková cena '[Kč']]]*Tabulka4[[#This Row],[množství]]</f>
        <v>14500000</v>
      </c>
    </row>
    <row r="53" spans="1:6" ht="15" customHeight="1" x14ac:dyDescent="0.25">
      <c r="A53" s="39"/>
      <c r="B53" s="40" t="s">
        <v>179</v>
      </c>
      <c r="C53" s="41" t="s">
        <v>29</v>
      </c>
      <c r="D53" s="49">
        <v>1</v>
      </c>
      <c r="E53" s="50">
        <v>3600000</v>
      </c>
      <c r="F53" s="30">
        <f>Tabulka4[[#This Row],[jednotková cena '[Kč']]]*Tabulka4[[#This Row],[množství]]</f>
        <v>3600000</v>
      </c>
    </row>
    <row r="54" spans="1:6" ht="15" customHeight="1" x14ac:dyDescent="0.25">
      <c r="A54" s="39"/>
      <c r="B54" s="40" t="s">
        <v>180</v>
      </c>
      <c r="C54" s="41" t="s">
        <v>29</v>
      </c>
      <c r="D54" s="49">
        <v>1</v>
      </c>
      <c r="E54" s="50">
        <v>15500000</v>
      </c>
      <c r="F54" s="30">
        <f>Tabulka4[[#This Row],[jednotková cena '[Kč']]]*Tabulka4[[#This Row],[množství]]</f>
        <v>15500000</v>
      </c>
    </row>
    <row r="55" spans="1:6" ht="15" customHeight="1" x14ac:dyDescent="0.25">
      <c r="A55" s="39"/>
      <c r="B55" s="40" t="s">
        <v>181</v>
      </c>
      <c r="C55" s="41" t="s">
        <v>29</v>
      </c>
      <c r="D55" s="49">
        <v>1</v>
      </c>
      <c r="E55" s="50">
        <v>4000000</v>
      </c>
      <c r="F55" s="30">
        <f>Tabulka4[[#This Row],[jednotková cena '[Kč']]]*Tabulka4[[#This Row],[množství]]</f>
        <v>4000000</v>
      </c>
    </row>
    <row r="56" spans="1:6" ht="15" customHeight="1" x14ac:dyDescent="0.25">
      <c r="A56" s="19">
        <v>742</v>
      </c>
      <c r="B56" s="20" t="s">
        <v>60</v>
      </c>
      <c r="C56" s="21"/>
      <c r="D56" s="48"/>
      <c r="E56" s="23"/>
      <c r="F56" s="24">
        <f>SUM(F57:F58)</f>
        <v>4350000</v>
      </c>
    </row>
    <row r="57" spans="1:6" ht="15" customHeight="1" x14ac:dyDescent="0.25">
      <c r="A57" s="47"/>
      <c r="B57" s="40" t="s">
        <v>61</v>
      </c>
      <c r="C57" s="41" t="s">
        <v>29</v>
      </c>
      <c r="D57" s="49">
        <v>1</v>
      </c>
      <c r="E57" s="50">
        <v>2500000</v>
      </c>
      <c r="F57" s="30">
        <f>Tabulka4[[#This Row],[množství]]*Tabulka4[[#This Row],[jednotková cena '[Kč']]]</f>
        <v>2500000</v>
      </c>
    </row>
    <row r="58" spans="1:6" ht="15" customHeight="1" x14ac:dyDescent="0.25">
      <c r="A58" s="47"/>
      <c r="B58" s="40" t="s">
        <v>63</v>
      </c>
      <c r="C58" s="41" t="s">
        <v>29</v>
      </c>
      <c r="D58" s="49">
        <v>1</v>
      </c>
      <c r="E58" s="50">
        <v>1850000</v>
      </c>
      <c r="F58" s="30">
        <f>Tabulka4[[#This Row],[množství]]*Tabulka4[[#This Row],[jednotková cena '[Kč']]]</f>
        <v>1850000</v>
      </c>
    </row>
    <row r="59" spans="1:6" ht="15" customHeight="1" x14ac:dyDescent="0.25">
      <c r="A59" s="19">
        <v>751</v>
      </c>
      <c r="B59" s="20" t="s">
        <v>64</v>
      </c>
      <c r="C59" s="21"/>
      <c r="D59" s="48"/>
      <c r="E59" s="23"/>
      <c r="F59" s="24">
        <f>SUM(F60:F68)</f>
        <v>7000000</v>
      </c>
    </row>
    <row r="60" spans="1:6" ht="15" customHeight="1" x14ac:dyDescent="0.25">
      <c r="A60" s="39"/>
      <c r="B60" s="40" t="s">
        <v>182</v>
      </c>
      <c r="C60" s="41" t="s">
        <v>29</v>
      </c>
      <c r="D60" s="49">
        <v>1</v>
      </c>
      <c r="E60" s="50">
        <v>250000</v>
      </c>
      <c r="F60" s="30">
        <f>Tabulka4[[#This Row],[množství]]*Tabulka4[[#This Row],[jednotková cena '[Kč']]]</f>
        <v>250000</v>
      </c>
    </row>
    <row r="61" spans="1:6" ht="15" customHeight="1" x14ac:dyDescent="0.25">
      <c r="A61" s="39"/>
      <c r="B61" s="40" t="s">
        <v>183</v>
      </c>
      <c r="C61" s="41" t="s">
        <v>29</v>
      </c>
      <c r="D61" s="49">
        <v>1</v>
      </c>
      <c r="E61" s="50">
        <f>430000</f>
        <v>430000</v>
      </c>
      <c r="F61" s="30">
        <f>Tabulka4[[#This Row],[množství]]*Tabulka4[[#This Row],[jednotková cena '[Kč']]]</f>
        <v>430000</v>
      </c>
    </row>
    <row r="62" spans="1:6" ht="15" customHeight="1" x14ac:dyDescent="0.25">
      <c r="A62" s="39"/>
      <c r="B62" s="40" t="s">
        <v>184</v>
      </c>
      <c r="C62" s="41" t="s">
        <v>29</v>
      </c>
      <c r="D62" s="49">
        <v>1</v>
      </c>
      <c r="E62" s="50">
        <f>430000</f>
        <v>430000</v>
      </c>
      <c r="F62" s="30">
        <f>Tabulka4[[#This Row],[množství]]*Tabulka4[[#This Row],[jednotková cena '[Kč']]]</f>
        <v>430000</v>
      </c>
    </row>
    <row r="63" spans="1:6" ht="15" customHeight="1" x14ac:dyDescent="0.25">
      <c r="A63" s="39"/>
      <c r="B63" s="40" t="s">
        <v>185</v>
      </c>
      <c r="C63" s="41" t="s">
        <v>29</v>
      </c>
      <c r="D63" s="49">
        <v>1</v>
      </c>
      <c r="E63" s="50">
        <f>430000</f>
        <v>430000</v>
      </c>
      <c r="F63" s="30">
        <f>Tabulka4[[#This Row],[množství]]*Tabulka4[[#This Row],[jednotková cena '[Kč']]]</f>
        <v>430000</v>
      </c>
    </row>
    <row r="64" spans="1:6" ht="15" customHeight="1" x14ac:dyDescent="0.25">
      <c r="A64" s="39"/>
      <c r="B64" s="40" t="s">
        <v>186</v>
      </c>
      <c r="C64" s="41" t="s">
        <v>29</v>
      </c>
      <c r="D64" s="49">
        <v>1</v>
      </c>
      <c r="E64" s="50">
        <v>430000</v>
      </c>
      <c r="F64" s="30">
        <f>Tabulka4[[#This Row],[množství]]*Tabulka4[[#This Row],[jednotková cena '[Kč']]]</f>
        <v>430000</v>
      </c>
    </row>
    <row r="65" spans="1:6" ht="15" customHeight="1" x14ac:dyDescent="0.25">
      <c r="A65" s="39"/>
      <c r="B65" s="40" t="s">
        <v>187</v>
      </c>
      <c r="C65" s="41" t="s">
        <v>29</v>
      </c>
      <c r="D65" s="49">
        <v>1</v>
      </c>
      <c r="E65" s="50">
        <v>70000</v>
      </c>
      <c r="F65" s="30">
        <f>Tabulka4[[#This Row],[množství]]*Tabulka4[[#This Row],[jednotková cena '[Kč']]]</f>
        <v>70000</v>
      </c>
    </row>
    <row r="66" spans="1:6" ht="15" customHeight="1" x14ac:dyDescent="0.25">
      <c r="A66" s="39"/>
      <c r="B66" s="40" t="s">
        <v>188</v>
      </c>
      <c r="C66" s="41" t="s">
        <v>29</v>
      </c>
      <c r="D66" s="49">
        <v>1</v>
      </c>
      <c r="E66" s="50">
        <v>4480000</v>
      </c>
      <c r="F66" s="30">
        <f>Tabulka4[[#This Row],[množství]]*Tabulka4[[#This Row],[jednotková cena '[Kč']]]</f>
        <v>4480000</v>
      </c>
    </row>
    <row r="67" spans="1:6" ht="15" customHeight="1" x14ac:dyDescent="0.25">
      <c r="A67" s="39"/>
      <c r="B67" s="40" t="s">
        <v>189</v>
      </c>
      <c r="C67" s="41" t="s">
        <v>29</v>
      </c>
      <c r="D67" s="49">
        <v>1</v>
      </c>
      <c r="E67" s="50">
        <v>250000</v>
      </c>
      <c r="F67" s="30">
        <f>Tabulka4[[#This Row],[množství]]*Tabulka4[[#This Row],[jednotková cena '[Kč']]]</f>
        <v>250000</v>
      </c>
    </row>
    <row r="68" spans="1:6" ht="15" customHeight="1" x14ac:dyDescent="0.25">
      <c r="A68" s="39"/>
      <c r="B68" s="40" t="s">
        <v>87</v>
      </c>
      <c r="C68" s="41" t="s">
        <v>29</v>
      </c>
      <c r="D68" s="49">
        <v>1</v>
      </c>
      <c r="E68" s="50">
        <v>230000</v>
      </c>
      <c r="F68" s="30">
        <f>Tabulka4[[#This Row],[množství]]*Tabulka4[[#This Row],[jednotková cena '[Kč']]]</f>
        <v>230000</v>
      </c>
    </row>
    <row r="69" spans="1:6" ht="15" customHeight="1" x14ac:dyDescent="0.25">
      <c r="A69" s="19">
        <v>761</v>
      </c>
      <c r="B69" s="20" t="s">
        <v>62</v>
      </c>
      <c r="C69" s="21"/>
      <c r="D69" s="48"/>
      <c r="E69" s="23"/>
      <c r="F69" s="24">
        <f t="shared" ref="F69" si="2">SUM(F70:F74)</f>
        <v>5508000</v>
      </c>
    </row>
    <row r="70" spans="1:6" ht="15" customHeight="1" x14ac:dyDescent="0.25">
      <c r="A70" s="39"/>
      <c r="B70" s="40" t="s">
        <v>82</v>
      </c>
      <c r="C70" s="41" t="s">
        <v>29</v>
      </c>
      <c r="D70" s="49">
        <v>1</v>
      </c>
      <c r="E70" s="50">
        <v>1500000</v>
      </c>
      <c r="F70" s="30">
        <f>Tabulka4[[#This Row],[množství]]*Tabulka4[[#This Row],[jednotková cena '[Kč']]]</f>
        <v>1500000</v>
      </c>
    </row>
    <row r="71" spans="1:6" ht="15" customHeight="1" x14ac:dyDescent="0.25">
      <c r="A71" s="39"/>
      <c r="B71" s="40" t="s">
        <v>83</v>
      </c>
      <c r="C71" s="41" t="s">
        <v>29</v>
      </c>
      <c r="D71" s="49">
        <v>1</v>
      </c>
      <c r="E71" s="50">
        <v>1200000</v>
      </c>
      <c r="F71" s="30">
        <f>Tabulka4[[#This Row],[množství]]*Tabulka4[[#This Row],[jednotková cena '[Kč']]]</f>
        <v>1200000</v>
      </c>
    </row>
    <row r="72" spans="1:6" ht="15" customHeight="1" x14ac:dyDescent="0.25">
      <c r="A72" s="39"/>
      <c r="B72" s="40" t="s">
        <v>84</v>
      </c>
      <c r="C72" s="41" t="s">
        <v>29</v>
      </c>
      <c r="D72" s="49">
        <v>1</v>
      </c>
      <c r="E72" s="50">
        <v>800000</v>
      </c>
      <c r="F72" s="30">
        <f>Tabulka4[[#This Row],[množství]]*Tabulka4[[#This Row],[jednotková cena '[Kč']]]</f>
        <v>800000</v>
      </c>
    </row>
    <row r="73" spans="1:6" ht="15" customHeight="1" x14ac:dyDescent="0.25">
      <c r="A73" s="39"/>
      <c r="B73" s="40" t="s">
        <v>85</v>
      </c>
      <c r="C73" s="41" t="s">
        <v>29</v>
      </c>
      <c r="D73" s="49">
        <v>1</v>
      </c>
      <c r="E73" s="50">
        <v>1200000</v>
      </c>
      <c r="F73" s="30">
        <f>Tabulka4[[#This Row],[množství]]*Tabulka4[[#This Row],[jednotková cena '[Kč']]]</f>
        <v>1200000</v>
      </c>
    </row>
    <row r="74" spans="1:6" ht="15" customHeight="1" x14ac:dyDescent="0.25">
      <c r="A74" s="39"/>
      <c r="B74" s="40" t="s">
        <v>86</v>
      </c>
      <c r="C74" s="41" t="s">
        <v>29</v>
      </c>
      <c r="D74" s="49">
        <v>1</v>
      </c>
      <c r="E74" s="50">
        <v>808000</v>
      </c>
      <c r="F74" s="30">
        <f>Tabulka4[[#This Row],[množství]]*Tabulka4[[#This Row],[jednotková cena '[Kč']]]</f>
        <v>808000</v>
      </c>
    </row>
    <row r="75" spans="1:6" ht="15" customHeight="1" x14ac:dyDescent="0.25">
      <c r="A75" s="19">
        <v>762</v>
      </c>
      <c r="B75" s="20" t="s">
        <v>65</v>
      </c>
      <c r="C75" s="21"/>
      <c r="D75" s="48"/>
      <c r="E75" s="23"/>
      <c r="F75" s="24">
        <f>SUM(F76:F80)</f>
        <v>8272000</v>
      </c>
    </row>
    <row r="76" spans="1:6" ht="15" customHeight="1" x14ac:dyDescent="0.25">
      <c r="A76" s="47"/>
      <c r="B76" s="40" t="s">
        <v>142</v>
      </c>
      <c r="C76" s="41" t="s">
        <v>29</v>
      </c>
      <c r="D76" s="49">
        <v>1</v>
      </c>
      <c r="E76" s="50">
        <v>4800000</v>
      </c>
      <c r="F76" s="30">
        <f>Tabulka4[[#This Row],[množství]]*Tabulka4[[#This Row],[jednotková cena '[Kč']]]</f>
        <v>4800000</v>
      </c>
    </row>
    <row r="77" spans="1:6" ht="15" customHeight="1" x14ac:dyDescent="0.25">
      <c r="A77" s="47"/>
      <c r="B77" s="40" t="s">
        <v>137</v>
      </c>
      <c r="C77" s="41" t="s">
        <v>29</v>
      </c>
      <c r="D77" s="49">
        <v>1</v>
      </c>
      <c r="E77" s="50">
        <v>182000</v>
      </c>
      <c r="F77" s="30">
        <f>Tabulka4[[#This Row],[množství]]*Tabulka4[[#This Row],[jednotková cena '[Kč']]]</f>
        <v>182000</v>
      </c>
    </row>
    <row r="78" spans="1:6" ht="15" customHeight="1" x14ac:dyDescent="0.25">
      <c r="A78" s="47"/>
      <c r="B78" s="40" t="s">
        <v>149</v>
      </c>
      <c r="C78" s="41" t="s">
        <v>29</v>
      </c>
      <c r="D78" s="49">
        <v>1</v>
      </c>
      <c r="E78" s="50">
        <v>2800000</v>
      </c>
      <c r="F78" s="30">
        <f>Tabulka4[[#This Row],[množství]]*Tabulka4[[#This Row],[jednotková cena '[Kč']]]</f>
        <v>2800000</v>
      </c>
    </row>
    <row r="79" spans="1:6" ht="15" customHeight="1" x14ac:dyDescent="0.25">
      <c r="A79" s="47"/>
      <c r="B79" s="40" t="s">
        <v>138</v>
      </c>
      <c r="C79" s="41" t="s">
        <v>29</v>
      </c>
      <c r="D79" s="49">
        <v>1</v>
      </c>
      <c r="E79" s="50">
        <v>320000</v>
      </c>
      <c r="F79" s="30">
        <f>Tabulka4[[#This Row],[množství]]*Tabulka4[[#This Row],[jednotková cena '[Kč']]]</f>
        <v>320000</v>
      </c>
    </row>
    <row r="80" spans="1:6" ht="15" customHeight="1" x14ac:dyDescent="0.25">
      <c r="A80" s="47"/>
      <c r="B80" s="40" t="s">
        <v>139</v>
      </c>
      <c r="C80" s="41" t="s">
        <v>29</v>
      </c>
      <c r="D80" s="49">
        <v>1</v>
      </c>
      <c r="E80" s="50">
        <v>170000</v>
      </c>
      <c r="F80" s="30">
        <f>Tabulka4[[#This Row],[množství]]*Tabulka4[[#This Row],[jednotková cena '[Kč']]]</f>
        <v>170000</v>
      </c>
    </row>
    <row r="81" spans="1:11" ht="15" customHeight="1" x14ac:dyDescent="0.25">
      <c r="A81" s="19">
        <v>763</v>
      </c>
      <c r="B81" s="20" t="s">
        <v>66</v>
      </c>
      <c r="C81" s="21"/>
      <c r="D81" s="48"/>
      <c r="E81" s="23"/>
      <c r="F81" s="24">
        <f>SUM(F82:F85)</f>
        <v>4224000</v>
      </c>
    </row>
    <row r="82" spans="1:11" ht="15" customHeight="1" x14ac:dyDescent="0.25">
      <c r="A82" s="47"/>
      <c r="B82" s="40" t="s">
        <v>67</v>
      </c>
      <c r="C82" s="41" t="s">
        <v>34</v>
      </c>
      <c r="D82" s="49">
        <v>680</v>
      </c>
      <c r="E82" s="50">
        <v>1600</v>
      </c>
      <c r="F82" s="30">
        <f>Tabulka4[[#This Row],[množství]]*Tabulka4[[#This Row],[jednotková cena '[Kč']]]</f>
        <v>1088000</v>
      </c>
    </row>
    <row r="83" spans="1:11" ht="15" customHeight="1" x14ac:dyDescent="0.25">
      <c r="A83" s="39"/>
      <c r="B83" s="40" t="s">
        <v>68</v>
      </c>
      <c r="C83" s="41" t="s">
        <v>34</v>
      </c>
      <c r="D83" s="49">
        <v>540</v>
      </c>
      <c r="E83" s="50">
        <v>1600</v>
      </c>
      <c r="F83" s="30">
        <f>Tabulka4[[#This Row],[množství]]*Tabulka4[[#This Row],[jednotková cena '[Kč']]]</f>
        <v>864000</v>
      </c>
    </row>
    <row r="84" spans="1:11" ht="15" customHeight="1" x14ac:dyDescent="0.25">
      <c r="A84" s="39"/>
      <c r="B84" s="40" t="s">
        <v>190</v>
      </c>
      <c r="C84" s="41" t="s">
        <v>34</v>
      </c>
      <c r="D84" s="49">
        <v>720</v>
      </c>
      <c r="E84" s="50">
        <v>1600</v>
      </c>
      <c r="F84" s="30">
        <f>Tabulka4[[#This Row],[množství]]*Tabulka4[[#This Row],[jednotková cena '[Kč']]]</f>
        <v>1152000</v>
      </c>
    </row>
    <row r="85" spans="1:11" ht="15" customHeight="1" x14ac:dyDescent="0.25">
      <c r="A85" s="39"/>
      <c r="B85" s="40" t="s">
        <v>191</v>
      </c>
      <c r="C85" s="41" t="s">
        <v>34</v>
      </c>
      <c r="D85" s="49">
        <v>700</v>
      </c>
      <c r="E85" s="50">
        <v>1600</v>
      </c>
      <c r="F85" s="30">
        <f>Tabulka4[[#This Row],[množství]]*Tabulka4[[#This Row],[jednotková cena '[Kč']]]</f>
        <v>1120000</v>
      </c>
    </row>
    <row r="86" spans="1:11" ht="15" customHeight="1" x14ac:dyDescent="0.25">
      <c r="A86" s="19">
        <v>764</v>
      </c>
      <c r="B86" s="20" t="s">
        <v>195</v>
      </c>
      <c r="C86" s="21"/>
      <c r="D86" s="48"/>
      <c r="E86" s="23"/>
      <c r="F86" s="24">
        <f>SUM(F87:F87)</f>
        <v>350000</v>
      </c>
    </row>
    <row r="87" spans="1:11" ht="15" customHeight="1" x14ac:dyDescent="0.25">
      <c r="A87" s="39"/>
      <c r="B87" s="40" t="s">
        <v>69</v>
      </c>
      <c r="C87" s="41" t="s">
        <v>29</v>
      </c>
      <c r="D87" s="49">
        <v>1</v>
      </c>
      <c r="E87" s="50">
        <v>350000</v>
      </c>
      <c r="F87" s="30">
        <f>Tabulka4[[#This Row],[množství]]*Tabulka4[[#This Row],[jednotková cena '[Kč']]]</f>
        <v>350000</v>
      </c>
    </row>
    <row r="88" spans="1:11" ht="15" customHeight="1" x14ac:dyDescent="0.25">
      <c r="A88" s="19">
        <v>766</v>
      </c>
      <c r="B88" s="20" t="s">
        <v>70</v>
      </c>
      <c r="C88" s="21"/>
      <c r="D88" s="48"/>
      <c r="E88" s="23"/>
      <c r="F88" s="24">
        <f>SUM(F89:F92)</f>
        <v>6560000</v>
      </c>
    </row>
    <row r="89" spans="1:11" ht="15" customHeight="1" x14ac:dyDescent="0.25">
      <c r="A89" s="39"/>
      <c r="B89" s="40" t="s">
        <v>71</v>
      </c>
      <c r="C89" s="41" t="s">
        <v>163</v>
      </c>
      <c r="D89" s="49">
        <f>55</f>
        <v>55</v>
      </c>
      <c r="E89" s="50">
        <v>40000</v>
      </c>
      <c r="F89" s="30">
        <f>Tabulka4[[#This Row],[množství]]*Tabulka4[[#This Row],[jednotková cena '[Kč']]]</f>
        <v>2200000</v>
      </c>
    </row>
    <row r="90" spans="1:11" ht="15" customHeight="1" x14ac:dyDescent="0.25">
      <c r="A90" s="39"/>
      <c r="B90" s="40" t="s">
        <v>72</v>
      </c>
      <c r="C90" s="41" t="s">
        <v>163</v>
      </c>
      <c r="D90" s="49">
        <f>28</f>
        <v>28</v>
      </c>
      <c r="E90" s="50">
        <v>40000</v>
      </c>
      <c r="F90" s="30">
        <f>Tabulka4[[#This Row],[množství]]*Tabulka4[[#This Row],[jednotková cena '[Kč']]]</f>
        <v>1120000</v>
      </c>
    </row>
    <row r="91" spans="1:11" ht="15" customHeight="1" x14ac:dyDescent="0.25">
      <c r="A91" s="39"/>
      <c r="B91" s="40" t="s">
        <v>246</v>
      </c>
      <c r="C91" s="41" t="s">
        <v>163</v>
      </c>
      <c r="D91" s="49">
        <f>56</f>
        <v>56</v>
      </c>
      <c r="E91" s="50">
        <v>40000</v>
      </c>
      <c r="F91" s="30">
        <f>Tabulka4[[#This Row],[množství]]*Tabulka4[[#This Row],[jednotková cena '[Kč']]]</f>
        <v>2240000</v>
      </c>
    </row>
    <row r="92" spans="1:11" ht="15" customHeight="1" x14ac:dyDescent="0.25">
      <c r="A92" s="39"/>
      <c r="B92" s="40" t="s">
        <v>247</v>
      </c>
      <c r="C92" s="41" t="s">
        <v>163</v>
      </c>
      <c r="D92" s="49">
        <f>25</f>
        <v>25</v>
      </c>
      <c r="E92" s="50">
        <v>40000</v>
      </c>
      <c r="F92" s="30">
        <f>Tabulka4[[#This Row],[množství]]*Tabulka4[[#This Row],[jednotková cena '[Kč']]]</f>
        <v>1000000</v>
      </c>
    </row>
    <row r="93" spans="1:11" ht="15" customHeight="1" x14ac:dyDescent="0.25">
      <c r="A93" s="19">
        <v>767</v>
      </c>
      <c r="B93" s="20" t="s">
        <v>243</v>
      </c>
      <c r="C93" s="21"/>
      <c r="D93" s="48"/>
      <c r="E93" s="23"/>
      <c r="F93" s="24">
        <f>SUM(F94:F97)</f>
        <v>12000000</v>
      </c>
    </row>
    <row r="94" spans="1:11" ht="15" customHeight="1" x14ac:dyDescent="0.25">
      <c r="A94" s="39"/>
      <c r="B94" s="40" t="s">
        <v>74</v>
      </c>
      <c r="C94" s="41" t="s">
        <v>29</v>
      </c>
      <c r="D94" s="36">
        <v>1</v>
      </c>
      <c r="E94" s="37">
        <v>3000000</v>
      </c>
      <c r="F94" s="38">
        <f>Tabulka4[[#This Row],[množství]]*Tabulka4[[#This Row],[jednotková cena '[Kč']]]</f>
        <v>3000000</v>
      </c>
      <c r="I94" s="67"/>
      <c r="J94" s="68"/>
      <c r="K94" s="69"/>
    </row>
    <row r="95" spans="1:11" ht="15" customHeight="1" x14ac:dyDescent="0.25">
      <c r="A95" s="39"/>
      <c r="B95" s="40" t="s">
        <v>75</v>
      </c>
      <c r="C95" s="41" t="s">
        <v>29</v>
      </c>
      <c r="D95" s="36">
        <v>1</v>
      </c>
      <c r="E95" s="37">
        <v>3000000</v>
      </c>
      <c r="F95" s="38">
        <f>Tabulka4[[#This Row],[množství]]*Tabulka4[[#This Row],[jednotková cena '[Kč']]]</f>
        <v>3000000</v>
      </c>
      <c r="I95" s="31"/>
      <c r="J95" s="69"/>
      <c r="K95" s="69"/>
    </row>
    <row r="96" spans="1:11" ht="15" customHeight="1" x14ac:dyDescent="0.25">
      <c r="A96" s="39"/>
      <c r="B96" s="40" t="s">
        <v>244</v>
      </c>
      <c r="C96" s="41" t="s">
        <v>29</v>
      </c>
      <c r="D96" s="36">
        <v>1</v>
      </c>
      <c r="E96" s="37">
        <v>3000000</v>
      </c>
      <c r="F96" s="38">
        <f>Tabulka4[[#This Row],[množství]]*Tabulka4[[#This Row],[jednotková cena '[Kč']]]</f>
        <v>3000000</v>
      </c>
      <c r="J96" s="69"/>
      <c r="K96" s="69"/>
    </row>
    <row r="97" spans="1:11" ht="15" customHeight="1" x14ac:dyDescent="0.25">
      <c r="A97" s="39"/>
      <c r="B97" s="40" t="s">
        <v>245</v>
      </c>
      <c r="C97" s="41" t="s">
        <v>29</v>
      </c>
      <c r="D97" s="36">
        <v>1</v>
      </c>
      <c r="E97" s="37">
        <v>3000000</v>
      </c>
      <c r="F97" s="38">
        <f>Tabulka4[[#This Row],[množství]]*Tabulka4[[#This Row],[jednotková cena '[Kč']]]</f>
        <v>3000000</v>
      </c>
      <c r="J97" s="69"/>
      <c r="K97" s="69"/>
    </row>
    <row r="98" spans="1:11" ht="15" customHeight="1" x14ac:dyDescent="0.25">
      <c r="A98" s="19">
        <v>776</v>
      </c>
      <c r="B98" s="20" t="s">
        <v>173</v>
      </c>
      <c r="C98" s="21"/>
      <c r="D98" s="42"/>
      <c r="E98" s="43"/>
      <c r="F98" s="44">
        <f>SUM(F99:F102)</f>
        <v>3960000</v>
      </c>
      <c r="I98" s="67"/>
      <c r="J98" s="68"/>
      <c r="K98" s="69"/>
    </row>
    <row r="99" spans="1:11" ht="15" customHeight="1" x14ac:dyDescent="0.25">
      <c r="A99" s="47"/>
      <c r="B99" s="40" t="s">
        <v>43</v>
      </c>
      <c r="C99" s="41" t="s">
        <v>34</v>
      </c>
      <c r="D99" s="36">
        <v>680</v>
      </c>
      <c r="E99" s="37">
        <v>1500</v>
      </c>
      <c r="F99" s="38">
        <f>D99*E99</f>
        <v>1020000</v>
      </c>
      <c r="I99" s="31"/>
      <c r="J99" s="69"/>
      <c r="K99" s="69"/>
    </row>
    <row r="100" spans="1:11" ht="15" customHeight="1" x14ac:dyDescent="0.25">
      <c r="A100" s="39"/>
      <c r="B100" s="40" t="s">
        <v>44</v>
      </c>
      <c r="C100" s="41" t="s">
        <v>34</v>
      </c>
      <c r="D100" s="36">
        <v>540</v>
      </c>
      <c r="E100" s="37">
        <v>1500</v>
      </c>
      <c r="F100" s="38">
        <f t="shared" ref="F100:F102" si="3">D100*E100</f>
        <v>810000</v>
      </c>
      <c r="J100" s="69"/>
      <c r="K100" s="69"/>
    </row>
    <row r="101" spans="1:11" ht="15" customHeight="1" x14ac:dyDescent="0.25">
      <c r="A101" s="39"/>
      <c r="B101" s="40" t="s">
        <v>127</v>
      </c>
      <c r="C101" s="41" t="s">
        <v>34</v>
      </c>
      <c r="D101" s="36">
        <v>720</v>
      </c>
      <c r="E101" s="37">
        <v>1500</v>
      </c>
      <c r="F101" s="38">
        <f t="shared" si="3"/>
        <v>1080000</v>
      </c>
      <c r="J101" s="69"/>
      <c r="K101" s="69"/>
    </row>
    <row r="102" spans="1:11" ht="15" customHeight="1" x14ac:dyDescent="0.25">
      <c r="A102" s="39"/>
      <c r="B102" s="40" t="s">
        <v>128</v>
      </c>
      <c r="C102" s="41" t="s">
        <v>34</v>
      </c>
      <c r="D102" s="36">
        <v>700</v>
      </c>
      <c r="E102" s="37">
        <v>1500</v>
      </c>
      <c r="F102" s="38">
        <f t="shared" si="3"/>
        <v>1050000</v>
      </c>
      <c r="J102" s="69"/>
      <c r="K102" s="69"/>
    </row>
    <row r="103" spans="1:11" ht="15" customHeight="1" x14ac:dyDescent="0.25">
      <c r="A103" s="19">
        <v>784</v>
      </c>
      <c r="B103" s="20" t="s">
        <v>76</v>
      </c>
      <c r="C103" s="21"/>
      <c r="D103" s="42"/>
      <c r="E103" s="43"/>
      <c r="F103" s="44">
        <f>SUM(F104:F107)</f>
        <v>2247648.0000000005</v>
      </c>
      <c r="J103" s="69"/>
      <c r="K103" s="69"/>
    </row>
    <row r="104" spans="1:11" ht="15" customHeight="1" x14ac:dyDescent="0.25">
      <c r="A104" s="39"/>
      <c r="B104" s="40" t="s">
        <v>77</v>
      </c>
      <c r="C104" s="41" t="s">
        <v>34</v>
      </c>
      <c r="D104" s="36">
        <f>34*2.6*2*(4.7+3.6)+2.6*2*(54+24)</f>
        <v>1873.0400000000004</v>
      </c>
      <c r="E104" s="37">
        <v>300</v>
      </c>
      <c r="F104" s="38">
        <f>Tabulka4[[#This Row],[množství]]*Tabulka4[[#This Row],[jednotková cena '[Kč']]]</f>
        <v>561912.00000000012</v>
      </c>
      <c r="J104" s="69"/>
      <c r="K104" s="69"/>
    </row>
    <row r="105" spans="1:11" ht="15" customHeight="1" x14ac:dyDescent="0.25">
      <c r="A105" s="39"/>
      <c r="B105" s="40" t="s">
        <v>77</v>
      </c>
      <c r="C105" s="41" t="s">
        <v>34</v>
      </c>
      <c r="D105" s="36">
        <f t="shared" ref="D105:D106" si="4">34*2.6*2*(4.7+3.6)+2.6*2*(54+24)</f>
        <v>1873.0400000000004</v>
      </c>
      <c r="E105" s="37">
        <v>300</v>
      </c>
      <c r="F105" s="38">
        <f>Tabulka4[[#This Row],[množství]]*Tabulka4[[#This Row],[jednotková cena '[Kč']]]</f>
        <v>561912.00000000012</v>
      </c>
      <c r="J105" s="69"/>
      <c r="K105" s="69"/>
    </row>
    <row r="106" spans="1:11" ht="15" customHeight="1" x14ac:dyDescent="0.25">
      <c r="A106" s="39"/>
      <c r="B106" s="40" t="s">
        <v>192</v>
      </c>
      <c r="C106" s="41" t="s">
        <v>34</v>
      </c>
      <c r="D106" s="36">
        <f t="shared" si="4"/>
        <v>1873.0400000000004</v>
      </c>
      <c r="E106" s="37">
        <v>300</v>
      </c>
      <c r="F106" s="38">
        <f>Tabulka4[[#This Row],[množství]]*Tabulka4[[#This Row],[jednotková cena '[Kč']]]</f>
        <v>561912.00000000012</v>
      </c>
      <c r="J106" s="69"/>
      <c r="K106" s="69"/>
    </row>
    <row r="107" spans="1:11" ht="15" customHeight="1" x14ac:dyDescent="0.25">
      <c r="A107" s="39"/>
      <c r="B107" s="40" t="s">
        <v>193</v>
      </c>
      <c r="C107" s="41" t="s">
        <v>34</v>
      </c>
      <c r="D107" s="36">
        <f>34*2.6*2*(4.7+3.6)+2.6*2*(54+24)</f>
        <v>1873.0400000000004</v>
      </c>
      <c r="E107" s="37">
        <v>300</v>
      </c>
      <c r="F107" s="38">
        <f>Tabulka4[[#This Row],[množství]]*Tabulka4[[#This Row],[jednotková cena '[Kč']]]</f>
        <v>561912.00000000012</v>
      </c>
      <c r="J107" s="69"/>
      <c r="K107" s="69"/>
    </row>
    <row r="108" spans="1:11" ht="15" customHeight="1" x14ac:dyDescent="0.25">
      <c r="A108" s="57" t="s">
        <v>88</v>
      </c>
      <c r="B108" s="45" t="s">
        <v>89</v>
      </c>
      <c r="C108" s="59"/>
      <c r="D108" s="51"/>
      <c r="E108" s="53"/>
      <c r="F108" s="54">
        <f>SUM(F109:F109)</f>
        <v>4000000</v>
      </c>
      <c r="J108" s="69"/>
      <c r="K108" s="69"/>
    </row>
    <row r="109" spans="1:11" ht="15" customHeight="1" x14ac:dyDescent="0.25">
      <c r="A109" s="58"/>
      <c r="B109" s="60" t="s">
        <v>90</v>
      </c>
      <c r="C109" s="61" t="s">
        <v>29</v>
      </c>
      <c r="D109" s="52">
        <v>1</v>
      </c>
      <c r="E109" s="56">
        <v>4000000</v>
      </c>
      <c r="F109" s="55">
        <f>D109*E109</f>
        <v>4000000</v>
      </c>
      <c r="J109" s="69"/>
      <c r="K109" s="69"/>
    </row>
    <row r="110" spans="1:11" ht="15" customHeight="1" x14ac:dyDescent="0.25">
      <c r="A110" s="19" t="s">
        <v>197</v>
      </c>
      <c r="B110" s="20" t="s">
        <v>198</v>
      </c>
      <c r="C110" s="21"/>
      <c r="D110" s="42"/>
      <c r="E110" s="43"/>
      <c r="F110" s="44">
        <f>SUM(F111:F111)</f>
        <v>5000000</v>
      </c>
      <c r="J110" s="69"/>
      <c r="K110" s="69"/>
    </row>
    <row r="111" spans="1:11" ht="15" customHeight="1" x14ac:dyDescent="0.25">
      <c r="A111" s="39"/>
      <c r="B111" s="40" t="s">
        <v>199</v>
      </c>
      <c r="C111" s="61" t="s">
        <v>29</v>
      </c>
      <c r="D111" s="36">
        <v>1</v>
      </c>
      <c r="E111" s="37">
        <v>3000000</v>
      </c>
      <c r="F111" s="38">
        <v>5000000</v>
      </c>
      <c r="J111" s="69"/>
      <c r="K111" s="69"/>
    </row>
    <row r="112" spans="1:11" ht="15" customHeight="1" x14ac:dyDescent="0.25">
      <c r="A112" s="19" t="s">
        <v>121</v>
      </c>
      <c r="B112" s="20" t="s">
        <v>162</v>
      </c>
      <c r="C112" s="21"/>
      <c r="D112" s="42"/>
      <c r="E112" s="43"/>
      <c r="F112" s="44">
        <f>SUM(F113:F113)</f>
        <v>2000000</v>
      </c>
      <c r="J112" s="69"/>
      <c r="K112" s="69"/>
    </row>
    <row r="113" spans="1:11" ht="15" customHeight="1" x14ac:dyDescent="0.25">
      <c r="A113" s="39"/>
      <c r="B113" s="40" t="s">
        <v>162</v>
      </c>
      <c r="C113" s="41" t="s">
        <v>163</v>
      </c>
      <c r="D113" s="36">
        <v>1</v>
      </c>
      <c r="E113" s="37">
        <v>2000000</v>
      </c>
      <c r="F113" s="38">
        <f>Tabulka4[[#This Row],[množství]]*Tabulka4[[#This Row],[jednotková cena '[Kč']]]</f>
        <v>2000000</v>
      </c>
      <c r="J113" s="70"/>
      <c r="K113" s="69"/>
    </row>
    <row r="114" spans="1:11" ht="15" customHeight="1" x14ac:dyDescent="0.25">
      <c r="J114" s="69"/>
      <c r="K114" s="69"/>
    </row>
    <row r="115" spans="1:11" ht="15" customHeight="1" x14ac:dyDescent="0.25">
      <c r="F115" s="31"/>
      <c r="J115" s="69"/>
      <c r="K115" s="69"/>
    </row>
    <row r="116" spans="1:11" ht="15" customHeight="1" x14ac:dyDescent="0.25">
      <c r="F116" s="31"/>
      <c r="J116" s="68"/>
      <c r="K116" s="69"/>
    </row>
    <row r="117" spans="1:11" ht="15" customHeight="1" x14ac:dyDescent="0.25">
      <c r="F117" s="31"/>
    </row>
    <row r="118" spans="1:11" ht="15" customHeight="1" x14ac:dyDescent="0.25"/>
    <row r="119" spans="1:11" ht="15" customHeight="1" x14ac:dyDescent="0.25"/>
    <row r="120" spans="1:11" ht="15" customHeight="1" x14ac:dyDescent="0.25"/>
    <row r="121" spans="1:11" ht="15" customHeight="1" x14ac:dyDescent="0.25"/>
    <row r="122" spans="1:11" ht="15" customHeight="1" x14ac:dyDescent="0.25"/>
    <row r="123" spans="1:11" ht="15" customHeight="1" x14ac:dyDescent="0.25"/>
    <row r="124" spans="1:11" ht="15" customHeight="1" x14ac:dyDescent="0.25"/>
    <row r="125" spans="1:11" ht="15" customHeight="1" x14ac:dyDescent="0.25"/>
    <row r="126" spans="1:11" ht="15" customHeight="1" x14ac:dyDescent="0.25"/>
    <row r="127" spans="1:11" ht="15" customHeight="1" x14ac:dyDescent="0.25"/>
    <row r="128" spans="1:11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</sheetData>
  <mergeCells count="1">
    <mergeCell ref="D1:E1"/>
  </mergeCells>
  <phoneticPr fontId="13" type="noConversion"/>
  <pageMargins left="0.7" right="0.7" top="0.78740157499999996" bottom="0.78740157499999996" header="0.3" footer="0.3"/>
  <pageSetup orientation="portrait" r:id="rId1"/>
  <ignoredErrors>
    <ignoredError sqref="A10 L35:XFD35 C10:E10" numberStoredAsText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89E6-B63E-46E0-BA5E-7A9689AFC0E6}">
  <dimension ref="A1:K323"/>
  <sheetViews>
    <sheetView topLeftCell="A40" zoomScale="85" zoomScaleNormal="85" workbookViewId="0">
      <selection activeCell="F25" sqref="F25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customWidth="1"/>
    <col min="7" max="7" width="12.42578125" bestFit="1" customWidth="1"/>
    <col min="9" max="9" width="14" bestFit="1" customWidth="1"/>
    <col min="11" max="11" width="14" bestFit="1" customWidth="1"/>
  </cols>
  <sheetData>
    <row r="1" spans="1:11" ht="18.75" x14ac:dyDescent="0.3">
      <c r="A1" s="12" t="s">
        <v>235</v>
      </c>
      <c r="B1" s="13"/>
      <c r="C1" s="14"/>
      <c r="D1" s="94"/>
      <c r="E1" s="94"/>
      <c r="F1" s="15">
        <f>+F3+F5+F10+F25+F31+F36+F38+F43+F45+F47+F49+F55+F57+F61+F71+F77+F80+F94+F100+F109+F114+F116+F121+F126+F131+F136+F138+F140+F142</f>
        <v>302050105.75</v>
      </c>
    </row>
    <row r="2" spans="1:11" ht="30" x14ac:dyDescent="0.25">
      <c r="A2" s="13" t="s">
        <v>16</v>
      </c>
      <c r="B2" s="16" t="s">
        <v>17</v>
      </c>
      <c r="C2" s="17" t="s">
        <v>18</v>
      </c>
      <c r="D2" s="17" t="s">
        <v>19</v>
      </c>
      <c r="E2" s="18" t="s">
        <v>20</v>
      </c>
      <c r="F2" s="17" t="s">
        <v>21</v>
      </c>
    </row>
    <row r="3" spans="1:11" ht="15" customHeight="1" x14ac:dyDescent="0.25">
      <c r="A3" s="19" t="s">
        <v>22</v>
      </c>
      <c r="B3" s="20" t="s">
        <v>23</v>
      </c>
      <c r="C3" s="21"/>
      <c r="D3" s="22"/>
      <c r="E3" s="23"/>
      <c r="F3" s="24">
        <f>SUM(F4:F4)</f>
        <v>4000000</v>
      </c>
      <c r="G3" s="32"/>
      <c r="I3" s="31"/>
      <c r="K3" s="31"/>
    </row>
    <row r="4" spans="1:11" ht="15" customHeight="1" x14ac:dyDescent="0.25">
      <c r="A4" s="25"/>
      <c r="B4" s="26" t="s">
        <v>202</v>
      </c>
      <c r="C4" s="27" t="s">
        <v>25</v>
      </c>
      <c r="D4" s="28">
        <v>1</v>
      </c>
      <c r="E4" s="29">
        <v>4000000</v>
      </c>
      <c r="F4" s="30">
        <f>Tabulka428[[#This Row],[množství]]*Tabulka428[[#This Row],[jednotková cena '[Kč']]]</f>
        <v>4000000</v>
      </c>
      <c r="G4" s="32"/>
    </row>
    <row r="5" spans="1:11" ht="15" customHeight="1" x14ac:dyDescent="0.25">
      <c r="A5" s="19" t="s">
        <v>27</v>
      </c>
      <c r="B5" s="20" t="s">
        <v>26</v>
      </c>
      <c r="C5" s="21"/>
      <c r="D5" s="42"/>
      <c r="E5" s="43"/>
      <c r="F5" s="44">
        <f>SUM(F6:F9)</f>
        <v>21230250</v>
      </c>
      <c r="G5" s="32"/>
    </row>
    <row r="6" spans="1:11" ht="15" customHeight="1" x14ac:dyDescent="0.25">
      <c r="A6" s="39"/>
      <c r="B6" s="40" t="s">
        <v>123</v>
      </c>
      <c r="C6" s="41" t="s">
        <v>29</v>
      </c>
      <c r="D6" s="36">
        <v>1200</v>
      </c>
      <c r="E6" s="37">
        <v>15500</v>
      </c>
      <c r="F6" s="38">
        <f>D6*E6</f>
        <v>18600000</v>
      </c>
      <c r="G6" s="32"/>
    </row>
    <row r="7" spans="1:11" ht="15" customHeight="1" x14ac:dyDescent="0.25">
      <c r="A7" s="39"/>
      <c r="B7" s="40" t="s">
        <v>208</v>
      </c>
      <c r="C7" s="41" t="s">
        <v>25</v>
      </c>
      <c r="D7" s="36">
        <f>(615+30)*0.3</f>
        <v>193.5</v>
      </c>
      <c r="E7" s="37">
        <v>8200</v>
      </c>
      <c r="F7" s="38">
        <f t="shared" ref="F7:F9" si="0">D7*E7</f>
        <v>1586700</v>
      </c>
      <c r="G7" s="32"/>
    </row>
    <row r="8" spans="1:11" ht="15" customHeight="1" x14ac:dyDescent="0.25">
      <c r="A8" s="39"/>
      <c r="B8" s="40" t="s">
        <v>209</v>
      </c>
      <c r="C8" s="41" t="s">
        <v>25</v>
      </c>
      <c r="D8" s="36">
        <f>(1250-615)*0.15</f>
        <v>95.25</v>
      </c>
      <c r="E8" s="37">
        <v>8200</v>
      </c>
      <c r="F8" s="38">
        <f t="shared" ref="F8" si="1">D8*E8</f>
        <v>781050</v>
      </c>
      <c r="G8" s="32"/>
    </row>
    <row r="9" spans="1:11" ht="15" customHeight="1" x14ac:dyDescent="0.25">
      <c r="A9" s="39"/>
      <c r="B9" s="40" t="s">
        <v>201</v>
      </c>
      <c r="C9" s="41" t="s">
        <v>25</v>
      </c>
      <c r="D9" s="36">
        <f>1250*0.1</f>
        <v>125</v>
      </c>
      <c r="E9" s="37">
        <v>2100</v>
      </c>
      <c r="F9" s="38">
        <f t="shared" si="0"/>
        <v>262500</v>
      </c>
      <c r="G9" s="32"/>
    </row>
    <row r="10" spans="1:11" ht="15" customHeight="1" x14ac:dyDescent="0.25">
      <c r="A10" s="19" t="s">
        <v>27</v>
      </c>
      <c r="B10" s="20" t="s">
        <v>28</v>
      </c>
      <c r="C10" s="21"/>
      <c r="D10" s="42"/>
      <c r="E10" s="43"/>
      <c r="F10" s="44">
        <f>SUM(F11:F24)</f>
        <v>30006189.75</v>
      </c>
      <c r="G10" s="32"/>
      <c r="I10" s="31"/>
      <c r="K10" s="31"/>
    </row>
    <row r="11" spans="1:11" ht="15" customHeight="1" x14ac:dyDescent="0.25">
      <c r="A11" s="39"/>
      <c r="B11" s="40" t="s">
        <v>207</v>
      </c>
      <c r="C11" s="34" t="s">
        <v>25</v>
      </c>
      <c r="D11" s="36">
        <f>(62+18+8+5+5+4+62+7+7+7+1+6+4+36+7+3+3+3+3+4+30)*2.31*0.3</f>
        <v>197.505</v>
      </c>
      <c r="E11" s="37">
        <v>12500</v>
      </c>
      <c r="F11" s="38">
        <f>Tabulka428[[#This Row],[množství]]*Tabulka428[[#This Row],[jednotková cena '[Kč']]]</f>
        <v>2468812.5</v>
      </c>
      <c r="G11" s="32"/>
      <c r="I11" s="31"/>
      <c r="K11" s="31"/>
    </row>
    <row r="12" spans="1:11" ht="15" customHeight="1" x14ac:dyDescent="0.25">
      <c r="A12" s="39"/>
      <c r="B12" s="40" t="s">
        <v>203</v>
      </c>
      <c r="C12" s="34" t="s">
        <v>25</v>
      </c>
      <c r="D12" s="36">
        <f>(62+18+18+52+5+7+18+3+3+3+3+5+8)*4*0.3</f>
        <v>246</v>
      </c>
      <c r="E12" s="37">
        <v>12500</v>
      </c>
      <c r="F12" s="38">
        <f>Tabulka428[[#This Row],[množství]]*Tabulka428[[#This Row],[jednotková cena '[Kč']]]</f>
        <v>3075000</v>
      </c>
      <c r="G12" s="32"/>
    </row>
    <row r="13" spans="1:11" ht="15" customHeight="1" x14ac:dyDescent="0.25">
      <c r="A13" s="39"/>
      <c r="B13" s="40" t="s">
        <v>204</v>
      </c>
      <c r="C13" s="34" t="s">
        <v>25</v>
      </c>
      <c r="D13" s="62">
        <f>(62+18+18+52+5+7+18+3+3+3+3+5+8)*3.45*0.25</f>
        <v>176.8125</v>
      </c>
      <c r="E13" s="37">
        <v>12500</v>
      </c>
      <c r="F13" s="38">
        <f>Tabulka428[[#This Row],[množství]]*Tabulka428[[#This Row],[jednotková cena '[Kč']]]</f>
        <v>2210156.25</v>
      </c>
      <c r="G13" s="32"/>
    </row>
    <row r="14" spans="1:11" ht="15" customHeight="1" x14ac:dyDescent="0.25">
      <c r="A14" s="39"/>
      <c r="B14" s="40" t="s">
        <v>205</v>
      </c>
      <c r="C14" s="34" t="s">
        <v>25</v>
      </c>
      <c r="D14" s="62">
        <f>(62+18+18+52+5+7+18+3+3+3+3+5+8)*3.45*0.25</f>
        <v>176.8125</v>
      </c>
      <c r="E14" s="37">
        <v>12500</v>
      </c>
      <c r="F14" s="38">
        <f>Tabulka428[[#This Row],[množství]]*Tabulka428[[#This Row],[jednotková cena '[Kč']]]</f>
        <v>2210156.25</v>
      </c>
      <c r="G14" s="32"/>
    </row>
    <row r="15" spans="1:11" ht="15" customHeight="1" x14ac:dyDescent="0.25">
      <c r="A15" s="39"/>
      <c r="B15" s="40" t="s">
        <v>206</v>
      </c>
      <c r="C15" s="34" t="s">
        <v>25</v>
      </c>
      <c r="D15" s="63">
        <f>(62+18+18+52+5+7+18+3+3+3+3+5+8)*4.15*0.25</f>
        <v>212.68750000000003</v>
      </c>
      <c r="E15" s="37">
        <v>12500</v>
      </c>
      <c r="F15" s="38">
        <f>Tabulka428[[#This Row],[množství]]*Tabulka428[[#This Row],[jednotková cena '[Kč']]]</f>
        <v>2658593.7500000005</v>
      </c>
      <c r="G15" s="32"/>
    </row>
    <row r="16" spans="1:11" ht="15" customHeight="1" x14ac:dyDescent="0.25">
      <c r="A16" s="39"/>
      <c r="B16" s="40" t="s">
        <v>210</v>
      </c>
      <c r="C16" s="34" t="s">
        <v>25</v>
      </c>
      <c r="D16" s="36">
        <f>(0.4*0.4)*2.31*14</f>
        <v>5.1744000000000012</v>
      </c>
      <c r="E16" s="37">
        <v>15000</v>
      </c>
      <c r="F16" s="38">
        <f>Tabulka428[[#This Row],[množství]]*Tabulka428[[#This Row],[jednotková cena '[Kč']]]</f>
        <v>77616.000000000015</v>
      </c>
      <c r="G16" s="32"/>
    </row>
    <row r="17" spans="1:11" ht="15" customHeight="1" x14ac:dyDescent="0.25">
      <c r="A17" s="39"/>
      <c r="B17" s="40" t="s">
        <v>211</v>
      </c>
      <c r="C17" s="34" t="s">
        <v>25</v>
      </c>
      <c r="D17" s="36">
        <f>(0.4*0.4)*3.8*14</f>
        <v>8.5120000000000005</v>
      </c>
      <c r="E17" s="37">
        <v>15000</v>
      </c>
      <c r="F17" s="38">
        <f>Tabulka428[[#This Row],[množství]]*Tabulka428[[#This Row],[jednotková cena '[Kč']]]</f>
        <v>127680</v>
      </c>
      <c r="G17" s="32"/>
    </row>
    <row r="18" spans="1:11" ht="15" customHeight="1" x14ac:dyDescent="0.25">
      <c r="A18" s="39"/>
      <c r="B18" s="40" t="s">
        <v>212</v>
      </c>
      <c r="C18" s="34" t="s">
        <v>25</v>
      </c>
      <c r="D18" s="36">
        <f>(0.4*0.4)*3.35*14</f>
        <v>7.5040000000000022</v>
      </c>
      <c r="E18" s="37">
        <v>15000</v>
      </c>
      <c r="F18" s="38">
        <f>Tabulka428[[#This Row],[množství]]*Tabulka428[[#This Row],[jednotková cena '[Kč']]]</f>
        <v>112560.00000000003</v>
      </c>
      <c r="G18" s="32"/>
    </row>
    <row r="19" spans="1:11" ht="15" customHeight="1" x14ac:dyDescent="0.25">
      <c r="A19" s="39"/>
      <c r="B19" s="40" t="s">
        <v>213</v>
      </c>
      <c r="C19" s="34" t="s">
        <v>25</v>
      </c>
      <c r="D19" s="36">
        <f t="shared" ref="D19:D20" si="2">(0.4*0.4)*3.35*14</f>
        <v>7.5040000000000022</v>
      </c>
      <c r="E19" s="37">
        <v>15000</v>
      </c>
      <c r="F19" s="38">
        <f>Tabulka428[[#This Row],[množství]]*Tabulka428[[#This Row],[jednotková cena '[Kč']]]</f>
        <v>112560.00000000003</v>
      </c>
      <c r="G19" s="32"/>
    </row>
    <row r="20" spans="1:11" ht="15" customHeight="1" x14ac:dyDescent="0.25">
      <c r="A20" s="39"/>
      <c r="B20" s="40" t="s">
        <v>214</v>
      </c>
      <c r="C20" s="34" t="s">
        <v>25</v>
      </c>
      <c r="D20" s="36">
        <f t="shared" si="2"/>
        <v>7.5040000000000022</v>
      </c>
      <c r="E20" s="37">
        <v>15000</v>
      </c>
      <c r="F20" s="38">
        <f>Tabulka428[[#This Row],[množství]]*Tabulka428[[#This Row],[jednotková cena '[Kč']]]</f>
        <v>112560.00000000003</v>
      </c>
      <c r="G20" s="32"/>
    </row>
    <row r="21" spans="1:11" ht="15" customHeight="1" x14ac:dyDescent="0.25">
      <c r="A21" s="39"/>
      <c r="B21" s="40" t="s">
        <v>215</v>
      </c>
      <c r="C21" s="35" t="s">
        <v>34</v>
      </c>
      <c r="D21" s="36">
        <f>(7.5*11+8.2*3+5.3+2.3+2.3+4*3+3+3.4*5+8)*3.8</f>
        <v>596.6</v>
      </c>
      <c r="E21" s="37">
        <v>3500</v>
      </c>
      <c r="F21" s="38">
        <f>Tabulka428[[#This Row],[množství]]*Tabulka428[[#This Row],[jednotková cena '[Kč']]]</f>
        <v>2088100</v>
      </c>
      <c r="G21" s="32"/>
    </row>
    <row r="22" spans="1:11" ht="15" customHeight="1" x14ac:dyDescent="0.25">
      <c r="A22" s="39"/>
      <c r="B22" s="40" t="s">
        <v>216</v>
      </c>
      <c r="C22" s="34" t="s">
        <v>34</v>
      </c>
      <c r="D22" s="36">
        <f>(15*7+22*7.2+53*2+25*2)*3.35</f>
        <v>1404.99</v>
      </c>
      <c r="E22" s="37">
        <v>3500</v>
      </c>
      <c r="F22" s="38">
        <f>Tabulka428[[#This Row],[množství]]*Tabulka428[[#This Row],[jednotková cena '[Kč']]]</f>
        <v>4917465</v>
      </c>
      <c r="G22" s="32"/>
    </row>
    <row r="23" spans="1:11" ht="15" customHeight="1" x14ac:dyDescent="0.25">
      <c r="A23" s="39"/>
      <c r="B23" s="40" t="s">
        <v>217</v>
      </c>
      <c r="C23" s="35" t="s">
        <v>34</v>
      </c>
      <c r="D23" s="62">
        <f>(15*7+22*7.2+53*2+25*2)*3.35</f>
        <v>1404.99</v>
      </c>
      <c r="E23" s="37">
        <v>3500</v>
      </c>
      <c r="F23" s="38">
        <f>Tabulka428[[#This Row],[množství]]*Tabulka428[[#This Row],[jednotková cena '[Kč']]]</f>
        <v>4917465</v>
      </c>
      <c r="G23" s="32"/>
    </row>
    <row r="24" spans="1:11" ht="15" customHeight="1" x14ac:dyDescent="0.25">
      <c r="A24" s="39"/>
      <c r="B24" s="40" t="s">
        <v>218</v>
      </c>
      <c r="C24" s="34" t="s">
        <v>34</v>
      </c>
      <c r="D24" s="63">
        <f>(15*7+22*7.2+53*2+25*2)*3.35</f>
        <v>1404.99</v>
      </c>
      <c r="E24" s="37">
        <v>3500</v>
      </c>
      <c r="F24" s="38">
        <f>Tabulka428[[#This Row],[množství]]*Tabulka428[[#This Row],[jednotková cena '[Kč']]]</f>
        <v>4917465</v>
      </c>
      <c r="G24" s="32"/>
    </row>
    <row r="25" spans="1:11" ht="15" customHeight="1" x14ac:dyDescent="0.25">
      <c r="A25" s="19" t="s">
        <v>31</v>
      </c>
      <c r="B25" s="20" t="s">
        <v>32</v>
      </c>
      <c r="C25" s="21"/>
      <c r="D25" s="42"/>
      <c r="E25" s="43"/>
      <c r="F25" s="44">
        <f>SUM(F26:F30)</f>
        <v>20165250</v>
      </c>
      <c r="G25" s="32"/>
    </row>
    <row r="26" spans="1:11" ht="15" customHeight="1" x14ac:dyDescent="0.25">
      <c r="A26" s="47"/>
      <c r="B26" s="40" t="s">
        <v>219</v>
      </c>
      <c r="C26" s="34" t="s">
        <v>25</v>
      </c>
      <c r="D26" s="36">
        <f>(615+30)*0.3</f>
        <v>193.5</v>
      </c>
      <c r="E26" s="37">
        <v>11500</v>
      </c>
      <c r="F26" s="38">
        <f>D26*E26</f>
        <v>2225250</v>
      </c>
      <c r="G26" s="32"/>
    </row>
    <row r="27" spans="1:11" ht="15" customHeight="1" x14ac:dyDescent="0.25">
      <c r="A27" s="39"/>
      <c r="B27" s="40" t="s">
        <v>33</v>
      </c>
      <c r="C27" s="34" t="s">
        <v>25</v>
      </c>
      <c r="D27" s="36">
        <f>1300*0.3</f>
        <v>390</v>
      </c>
      <c r="E27" s="37">
        <v>11500</v>
      </c>
      <c r="F27" s="38">
        <f t="shared" ref="F27:F30" si="3">D27*E27</f>
        <v>4485000</v>
      </c>
      <c r="G27" s="32"/>
    </row>
    <row r="28" spans="1:11" ht="15" customHeight="1" x14ac:dyDescent="0.25">
      <c r="A28" s="39"/>
      <c r="B28" s="40" t="s">
        <v>35</v>
      </c>
      <c r="C28" s="34" t="s">
        <v>25</v>
      </c>
      <c r="D28" s="36">
        <f t="shared" ref="D28:D30" si="4">1300*0.3</f>
        <v>390</v>
      </c>
      <c r="E28" s="37">
        <v>11500</v>
      </c>
      <c r="F28" s="38">
        <f t="shared" si="3"/>
        <v>4485000</v>
      </c>
      <c r="G28" s="32"/>
    </row>
    <row r="29" spans="1:11" ht="15" customHeight="1" x14ac:dyDescent="0.25">
      <c r="A29" s="39"/>
      <c r="B29" s="40" t="s">
        <v>220</v>
      </c>
      <c r="C29" s="34" t="s">
        <v>25</v>
      </c>
      <c r="D29" s="36">
        <f t="shared" si="4"/>
        <v>390</v>
      </c>
      <c r="E29" s="37">
        <v>11500</v>
      </c>
      <c r="F29" s="38">
        <f t="shared" si="3"/>
        <v>4485000</v>
      </c>
      <c r="G29" s="32"/>
    </row>
    <row r="30" spans="1:11" ht="15" customHeight="1" x14ac:dyDescent="0.25">
      <c r="A30" s="39"/>
      <c r="B30" s="40" t="s">
        <v>221</v>
      </c>
      <c r="C30" s="34" t="s">
        <v>25</v>
      </c>
      <c r="D30" s="36">
        <f t="shared" si="4"/>
        <v>390</v>
      </c>
      <c r="E30" s="37">
        <v>11500</v>
      </c>
      <c r="F30" s="38">
        <f t="shared" si="3"/>
        <v>4485000</v>
      </c>
      <c r="G30" s="32"/>
    </row>
    <row r="31" spans="1:11" ht="15" customHeight="1" x14ac:dyDescent="0.25">
      <c r="A31" s="19" t="s">
        <v>36</v>
      </c>
      <c r="B31" s="20" t="s">
        <v>200</v>
      </c>
      <c r="C31" s="21"/>
      <c r="D31" s="42"/>
      <c r="E31" s="43"/>
      <c r="F31" s="44">
        <f>SUM(F32:F35)</f>
        <v>5279820</v>
      </c>
      <c r="G31" s="32"/>
      <c r="I31" s="31"/>
      <c r="K31" s="31"/>
    </row>
    <row r="32" spans="1:11" ht="15" customHeight="1" x14ac:dyDescent="0.25">
      <c r="A32" s="39"/>
      <c r="B32" s="40" t="s">
        <v>37</v>
      </c>
      <c r="C32" s="41" t="s">
        <v>34</v>
      </c>
      <c r="D32" s="36">
        <f>(62+18+18+52+5+7+18+3+3+3+3+5+8)*3.35+(7.5*11+8.2*3+5.3+2.3+2.3+4*3+3+3.4*5+8)*3.35*2</f>
        <v>1738.65</v>
      </c>
      <c r="E32" s="37">
        <v>1300</v>
      </c>
      <c r="F32" s="64">
        <f>Tabulka428[[#This Row],[množství]]*Tabulka428[[#This Row],[jednotková cena '[Kč']]]</f>
        <v>2260245</v>
      </c>
      <c r="G32" s="32"/>
    </row>
    <row r="33" spans="1:11" ht="15" customHeight="1" x14ac:dyDescent="0.25">
      <c r="A33" s="39"/>
      <c r="B33" s="40" t="s">
        <v>38</v>
      </c>
      <c r="C33" s="41" t="s">
        <v>34</v>
      </c>
      <c r="D33" s="36">
        <f>(62+18+18+52+5+7+18+3+3+3+3+5+8)*3.45+(4*2.5)*3.35*2</f>
        <v>774.25</v>
      </c>
      <c r="E33" s="37">
        <v>1300</v>
      </c>
      <c r="F33" s="38">
        <f>Tabulka428[[#This Row],[množství]]*Tabulka428[[#This Row],[jednotková cena '[Kč']]]</f>
        <v>1006525</v>
      </c>
      <c r="G33" s="32"/>
    </row>
    <row r="34" spans="1:11" ht="15" customHeight="1" x14ac:dyDescent="0.25">
      <c r="A34" s="39"/>
      <c r="B34" s="40" t="s">
        <v>125</v>
      </c>
      <c r="C34" s="41" t="s">
        <v>34</v>
      </c>
      <c r="D34" s="36">
        <f t="shared" ref="D34:D35" si="5">(62+18+18+52+5+7+18+3+3+3+3+5+8)*3.45+(4*2.5)*3.35*2</f>
        <v>774.25</v>
      </c>
      <c r="E34" s="37">
        <v>1300</v>
      </c>
      <c r="F34" s="38">
        <f>Tabulka428[[#This Row],[množství]]*Tabulka428[[#This Row],[jednotková cena '[Kč']]]</f>
        <v>1006525</v>
      </c>
      <c r="G34" s="32"/>
    </row>
    <row r="35" spans="1:11" ht="15" customHeight="1" x14ac:dyDescent="0.25">
      <c r="A35" s="39"/>
      <c r="B35" s="40" t="s">
        <v>126</v>
      </c>
      <c r="C35" s="41" t="s">
        <v>34</v>
      </c>
      <c r="D35" s="36">
        <f t="shared" si="5"/>
        <v>774.25</v>
      </c>
      <c r="E35" s="37">
        <v>1300</v>
      </c>
      <c r="F35" s="38">
        <f>Tabulka428[[#This Row],[množství]]*Tabulka428[[#This Row],[jednotková cena '[Kč']]]</f>
        <v>1006525</v>
      </c>
      <c r="G35" s="32"/>
    </row>
    <row r="36" spans="1:11" ht="15" customHeight="1" x14ac:dyDescent="0.25">
      <c r="A36" s="19" t="s">
        <v>39</v>
      </c>
      <c r="B36" s="20" t="s">
        <v>40</v>
      </c>
      <c r="C36" s="21"/>
      <c r="D36" s="42"/>
      <c r="E36" s="43"/>
      <c r="F36" s="44">
        <f>SUM(F37:F37)</f>
        <v>6600000</v>
      </c>
      <c r="G36" s="32"/>
      <c r="I36" s="31"/>
      <c r="K36" s="31"/>
    </row>
    <row r="37" spans="1:11" ht="15" customHeight="1" x14ac:dyDescent="0.25">
      <c r="A37" s="39"/>
      <c r="B37" s="40" t="s">
        <v>194</v>
      </c>
      <c r="C37" s="41" t="s">
        <v>34</v>
      </c>
      <c r="D37" s="36">
        <f>220+990*2</f>
        <v>2200</v>
      </c>
      <c r="E37" s="37">
        <v>3000</v>
      </c>
      <c r="F37" s="38">
        <f>Tabulka428[[#This Row],[množství]]*Tabulka428[[#This Row],[jednotková cena '[Kč']]]</f>
        <v>6600000</v>
      </c>
      <c r="G37" s="32"/>
    </row>
    <row r="38" spans="1:11" ht="15" customHeight="1" x14ac:dyDescent="0.25">
      <c r="A38" s="19" t="s">
        <v>41</v>
      </c>
      <c r="B38" s="20" t="s">
        <v>42</v>
      </c>
      <c r="C38" s="21"/>
      <c r="D38" s="42"/>
      <c r="E38" s="43"/>
      <c r="F38" s="44">
        <f>SUM(F39:F42)</f>
        <v>4940000</v>
      </c>
      <c r="G38" s="32"/>
      <c r="I38" s="31"/>
      <c r="K38" s="31"/>
    </row>
    <row r="39" spans="1:11" ht="15" customHeight="1" x14ac:dyDescent="0.25">
      <c r="A39" s="47"/>
      <c r="B39" s="40" t="s">
        <v>43</v>
      </c>
      <c r="C39" s="41" t="s">
        <v>34</v>
      </c>
      <c r="D39" s="36">
        <v>1300</v>
      </c>
      <c r="E39" s="37">
        <v>950</v>
      </c>
      <c r="F39" s="38">
        <f>D39*E39</f>
        <v>1235000</v>
      </c>
      <c r="G39" s="32"/>
    </row>
    <row r="40" spans="1:11" ht="15" customHeight="1" x14ac:dyDescent="0.25">
      <c r="A40" s="47"/>
      <c r="B40" s="40" t="s">
        <v>44</v>
      </c>
      <c r="C40" s="41" t="s">
        <v>34</v>
      </c>
      <c r="D40" s="36">
        <v>1300</v>
      </c>
      <c r="E40" s="37">
        <v>950</v>
      </c>
      <c r="F40" s="38">
        <f t="shared" ref="F40:F42" si="6">D40*E40</f>
        <v>1235000</v>
      </c>
      <c r="G40" s="32"/>
    </row>
    <row r="41" spans="1:11" ht="15" customHeight="1" x14ac:dyDescent="0.25">
      <c r="A41" s="47"/>
      <c r="B41" s="40" t="s">
        <v>127</v>
      </c>
      <c r="C41" s="41" t="s">
        <v>34</v>
      </c>
      <c r="D41" s="36">
        <v>1300</v>
      </c>
      <c r="E41" s="37">
        <v>950</v>
      </c>
      <c r="F41" s="38">
        <f t="shared" si="6"/>
        <v>1235000</v>
      </c>
      <c r="G41" s="32"/>
    </row>
    <row r="42" spans="1:11" ht="15" customHeight="1" x14ac:dyDescent="0.25">
      <c r="A42" s="47"/>
      <c r="B42" s="40" t="s">
        <v>128</v>
      </c>
      <c r="C42" s="41" t="s">
        <v>34</v>
      </c>
      <c r="D42" s="36">
        <v>1300</v>
      </c>
      <c r="E42" s="37">
        <v>950</v>
      </c>
      <c r="F42" s="38">
        <f t="shared" si="6"/>
        <v>1235000</v>
      </c>
      <c r="G42" s="32"/>
    </row>
    <row r="43" spans="1:11" ht="15" customHeight="1" x14ac:dyDescent="0.25">
      <c r="A43" s="19" t="s">
        <v>45</v>
      </c>
      <c r="B43" s="20" t="s">
        <v>46</v>
      </c>
      <c r="C43" s="21"/>
      <c r="D43" s="42"/>
      <c r="E43" s="43"/>
      <c r="F43" s="44">
        <f>SUM(F44:F44)</f>
        <v>2000000</v>
      </c>
      <c r="G43" s="32"/>
      <c r="I43" s="31"/>
      <c r="K43" s="31"/>
    </row>
    <row r="44" spans="1:11" ht="15" customHeight="1" x14ac:dyDescent="0.25">
      <c r="A44" s="47"/>
      <c r="B44" s="40" t="s">
        <v>46</v>
      </c>
      <c r="C44" s="41" t="s">
        <v>29</v>
      </c>
      <c r="D44" s="36">
        <v>1</v>
      </c>
      <c r="E44" s="37">
        <v>2000000</v>
      </c>
      <c r="F44" s="38">
        <f>Tabulka428[[#This Row],[množství]]*Tabulka428[[#This Row],[jednotková cena '[Kč']]]</f>
        <v>2000000</v>
      </c>
      <c r="G44" s="32"/>
    </row>
    <row r="45" spans="1:11" ht="15" customHeight="1" x14ac:dyDescent="0.25">
      <c r="A45" s="19" t="s">
        <v>47</v>
      </c>
      <c r="B45" s="20" t="s">
        <v>48</v>
      </c>
      <c r="C45" s="21"/>
      <c r="D45" s="42"/>
      <c r="E45" s="43"/>
      <c r="F45" s="44">
        <f>SUM(F46:F46)</f>
        <v>1200000</v>
      </c>
      <c r="G45" s="32"/>
      <c r="I45" s="31"/>
      <c r="K45" s="31"/>
    </row>
    <row r="46" spans="1:11" ht="15" customHeight="1" x14ac:dyDescent="0.25">
      <c r="A46" s="39"/>
      <c r="B46" s="40" t="s">
        <v>49</v>
      </c>
      <c r="C46" s="41" t="s">
        <v>29</v>
      </c>
      <c r="D46" s="36">
        <v>1</v>
      </c>
      <c r="E46" s="37">
        <v>1200000</v>
      </c>
      <c r="F46" s="38">
        <f>Tabulka428[[#This Row],[množství]]*Tabulka428[[#This Row],[jednotková cena '[Kč']]]</f>
        <v>1200000</v>
      </c>
    </row>
    <row r="47" spans="1:11" ht="15" customHeight="1" x14ac:dyDescent="0.25">
      <c r="A47" s="19" t="s">
        <v>52</v>
      </c>
      <c r="B47" s="20" t="s">
        <v>91</v>
      </c>
      <c r="C47" s="21"/>
      <c r="D47" s="42"/>
      <c r="E47" s="43"/>
      <c r="F47" s="44">
        <f>SUM(F48:F48)</f>
        <v>8224000</v>
      </c>
      <c r="K47" s="31"/>
    </row>
    <row r="48" spans="1:11" ht="15" customHeight="1" x14ac:dyDescent="0.25">
      <c r="A48" s="47"/>
      <c r="B48" s="40" t="s">
        <v>53</v>
      </c>
      <c r="C48" s="41" t="s">
        <v>29</v>
      </c>
      <c r="D48" s="36">
        <v>1</v>
      </c>
      <c r="E48" s="37">
        <v>8224000</v>
      </c>
      <c r="F48" s="38">
        <f>Tabulka428[[#This Row],[množství]]*Tabulka428[[#This Row],[jednotková cena '[Kč']]]</f>
        <v>8224000</v>
      </c>
    </row>
    <row r="49" spans="1:11" ht="15" customHeight="1" x14ac:dyDescent="0.25">
      <c r="A49" s="19">
        <v>711</v>
      </c>
      <c r="B49" s="20" t="s">
        <v>54</v>
      </c>
      <c r="C49" s="21"/>
      <c r="D49" s="42"/>
      <c r="E49" s="43"/>
      <c r="F49" s="44">
        <f>SUM(F50:F51)</f>
        <v>14550000</v>
      </c>
      <c r="K49" s="32"/>
    </row>
    <row r="50" spans="1:11" ht="15" customHeight="1" x14ac:dyDescent="0.25">
      <c r="A50" s="39"/>
      <c r="B50" s="40" t="s">
        <v>232</v>
      </c>
      <c r="C50" s="41" t="s">
        <v>29</v>
      </c>
      <c r="D50" s="36">
        <v>1350</v>
      </c>
      <c r="E50" s="37">
        <v>4500</v>
      </c>
      <c r="F50" s="38">
        <f>Tabulka428[[#This Row],[množství]]*Tabulka428[[#This Row],[jednotková cena '[Kč']]]</f>
        <v>6075000</v>
      </c>
    </row>
    <row r="51" spans="1:11" ht="15" customHeight="1" x14ac:dyDescent="0.25">
      <c r="A51" s="39"/>
      <c r="B51" s="40" t="s">
        <v>233</v>
      </c>
      <c r="C51" s="41" t="s">
        <v>29</v>
      </c>
      <c r="D51" s="36">
        <v>1350</v>
      </c>
      <c r="E51" s="37">
        <v>4500</v>
      </c>
      <c r="F51" s="38">
        <f>SUM(F52:F52)</f>
        <v>8475000</v>
      </c>
    </row>
    <row r="52" spans="1:11" ht="15" customHeight="1" x14ac:dyDescent="0.25">
      <c r="A52" s="19">
        <v>713</v>
      </c>
      <c r="B52" s="20" t="s">
        <v>55</v>
      </c>
      <c r="C52" s="21"/>
      <c r="D52" s="42"/>
      <c r="E52" s="43"/>
      <c r="F52" s="44">
        <f>SUM(F53:F54)</f>
        <v>8475000</v>
      </c>
    </row>
    <row r="53" spans="1:11" ht="15" customHeight="1" x14ac:dyDescent="0.25">
      <c r="A53" s="47"/>
      <c r="B53" s="40" t="s">
        <v>56</v>
      </c>
      <c r="C53" s="41" t="s">
        <v>34</v>
      </c>
      <c r="D53" s="36">
        <v>1350</v>
      </c>
      <c r="E53" s="37">
        <v>2500</v>
      </c>
      <c r="F53" s="38">
        <f>D53*E53</f>
        <v>3375000</v>
      </c>
    </row>
    <row r="54" spans="1:11" ht="15" customHeight="1" x14ac:dyDescent="0.25">
      <c r="A54" s="47"/>
      <c r="B54" s="40" t="s">
        <v>234</v>
      </c>
      <c r="C54" s="41" t="s">
        <v>34</v>
      </c>
      <c r="D54" s="36">
        <v>1700</v>
      </c>
      <c r="E54" s="37">
        <v>3000</v>
      </c>
      <c r="F54" s="38">
        <f>D54*E54</f>
        <v>5100000</v>
      </c>
    </row>
    <row r="55" spans="1:11" ht="15" customHeight="1" x14ac:dyDescent="0.25">
      <c r="A55" s="19">
        <v>714</v>
      </c>
      <c r="B55" s="20" t="s">
        <v>167</v>
      </c>
      <c r="C55" s="21"/>
      <c r="D55" s="42"/>
      <c r="E55" s="43"/>
      <c r="F55" s="44">
        <f>SUM(F56:F56)</f>
        <v>770000</v>
      </c>
    </row>
    <row r="56" spans="1:11" ht="15" customHeight="1" x14ac:dyDescent="0.25">
      <c r="A56" s="47"/>
      <c r="B56" s="40" t="s">
        <v>57</v>
      </c>
      <c r="C56" s="41" t="s">
        <v>29</v>
      </c>
      <c r="D56" s="36">
        <v>1</v>
      </c>
      <c r="E56" s="37">
        <v>770000</v>
      </c>
      <c r="F56" s="38">
        <f>Tabulka428[[#This Row],[množství]]*Tabulka428[[#This Row],[jednotková cena '[Kč']]]</f>
        <v>770000</v>
      </c>
    </row>
    <row r="57" spans="1:11" ht="30" customHeight="1" x14ac:dyDescent="0.25">
      <c r="A57" s="19">
        <v>721</v>
      </c>
      <c r="B57" s="20" t="s">
        <v>58</v>
      </c>
      <c r="C57" s="21"/>
      <c r="D57" s="42"/>
      <c r="E57" s="43"/>
      <c r="F57" s="44">
        <f>SUM(F58:F60)</f>
        <v>8040000</v>
      </c>
    </row>
    <row r="58" spans="1:11" ht="15" customHeight="1" x14ac:dyDescent="0.25">
      <c r="A58" s="47"/>
      <c r="B58" s="40" t="s">
        <v>174</v>
      </c>
      <c r="C58" s="41" t="s">
        <v>29</v>
      </c>
      <c r="D58" s="36">
        <v>1</v>
      </c>
      <c r="E58" s="37">
        <v>3230000</v>
      </c>
      <c r="F58" s="38">
        <f>Tabulka428[[#This Row],[množství]]*Tabulka428[[#This Row],[jednotková cena '[Kč']]]</f>
        <v>3230000</v>
      </c>
    </row>
    <row r="59" spans="1:11" ht="15" customHeight="1" x14ac:dyDescent="0.25">
      <c r="A59" s="47"/>
      <c r="B59" s="40" t="s">
        <v>175</v>
      </c>
      <c r="C59" s="41" t="s">
        <v>29</v>
      </c>
      <c r="D59" s="36">
        <v>1</v>
      </c>
      <c r="E59" s="37">
        <v>2850000</v>
      </c>
      <c r="F59" s="38">
        <f>Tabulka428[[#This Row],[množství]]*Tabulka428[[#This Row],[jednotková cena '[Kč']]]</f>
        <v>2850000</v>
      </c>
    </row>
    <row r="60" spans="1:11" ht="15" customHeight="1" x14ac:dyDescent="0.25">
      <c r="A60" s="47"/>
      <c r="B60" s="40" t="s">
        <v>176</v>
      </c>
      <c r="C60" s="41" t="s">
        <v>29</v>
      </c>
      <c r="D60" s="36">
        <v>1</v>
      </c>
      <c r="E60" s="37">
        <v>1960000</v>
      </c>
      <c r="F60" s="38">
        <f>Tabulka428[[#This Row],[množství]]*Tabulka428[[#This Row],[jednotková cena '[Kč']]]</f>
        <v>1960000</v>
      </c>
    </row>
    <row r="61" spans="1:11" ht="15" customHeight="1" x14ac:dyDescent="0.25">
      <c r="A61" s="19">
        <v>731</v>
      </c>
      <c r="B61" s="20" t="s">
        <v>145</v>
      </c>
      <c r="C61" s="21"/>
      <c r="D61" s="42"/>
      <c r="E61" s="43"/>
      <c r="F61" s="44">
        <f>SUM(F62:F70)</f>
        <v>7988000</v>
      </c>
    </row>
    <row r="62" spans="1:11" ht="15" customHeight="1" x14ac:dyDescent="0.25">
      <c r="A62" s="39"/>
      <c r="B62" s="40" t="s">
        <v>150</v>
      </c>
      <c r="C62" s="41" t="s">
        <v>29</v>
      </c>
      <c r="D62" s="36">
        <v>1</v>
      </c>
      <c r="E62" s="37">
        <v>992000</v>
      </c>
      <c r="F62" s="38">
        <f>D62*E62</f>
        <v>992000</v>
      </c>
    </row>
    <row r="63" spans="1:11" ht="15" customHeight="1" x14ac:dyDescent="0.25">
      <c r="A63" s="39"/>
      <c r="B63" s="40" t="s">
        <v>149</v>
      </c>
      <c r="C63" s="41" t="s">
        <v>29</v>
      </c>
      <c r="D63" s="36">
        <v>1</v>
      </c>
      <c r="E63" s="37">
        <v>260000</v>
      </c>
      <c r="F63" s="38">
        <f t="shared" ref="F63:F70" si="7">D63*E63</f>
        <v>260000</v>
      </c>
    </row>
    <row r="64" spans="1:11" ht="15" customHeight="1" x14ac:dyDescent="0.25">
      <c r="A64" s="39"/>
      <c r="B64" s="40" t="s">
        <v>142</v>
      </c>
      <c r="C64" s="41" t="s">
        <v>29</v>
      </c>
      <c r="D64" s="36">
        <v>1</v>
      </c>
      <c r="E64" s="37">
        <v>2688000</v>
      </c>
      <c r="F64" s="38">
        <f t="shared" si="7"/>
        <v>2688000</v>
      </c>
    </row>
    <row r="65" spans="1:6" ht="15" customHeight="1" x14ac:dyDescent="0.25">
      <c r="A65" s="39"/>
      <c r="B65" s="40" t="s">
        <v>137</v>
      </c>
      <c r="C65" s="41" t="s">
        <v>29</v>
      </c>
      <c r="D65" s="36">
        <v>1</v>
      </c>
      <c r="E65" s="37">
        <v>786000</v>
      </c>
      <c r="F65" s="38">
        <f t="shared" si="7"/>
        <v>786000</v>
      </c>
    </row>
    <row r="66" spans="1:6" ht="15" customHeight="1" x14ac:dyDescent="0.25">
      <c r="A66" s="39"/>
      <c r="B66" s="40" t="s">
        <v>143</v>
      </c>
      <c r="C66" s="41" t="s">
        <v>29</v>
      </c>
      <c r="D66" s="36">
        <v>1</v>
      </c>
      <c r="E66" s="37">
        <v>1254000</v>
      </c>
      <c r="F66" s="38">
        <f t="shared" si="7"/>
        <v>1254000</v>
      </c>
    </row>
    <row r="67" spans="1:6" ht="15" customHeight="1" x14ac:dyDescent="0.25">
      <c r="A67" s="39"/>
      <c r="B67" s="40" t="s">
        <v>151</v>
      </c>
      <c r="C67" s="41" t="s">
        <v>29</v>
      </c>
      <c r="D67" s="36">
        <v>1</v>
      </c>
      <c r="E67" s="37">
        <v>1206000</v>
      </c>
      <c r="F67" s="38">
        <f t="shared" si="7"/>
        <v>1206000</v>
      </c>
    </row>
    <row r="68" spans="1:6" ht="15" customHeight="1" x14ac:dyDescent="0.25">
      <c r="A68" s="39"/>
      <c r="B68" s="40" t="s">
        <v>144</v>
      </c>
      <c r="C68" s="41" t="s">
        <v>29</v>
      </c>
      <c r="D68" s="36">
        <v>1</v>
      </c>
      <c r="E68" s="37">
        <v>212000</v>
      </c>
      <c r="F68" s="38">
        <f t="shared" si="7"/>
        <v>212000</v>
      </c>
    </row>
    <row r="69" spans="1:6" ht="15" customHeight="1" x14ac:dyDescent="0.25">
      <c r="A69" s="39"/>
      <c r="B69" s="40" t="s">
        <v>138</v>
      </c>
      <c r="C69" s="41" t="s">
        <v>29</v>
      </c>
      <c r="D69" s="36">
        <v>1</v>
      </c>
      <c r="E69" s="37">
        <v>380000</v>
      </c>
      <c r="F69" s="38">
        <f t="shared" si="7"/>
        <v>380000</v>
      </c>
    </row>
    <row r="70" spans="1:6" ht="15" customHeight="1" x14ac:dyDescent="0.25">
      <c r="A70" s="39"/>
      <c r="B70" s="40" t="s">
        <v>139</v>
      </c>
      <c r="C70" s="41" t="s">
        <v>29</v>
      </c>
      <c r="D70" s="36">
        <v>1</v>
      </c>
      <c r="E70" s="37">
        <v>210000</v>
      </c>
      <c r="F70" s="38">
        <f t="shared" si="7"/>
        <v>210000</v>
      </c>
    </row>
    <row r="71" spans="1:6" ht="15" customHeight="1" x14ac:dyDescent="0.25">
      <c r="A71" s="19">
        <v>741</v>
      </c>
      <c r="B71" s="20" t="s">
        <v>59</v>
      </c>
      <c r="C71" s="21"/>
      <c r="D71" s="42"/>
      <c r="E71" s="43"/>
      <c r="F71" s="44">
        <f>SUM(F72:F76)</f>
        <v>40050000</v>
      </c>
    </row>
    <row r="72" spans="1:6" ht="15" customHeight="1" x14ac:dyDescent="0.25">
      <c r="A72" s="47"/>
      <c r="B72" s="40" t="s">
        <v>177</v>
      </c>
      <c r="C72" s="41" t="s">
        <v>29</v>
      </c>
      <c r="D72" s="36">
        <v>1</v>
      </c>
      <c r="E72" s="37">
        <v>5450000</v>
      </c>
      <c r="F72" s="38">
        <f>Tabulka428[[#This Row],[jednotková cena '[Kč']]]*Tabulka428[[#This Row],[množství]]</f>
        <v>5450000</v>
      </c>
    </row>
    <row r="73" spans="1:6" ht="15" customHeight="1" x14ac:dyDescent="0.25">
      <c r="A73" s="39"/>
      <c r="B73" s="40" t="s">
        <v>178</v>
      </c>
      <c r="C73" s="41" t="s">
        <v>29</v>
      </c>
      <c r="D73" s="36">
        <v>1</v>
      </c>
      <c r="E73" s="37">
        <v>13500000</v>
      </c>
      <c r="F73" s="38">
        <f>Tabulka428[[#This Row],[jednotková cena '[Kč']]]*Tabulka428[[#This Row],[množství]]</f>
        <v>13500000</v>
      </c>
    </row>
    <row r="74" spans="1:6" ht="15" customHeight="1" x14ac:dyDescent="0.25">
      <c r="A74" s="39"/>
      <c r="B74" s="40" t="s">
        <v>179</v>
      </c>
      <c r="C74" s="41" t="s">
        <v>29</v>
      </c>
      <c r="D74" s="36">
        <v>1</v>
      </c>
      <c r="E74" s="37">
        <v>3600000</v>
      </c>
      <c r="F74" s="38">
        <f>Tabulka428[[#This Row],[jednotková cena '[Kč']]]*Tabulka428[[#This Row],[množství]]</f>
        <v>3600000</v>
      </c>
    </row>
    <row r="75" spans="1:6" ht="15" customHeight="1" x14ac:dyDescent="0.25">
      <c r="A75" s="39"/>
      <c r="B75" s="40" t="s">
        <v>180</v>
      </c>
      <c r="C75" s="41" t="s">
        <v>29</v>
      </c>
      <c r="D75" s="36">
        <v>1</v>
      </c>
      <c r="E75" s="37">
        <v>13500000</v>
      </c>
      <c r="F75" s="38">
        <f>Tabulka428[[#This Row],[jednotková cena '[Kč']]]*Tabulka428[[#This Row],[množství]]</f>
        <v>13500000</v>
      </c>
    </row>
    <row r="76" spans="1:6" ht="15" customHeight="1" x14ac:dyDescent="0.25">
      <c r="A76" s="39"/>
      <c r="B76" s="40" t="s">
        <v>181</v>
      </c>
      <c r="C76" s="41" t="s">
        <v>29</v>
      </c>
      <c r="D76" s="36">
        <v>1</v>
      </c>
      <c r="E76" s="37">
        <v>4000000</v>
      </c>
      <c r="F76" s="38">
        <f>Tabulka428[[#This Row],[jednotková cena '[Kč']]]*Tabulka428[[#This Row],[množství]]</f>
        <v>4000000</v>
      </c>
    </row>
    <row r="77" spans="1:6" ht="15" customHeight="1" x14ac:dyDescent="0.25">
      <c r="A77" s="19">
        <v>742</v>
      </c>
      <c r="B77" s="20" t="s">
        <v>60</v>
      </c>
      <c r="C77" s="21"/>
      <c r="D77" s="42"/>
      <c r="E77" s="43"/>
      <c r="F77" s="44">
        <f>SUM(F78:F79)</f>
        <v>7650000</v>
      </c>
    </row>
    <row r="78" spans="1:6" ht="15" customHeight="1" x14ac:dyDescent="0.25">
      <c r="A78" s="47"/>
      <c r="B78" s="40" t="s">
        <v>61</v>
      </c>
      <c r="C78" s="41" t="s">
        <v>29</v>
      </c>
      <c r="D78" s="36">
        <v>1</v>
      </c>
      <c r="E78" s="37">
        <v>4300000</v>
      </c>
      <c r="F78" s="38">
        <f>Tabulka428[[#This Row],[množství]]*Tabulka428[[#This Row],[jednotková cena '[Kč']]]</f>
        <v>4300000</v>
      </c>
    </row>
    <row r="79" spans="1:6" ht="15" customHeight="1" x14ac:dyDescent="0.25">
      <c r="A79" s="47"/>
      <c r="B79" s="40" t="s">
        <v>63</v>
      </c>
      <c r="C79" s="41" t="s">
        <v>29</v>
      </c>
      <c r="D79" s="36">
        <v>1</v>
      </c>
      <c r="E79" s="37">
        <v>3350000</v>
      </c>
      <c r="F79" s="38">
        <f>Tabulka428[[#This Row],[množství]]*Tabulka428[[#This Row],[jednotková cena '[Kč']]]</f>
        <v>3350000</v>
      </c>
    </row>
    <row r="80" spans="1:6" ht="15" customHeight="1" x14ac:dyDescent="0.25">
      <c r="A80" s="19">
        <v>751</v>
      </c>
      <c r="B80" s="20" t="s">
        <v>64</v>
      </c>
      <c r="C80" s="21"/>
      <c r="D80" s="42"/>
      <c r="E80" s="43"/>
      <c r="F80" s="44">
        <f>SUM(F81:F93)</f>
        <v>11889450</v>
      </c>
    </row>
    <row r="81" spans="1:6" ht="15" customHeight="1" x14ac:dyDescent="0.25">
      <c r="A81" s="39"/>
      <c r="B81" s="40" t="s">
        <v>223</v>
      </c>
      <c r="C81" s="41" t="s">
        <v>29</v>
      </c>
      <c r="D81" s="36">
        <v>1</v>
      </c>
      <c r="E81" s="37">
        <f>(840+517+173)*1000</f>
        <v>1530000</v>
      </c>
      <c r="F81" s="38">
        <f>Tabulka428[[#This Row],[množství]]*Tabulka428[[#This Row],[jednotková cena '[Kč']]]</f>
        <v>1530000</v>
      </c>
    </row>
    <row r="82" spans="1:6" ht="15" customHeight="1" x14ac:dyDescent="0.25">
      <c r="A82" s="39"/>
      <c r="B82" s="40" t="s">
        <v>224</v>
      </c>
      <c r="C82" s="41" t="s">
        <v>29</v>
      </c>
      <c r="D82" s="36">
        <v>1</v>
      </c>
      <c r="E82" s="37">
        <f t="shared" ref="E82:E83" si="8">(840+517+173)*1000</f>
        <v>1530000</v>
      </c>
      <c r="F82" s="38">
        <f>Tabulka428[[#This Row],[množství]]*Tabulka428[[#This Row],[jednotková cena '[Kč']]]</f>
        <v>1530000</v>
      </c>
    </row>
    <row r="83" spans="1:6" ht="15" customHeight="1" x14ac:dyDescent="0.25">
      <c r="A83" s="39"/>
      <c r="B83" s="40" t="s">
        <v>225</v>
      </c>
      <c r="C83" s="41" t="s">
        <v>29</v>
      </c>
      <c r="D83" s="36">
        <v>1</v>
      </c>
      <c r="E83" s="37">
        <f t="shared" si="8"/>
        <v>1530000</v>
      </c>
      <c r="F83" s="38">
        <f>Tabulka428[[#This Row],[množství]]*Tabulka428[[#This Row],[jednotková cena '[Kč']]]</f>
        <v>1530000</v>
      </c>
    </row>
    <row r="84" spans="1:6" ht="15" customHeight="1" x14ac:dyDescent="0.25">
      <c r="A84" s="39"/>
      <c r="B84" s="40" t="s">
        <v>226</v>
      </c>
      <c r="C84" s="41" t="s">
        <v>29</v>
      </c>
      <c r="D84" s="36">
        <v>1</v>
      </c>
      <c r="E84" s="37">
        <f>(690+517+173)*1000</f>
        <v>1380000</v>
      </c>
      <c r="F84" s="38">
        <f>Tabulka428[[#This Row],[množství]]*Tabulka428[[#This Row],[jednotková cena '[Kč']]]</f>
        <v>1380000</v>
      </c>
    </row>
    <row r="85" spans="1:6" ht="15" customHeight="1" x14ac:dyDescent="0.25">
      <c r="A85" s="39"/>
      <c r="B85" s="40" t="s">
        <v>227</v>
      </c>
      <c r="C85" s="41" t="s">
        <v>29</v>
      </c>
      <c r="D85" s="36">
        <v>1</v>
      </c>
      <c r="E85" s="37">
        <v>105000</v>
      </c>
      <c r="F85" s="38">
        <f>Tabulka428[[#This Row],[množství]]*Tabulka428[[#This Row],[jednotková cena '[Kč']]]</f>
        <v>105000</v>
      </c>
    </row>
    <row r="86" spans="1:6" ht="15" customHeight="1" x14ac:dyDescent="0.25">
      <c r="A86" s="39"/>
      <c r="B86" s="40" t="s">
        <v>228</v>
      </c>
      <c r="C86" s="41" t="s">
        <v>29</v>
      </c>
      <c r="D86" s="36">
        <v>1</v>
      </c>
      <c r="E86" s="37">
        <v>160000</v>
      </c>
      <c r="F86" s="38">
        <f>Tabulka428[[#This Row],[množství]]*Tabulka428[[#This Row],[jednotková cena '[Kč']]]</f>
        <v>160000</v>
      </c>
    </row>
    <row r="87" spans="1:6" ht="15" customHeight="1" x14ac:dyDescent="0.25">
      <c r="A87" s="39"/>
      <c r="B87" s="40" t="s">
        <v>229</v>
      </c>
      <c r="C87" s="41" t="s">
        <v>29</v>
      </c>
      <c r="D87" s="36">
        <v>1</v>
      </c>
      <c r="E87" s="37">
        <v>35000</v>
      </c>
      <c r="F87" s="38">
        <f>Tabulka428[[#This Row],[množství]]*Tabulka428[[#This Row],[jednotková cena '[Kč']]]</f>
        <v>35000</v>
      </c>
    </row>
    <row r="88" spans="1:6" ht="15" customHeight="1" x14ac:dyDescent="0.25">
      <c r="A88" s="39"/>
      <c r="B88" s="40" t="s">
        <v>187</v>
      </c>
      <c r="C88" s="41" t="s">
        <v>29</v>
      </c>
      <c r="D88" s="36">
        <v>1</v>
      </c>
      <c r="E88" s="37">
        <v>105000</v>
      </c>
      <c r="F88" s="38">
        <f>Tabulka428[[#This Row],[množství]]*Tabulka428[[#This Row],[jednotková cena '[Kč']]]</f>
        <v>105000</v>
      </c>
    </row>
    <row r="89" spans="1:6" ht="15" customHeight="1" x14ac:dyDescent="0.25">
      <c r="A89" s="39"/>
      <c r="B89" s="40" t="s">
        <v>230</v>
      </c>
      <c r="C89" s="41" t="s">
        <v>29</v>
      </c>
      <c r="D89" s="36">
        <v>1</v>
      </c>
      <c r="E89" s="37">
        <v>83000</v>
      </c>
      <c r="F89" s="38">
        <f>Tabulka428[[#This Row],[množství]]*Tabulka428[[#This Row],[jednotková cena '[Kč']]]</f>
        <v>83000</v>
      </c>
    </row>
    <row r="90" spans="1:6" ht="15" customHeight="1" x14ac:dyDescent="0.25">
      <c r="A90" s="39"/>
      <c r="B90" s="40" t="s">
        <v>188</v>
      </c>
      <c r="C90" s="41" t="s">
        <v>29</v>
      </c>
      <c r="D90" s="36">
        <v>1</v>
      </c>
      <c r="E90" s="37">
        <v>3600000</v>
      </c>
      <c r="F90" s="38">
        <f>Tabulka428[[#This Row],[množství]]*Tabulka428[[#This Row],[jednotková cena '[Kč']]]</f>
        <v>3600000</v>
      </c>
    </row>
    <row r="91" spans="1:6" ht="15" customHeight="1" x14ac:dyDescent="0.25">
      <c r="A91" s="39"/>
      <c r="B91" s="40" t="s">
        <v>231</v>
      </c>
      <c r="C91" s="41" t="s">
        <v>29</v>
      </c>
      <c r="D91" s="36">
        <v>1</v>
      </c>
      <c r="E91" s="37">
        <v>360000</v>
      </c>
      <c r="F91" s="38">
        <f>Tabulka428[[#This Row],[množství]]*Tabulka428[[#This Row],[jednotková cena '[Kč']]]</f>
        <v>360000</v>
      </c>
    </row>
    <row r="92" spans="1:6" ht="15" customHeight="1" x14ac:dyDescent="0.25">
      <c r="A92" s="39"/>
      <c r="B92" s="40" t="s">
        <v>189</v>
      </c>
      <c r="C92" s="41" t="s">
        <v>29</v>
      </c>
      <c r="D92" s="36">
        <v>1</v>
      </c>
      <c r="E92" s="37">
        <v>500000</v>
      </c>
      <c r="F92" s="38">
        <f>Tabulka428[[#This Row],[množství]]*Tabulka428[[#This Row],[jednotková cena '[Kč']]]</f>
        <v>500000</v>
      </c>
    </row>
    <row r="93" spans="1:6" ht="15" customHeight="1" x14ac:dyDescent="0.25">
      <c r="A93" s="39"/>
      <c r="B93" s="40" t="s">
        <v>87</v>
      </c>
      <c r="C93" s="41" t="s">
        <v>29</v>
      </c>
      <c r="D93" s="36">
        <v>1</v>
      </c>
      <c r="E93" s="37">
        <v>971450</v>
      </c>
      <c r="F93" s="38">
        <f>Tabulka428[[#This Row],[množství]]*Tabulka428[[#This Row],[jednotková cena '[Kč']]]</f>
        <v>971450</v>
      </c>
    </row>
    <row r="94" spans="1:6" ht="15" customHeight="1" x14ac:dyDescent="0.25">
      <c r="A94" s="19">
        <v>761</v>
      </c>
      <c r="B94" s="20" t="s">
        <v>62</v>
      </c>
      <c r="C94" s="21"/>
      <c r="D94" s="42"/>
      <c r="E94" s="43"/>
      <c r="F94" s="44">
        <f t="shared" ref="F94" si="9">SUM(F95:F99)</f>
        <v>7086000</v>
      </c>
    </row>
    <row r="95" spans="1:6" ht="15" customHeight="1" x14ac:dyDescent="0.25">
      <c r="A95" s="39"/>
      <c r="B95" s="40" t="s">
        <v>82</v>
      </c>
      <c r="C95" s="41" t="s">
        <v>29</v>
      </c>
      <c r="D95" s="36">
        <v>1</v>
      </c>
      <c r="E95" s="37">
        <v>2105000</v>
      </c>
      <c r="F95" s="38">
        <f>Tabulka428[[#This Row],[množství]]*Tabulka428[[#This Row],[jednotková cena '[Kč']]]</f>
        <v>2105000</v>
      </c>
    </row>
    <row r="96" spans="1:6" ht="15" customHeight="1" x14ac:dyDescent="0.25">
      <c r="A96" s="39"/>
      <c r="B96" s="40" t="s">
        <v>83</v>
      </c>
      <c r="C96" s="41" t="s">
        <v>29</v>
      </c>
      <c r="D96" s="36">
        <v>1</v>
      </c>
      <c r="E96" s="37">
        <v>2108000</v>
      </c>
      <c r="F96" s="38">
        <f>Tabulka428[[#This Row],[množství]]*Tabulka428[[#This Row],[jednotková cena '[Kč']]]</f>
        <v>2108000</v>
      </c>
    </row>
    <row r="97" spans="1:6" ht="15" customHeight="1" x14ac:dyDescent="0.25">
      <c r="A97" s="39"/>
      <c r="B97" s="40" t="s">
        <v>84</v>
      </c>
      <c r="C97" s="41" t="s">
        <v>29</v>
      </c>
      <c r="D97" s="36">
        <v>1</v>
      </c>
      <c r="E97" s="37">
        <v>760000</v>
      </c>
      <c r="F97" s="38">
        <f>Tabulka428[[#This Row],[množství]]*Tabulka428[[#This Row],[jednotková cena '[Kč']]]</f>
        <v>760000</v>
      </c>
    </row>
    <row r="98" spans="1:6" ht="15" customHeight="1" x14ac:dyDescent="0.25">
      <c r="A98" s="39"/>
      <c r="B98" s="40" t="s">
        <v>85</v>
      </c>
      <c r="C98" s="41" t="s">
        <v>29</v>
      </c>
      <c r="D98" s="36">
        <v>1</v>
      </c>
      <c r="E98" s="37">
        <v>1105000</v>
      </c>
      <c r="F98" s="38">
        <f>Tabulka428[[#This Row],[množství]]*Tabulka428[[#This Row],[jednotková cena '[Kč']]]</f>
        <v>1105000</v>
      </c>
    </row>
    <row r="99" spans="1:6" ht="15" customHeight="1" x14ac:dyDescent="0.25">
      <c r="A99" s="39"/>
      <c r="B99" s="40" t="s">
        <v>86</v>
      </c>
      <c r="C99" s="41" t="s">
        <v>29</v>
      </c>
      <c r="D99" s="36">
        <v>1</v>
      </c>
      <c r="E99" s="37">
        <v>1008000</v>
      </c>
      <c r="F99" s="38">
        <f>Tabulka428[[#This Row],[množství]]*Tabulka428[[#This Row],[jednotková cena '[Kč']]]</f>
        <v>1008000</v>
      </c>
    </row>
    <row r="100" spans="1:6" ht="15" customHeight="1" x14ac:dyDescent="0.25">
      <c r="A100" s="19">
        <v>762</v>
      </c>
      <c r="B100" s="20" t="s">
        <v>65</v>
      </c>
      <c r="C100" s="21"/>
      <c r="D100" s="42"/>
      <c r="E100" s="43"/>
      <c r="F100" s="44">
        <f>SUM(F101:F108)</f>
        <v>17129000</v>
      </c>
    </row>
    <row r="101" spans="1:6" ht="15" customHeight="1" x14ac:dyDescent="0.25">
      <c r="A101" s="47"/>
      <c r="B101" s="40" t="s">
        <v>146</v>
      </c>
      <c r="C101" s="41" t="s">
        <v>29</v>
      </c>
      <c r="D101" s="36">
        <v>1</v>
      </c>
      <c r="E101" s="37">
        <v>3927000</v>
      </c>
      <c r="F101" s="38">
        <f>Tabulka428[[#This Row],[množství]]*Tabulka428[[#This Row],[jednotková cena '[Kč']]]</f>
        <v>3927000</v>
      </c>
    </row>
    <row r="102" spans="1:6" ht="15" customHeight="1" x14ac:dyDescent="0.25">
      <c r="A102" s="47"/>
      <c r="B102" s="40" t="s">
        <v>147</v>
      </c>
      <c r="C102" s="41" t="s">
        <v>29</v>
      </c>
      <c r="D102" s="36">
        <v>1</v>
      </c>
      <c r="E102" s="37">
        <v>2270000</v>
      </c>
      <c r="F102" s="38">
        <f>Tabulka428[[#This Row],[množství]]*Tabulka428[[#This Row],[jednotková cena '[Kč']]]</f>
        <v>2270000</v>
      </c>
    </row>
    <row r="103" spans="1:6" ht="15" customHeight="1" x14ac:dyDescent="0.25">
      <c r="A103" s="47"/>
      <c r="B103" s="40" t="s">
        <v>148</v>
      </c>
      <c r="C103" s="41" t="s">
        <v>29</v>
      </c>
      <c r="D103" s="36">
        <v>1</v>
      </c>
      <c r="E103" s="37">
        <v>340000</v>
      </c>
      <c r="F103" s="38">
        <f>Tabulka428[[#This Row],[množství]]*Tabulka428[[#This Row],[jednotková cena '[Kč']]]</f>
        <v>340000</v>
      </c>
    </row>
    <row r="104" spans="1:6" ht="15" customHeight="1" x14ac:dyDescent="0.25">
      <c r="A104" s="47"/>
      <c r="B104" s="40" t="s">
        <v>142</v>
      </c>
      <c r="C104" s="41" t="s">
        <v>29</v>
      </c>
      <c r="D104" s="36">
        <v>1</v>
      </c>
      <c r="E104" s="37">
        <v>6850000</v>
      </c>
      <c r="F104" s="38">
        <f>Tabulka428[[#This Row],[množství]]*Tabulka428[[#This Row],[jednotková cena '[Kč']]]</f>
        <v>6850000</v>
      </c>
    </row>
    <row r="105" spans="1:6" ht="15" customHeight="1" x14ac:dyDescent="0.25">
      <c r="A105" s="47"/>
      <c r="B105" s="40" t="s">
        <v>137</v>
      </c>
      <c r="C105" s="41" t="s">
        <v>29</v>
      </c>
      <c r="D105" s="36">
        <v>1</v>
      </c>
      <c r="E105" s="37">
        <v>614000</v>
      </c>
      <c r="F105" s="38">
        <f>Tabulka428[[#This Row],[množství]]*Tabulka428[[#This Row],[jednotková cena '[Kč']]]</f>
        <v>614000</v>
      </c>
    </row>
    <row r="106" spans="1:6" ht="15" customHeight="1" x14ac:dyDescent="0.25">
      <c r="A106" s="47"/>
      <c r="B106" s="40" t="s">
        <v>149</v>
      </c>
      <c r="C106" s="41" t="s">
        <v>29</v>
      </c>
      <c r="D106" s="36">
        <v>1</v>
      </c>
      <c r="E106" s="37">
        <v>2250000</v>
      </c>
      <c r="F106" s="38">
        <f>Tabulka428[[#This Row],[množství]]*Tabulka428[[#This Row],[jednotková cena '[Kč']]]</f>
        <v>2250000</v>
      </c>
    </row>
    <row r="107" spans="1:6" ht="15" customHeight="1" x14ac:dyDescent="0.25">
      <c r="A107" s="47"/>
      <c r="B107" s="40" t="s">
        <v>138</v>
      </c>
      <c r="C107" s="41" t="s">
        <v>29</v>
      </c>
      <c r="D107" s="36">
        <v>1</v>
      </c>
      <c r="E107" s="37">
        <v>610000</v>
      </c>
      <c r="F107" s="38">
        <f>Tabulka428[[#This Row],[množství]]*Tabulka428[[#This Row],[jednotková cena '[Kč']]]</f>
        <v>610000</v>
      </c>
    </row>
    <row r="108" spans="1:6" ht="15" customHeight="1" x14ac:dyDescent="0.25">
      <c r="A108" s="47"/>
      <c r="B108" s="40" t="s">
        <v>139</v>
      </c>
      <c r="C108" s="41" t="s">
        <v>29</v>
      </c>
      <c r="D108" s="36">
        <v>1</v>
      </c>
      <c r="E108" s="37">
        <v>268000</v>
      </c>
      <c r="F108" s="38">
        <f>Tabulka428[[#This Row],[množství]]*Tabulka428[[#This Row],[jednotková cena '[Kč']]]</f>
        <v>268000</v>
      </c>
    </row>
    <row r="109" spans="1:6" ht="15" customHeight="1" x14ac:dyDescent="0.25">
      <c r="A109" s="19">
        <v>763</v>
      </c>
      <c r="B109" s="20" t="s">
        <v>66</v>
      </c>
      <c r="C109" s="21"/>
      <c r="D109" s="42"/>
      <c r="E109" s="43"/>
      <c r="F109" s="44">
        <f>SUM(F110:F113)</f>
        <v>8100000</v>
      </c>
    </row>
    <row r="110" spans="1:6" ht="15" customHeight="1" x14ac:dyDescent="0.25">
      <c r="A110" s="47"/>
      <c r="B110" s="40" t="s">
        <v>67</v>
      </c>
      <c r="C110" s="41" t="s">
        <v>34</v>
      </c>
      <c r="D110" s="36">
        <v>1350</v>
      </c>
      <c r="E110" s="50">
        <v>1500</v>
      </c>
      <c r="F110" s="38">
        <f>Tabulka428[[#This Row],[množství]]*Tabulka428[[#This Row],[jednotková cena '[Kč']]]</f>
        <v>2025000</v>
      </c>
    </row>
    <row r="111" spans="1:6" ht="15" customHeight="1" x14ac:dyDescent="0.25">
      <c r="A111" s="39"/>
      <c r="B111" s="40" t="s">
        <v>68</v>
      </c>
      <c r="C111" s="41" t="s">
        <v>34</v>
      </c>
      <c r="D111" s="36">
        <v>1350</v>
      </c>
      <c r="E111" s="50">
        <v>1500</v>
      </c>
      <c r="F111" s="38">
        <f>Tabulka428[[#This Row],[množství]]*Tabulka428[[#This Row],[jednotková cena '[Kč']]]</f>
        <v>2025000</v>
      </c>
    </row>
    <row r="112" spans="1:6" ht="15" customHeight="1" x14ac:dyDescent="0.25">
      <c r="A112" s="39"/>
      <c r="B112" s="40" t="s">
        <v>190</v>
      </c>
      <c r="C112" s="41" t="s">
        <v>34</v>
      </c>
      <c r="D112" s="36">
        <v>1350</v>
      </c>
      <c r="E112" s="50">
        <v>1500</v>
      </c>
      <c r="F112" s="38">
        <f>Tabulka428[[#This Row],[množství]]*Tabulka428[[#This Row],[jednotková cena '[Kč']]]</f>
        <v>2025000</v>
      </c>
    </row>
    <row r="113" spans="1:6" ht="15" customHeight="1" x14ac:dyDescent="0.25">
      <c r="A113" s="39"/>
      <c r="B113" s="40" t="s">
        <v>191</v>
      </c>
      <c r="C113" s="41" t="s">
        <v>34</v>
      </c>
      <c r="D113" s="36">
        <v>1350</v>
      </c>
      <c r="E113" s="50">
        <v>1500</v>
      </c>
      <c r="F113" s="38">
        <f>Tabulka428[[#This Row],[množství]]*Tabulka428[[#This Row],[jednotková cena '[Kč']]]</f>
        <v>2025000</v>
      </c>
    </row>
    <row r="114" spans="1:6" ht="15" customHeight="1" x14ac:dyDescent="0.25">
      <c r="A114" s="19">
        <v>764</v>
      </c>
      <c r="B114" s="20" t="s">
        <v>195</v>
      </c>
      <c r="C114" s="21"/>
      <c r="D114" s="42"/>
      <c r="E114" s="43"/>
      <c r="F114" s="44">
        <f>SUM(F115:F115)</f>
        <v>3660000</v>
      </c>
    </row>
    <row r="115" spans="1:6" ht="15" customHeight="1" x14ac:dyDescent="0.25">
      <c r="A115" s="39"/>
      <c r="B115" s="40" t="s">
        <v>236</v>
      </c>
      <c r="C115" s="41" t="s">
        <v>29</v>
      </c>
      <c r="D115" s="36">
        <v>1</v>
      </c>
      <c r="E115" s="37">
        <v>3660000</v>
      </c>
      <c r="F115" s="38">
        <f>Tabulka428[[#This Row],[množství]]*Tabulka428[[#This Row],[jednotková cena '[Kč']]]</f>
        <v>3660000</v>
      </c>
    </row>
    <row r="116" spans="1:6" ht="15" customHeight="1" x14ac:dyDescent="0.25">
      <c r="A116" s="19">
        <v>766</v>
      </c>
      <c r="B116" s="20" t="s">
        <v>70</v>
      </c>
      <c r="C116" s="21"/>
      <c r="D116" s="42"/>
      <c r="E116" s="43"/>
      <c r="F116" s="44">
        <f>SUM(F117:F120)</f>
        <v>9200000</v>
      </c>
    </row>
    <row r="117" spans="1:6" ht="15" customHeight="1" x14ac:dyDescent="0.25">
      <c r="A117" s="39"/>
      <c r="B117" s="40" t="s">
        <v>71</v>
      </c>
      <c r="C117" s="41" t="s">
        <v>163</v>
      </c>
      <c r="D117" s="36">
        <v>34</v>
      </c>
      <c r="E117" s="37">
        <v>40000</v>
      </c>
      <c r="F117" s="38">
        <f>Tabulka428[[#This Row],[množství]]*Tabulka428[[#This Row],[jednotková cena '[Kč']]]</f>
        <v>1360000</v>
      </c>
    </row>
    <row r="118" spans="1:6" ht="15" customHeight="1" x14ac:dyDescent="0.25">
      <c r="A118" s="39"/>
      <c r="B118" s="40" t="s">
        <v>72</v>
      </c>
      <c r="C118" s="41" t="s">
        <v>163</v>
      </c>
      <c r="D118" s="36">
        <v>75</v>
      </c>
      <c r="E118" s="37">
        <v>40000</v>
      </c>
      <c r="F118" s="38">
        <f>Tabulka428[[#This Row],[množství]]*Tabulka428[[#This Row],[jednotková cena '[Kč']]]</f>
        <v>3000000</v>
      </c>
    </row>
    <row r="119" spans="1:6" ht="15" customHeight="1" x14ac:dyDescent="0.25">
      <c r="A119" s="39"/>
      <c r="B119" s="40" t="s">
        <v>246</v>
      </c>
      <c r="C119" s="41" t="s">
        <v>163</v>
      </c>
      <c r="D119" s="36">
        <v>65</v>
      </c>
      <c r="E119" s="37">
        <v>40000</v>
      </c>
      <c r="F119" s="38">
        <f>Tabulka428[[#This Row],[množství]]*Tabulka428[[#This Row],[jednotková cena '[Kč']]]</f>
        <v>2600000</v>
      </c>
    </row>
    <row r="120" spans="1:6" ht="15" customHeight="1" x14ac:dyDescent="0.25">
      <c r="A120" s="39"/>
      <c r="B120" s="40" t="s">
        <v>247</v>
      </c>
      <c r="C120" s="41" t="s">
        <v>163</v>
      </c>
      <c r="D120" s="36">
        <v>56</v>
      </c>
      <c r="E120" s="37">
        <v>40000</v>
      </c>
      <c r="F120" s="38">
        <f>Tabulka428[[#This Row],[množství]]*Tabulka428[[#This Row],[jednotková cena '[Kč']]]</f>
        <v>2240000</v>
      </c>
    </row>
    <row r="121" spans="1:6" ht="15" customHeight="1" x14ac:dyDescent="0.25">
      <c r="A121" s="19">
        <v>767</v>
      </c>
      <c r="B121" s="20" t="s">
        <v>73</v>
      </c>
      <c r="C121" s="21"/>
      <c r="D121" s="42"/>
      <c r="E121" s="43"/>
      <c r="F121" s="44">
        <f>SUM(F122:F125)</f>
        <v>25500000</v>
      </c>
    </row>
    <row r="122" spans="1:6" ht="15" customHeight="1" x14ac:dyDescent="0.25">
      <c r="A122" s="39"/>
      <c r="B122" s="40" t="s">
        <v>74</v>
      </c>
      <c r="C122" s="41" t="s">
        <v>29</v>
      </c>
      <c r="D122" s="36">
        <v>1</v>
      </c>
      <c r="E122" s="37">
        <v>3000000</v>
      </c>
      <c r="F122" s="38">
        <f>Tabulka428[[#This Row],[množství]]*Tabulka428[[#This Row],[jednotková cena '[Kč']]]</f>
        <v>3000000</v>
      </c>
    </row>
    <row r="123" spans="1:6" ht="15" customHeight="1" x14ac:dyDescent="0.25">
      <c r="A123" s="39"/>
      <c r="B123" s="40" t="s">
        <v>75</v>
      </c>
      <c r="C123" s="41" t="s">
        <v>29</v>
      </c>
      <c r="D123" s="36">
        <v>1</v>
      </c>
      <c r="E123" s="37">
        <v>7500000</v>
      </c>
      <c r="F123" s="38">
        <f>Tabulka428[[#This Row],[množství]]*Tabulka428[[#This Row],[jednotková cena '[Kč']]]</f>
        <v>7500000</v>
      </c>
    </row>
    <row r="124" spans="1:6" ht="15" customHeight="1" x14ac:dyDescent="0.25">
      <c r="A124" s="39"/>
      <c r="B124" s="40" t="s">
        <v>244</v>
      </c>
      <c r="C124" s="41" t="s">
        <v>29</v>
      </c>
      <c r="D124" s="36">
        <v>1</v>
      </c>
      <c r="E124" s="37">
        <v>7500000</v>
      </c>
      <c r="F124" s="38">
        <f>Tabulka428[[#This Row],[množství]]*Tabulka428[[#This Row],[jednotková cena '[Kč']]]</f>
        <v>7500000</v>
      </c>
    </row>
    <row r="125" spans="1:6" ht="15" customHeight="1" x14ac:dyDescent="0.25">
      <c r="A125" s="39"/>
      <c r="B125" s="40" t="s">
        <v>245</v>
      </c>
      <c r="C125" s="41" t="s">
        <v>29</v>
      </c>
      <c r="D125" s="36">
        <v>1</v>
      </c>
      <c r="E125" s="37">
        <v>7500000</v>
      </c>
      <c r="F125" s="38">
        <f>Tabulka428[[#This Row],[množství]]*Tabulka428[[#This Row],[jednotková cena '[Kč']]]</f>
        <v>7500000</v>
      </c>
    </row>
    <row r="126" spans="1:6" ht="15" customHeight="1" x14ac:dyDescent="0.25">
      <c r="A126" s="19">
        <v>776</v>
      </c>
      <c r="B126" s="20" t="s">
        <v>173</v>
      </c>
      <c r="C126" s="21"/>
      <c r="D126" s="42"/>
      <c r="E126" s="43"/>
      <c r="F126" s="44">
        <f>SUM(F127:F130)</f>
        <v>9720000</v>
      </c>
    </row>
    <row r="127" spans="1:6" ht="15" customHeight="1" x14ac:dyDescent="0.25">
      <c r="A127" s="47"/>
      <c r="B127" s="40" t="s">
        <v>43</v>
      </c>
      <c r="C127" s="41" t="s">
        <v>34</v>
      </c>
      <c r="D127" s="36">
        <v>1350</v>
      </c>
      <c r="E127" s="37">
        <v>1800</v>
      </c>
      <c r="F127" s="38">
        <f>D127*E127</f>
        <v>2430000</v>
      </c>
    </row>
    <row r="128" spans="1:6" ht="15" customHeight="1" x14ac:dyDescent="0.25">
      <c r="A128" s="39"/>
      <c r="B128" s="40" t="s">
        <v>44</v>
      </c>
      <c r="C128" s="41" t="s">
        <v>34</v>
      </c>
      <c r="D128" s="36">
        <v>1350</v>
      </c>
      <c r="E128" s="37">
        <v>1800</v>
      </c>
      <c r="F128" s="38">
        <f t="shared" ref="F128:F130" si="10">D128*E128</f>
        <v>2430000</v>
      </c>
    </row>
    <row r="129" spans="1:6" ht="15" customHeight="1" x14ac:dyDescent="0.25">
      <c r="A129" s="39"/>
      <c r="B129" s="40" t="s">
        <v>127</v>
      </c>
      <c r="C129" s="41" t="s">
        <v>34</v>
      </c>
      <c r="D129" s="36">
        <v>1350</v>
      </c>
      <c r="E129" s="37">
        <v>1800</v>
      </c>
      <c r="F129" s="38">
        <f t="shared" si="10"/>
        <v>2430000</v>
      </c>
    </row>
    <row r="130" spans="1:6" ht="15" customHeight="1" x14ac:dyDescent="0.25">
      <c r="A130" s="39"/>
      <c r="B130" s="40" t="s">
        <v>128</v>
      </c>
      <c r="C130" s="41" t="s">
        <v>34</v>
      </c>
      <c r="D130" s="36">
        <v>1350</v>
      </c>
      <c r="E130" s="37">
        <v>1800</v>
      </c>
      <c r="F130" s="38">
        <f t="shared" si="10"/>
        <v>2430000</v>
      </c>
    </row>
    <row r="131" spans="1:6" ht="15" customHeight="1" x14ac:dyDescent="0.25">
      <c r="A131" s="19">
        <v>784</v>
      </c>
      <c r="B131" s="20" t="s">
        <v>76</v>
      </c>
      <c r="C131" s="21"/>
      <c r="D131" s="42"/>
      <c r="E131" s="43"/>
      <c r="F131" s="44">
        <f>SUM(F132:F135)</f>
        <v>2294646</v>
      </c>
    </row>
    <row r="132" spans="1:6" ht="15" customHeight="1" x14ac:dyDescent="0.25">
      <c r="A132" s="39"/>
      <c r="B132" s="40" t="s">
        <v>77</v>
      </c>
      <c r="C132" s="41" t="s">
        <v>34</v>
      </c>
      <c r="D132" s="36">
        <f>18*2*3.8+58*4*3.8+120</f>
        <v>1138.3999999999999</v>
      </c>
      <c r="E132" s="37">
        <v>300</v>
      </c>
      <c r="F132" s="38">
        <f>Tabulka428[[#This Row],[množství]]*Tabulka428[[#This Row],[jednotková cena '[Kč']]]</f>
        <v>341519.99999999994</v>
      </c>
    </row>
    <row r="133" spans="1:6" ht="15" customHeight="1" x14ac:dyDescent="0.25">
      <c r="A133" s="39"/>
      <c r="B133" s="40" t="s">
        <v>192</v>
      </c>
      <c r="C133" s="41" t="s">
        <v>34</v>
      </c>
      <c r="D133" s="36">
        <f>18*3.35*(3.4+3.4+7.5+7.5)+3.35*68*2+400</f>
        <v>2170.1400000000003</v>
      </c>
      <c r="E133" s="37">
        <v>300</v>
      </c>
      <c r="F133" s="38">
        <f>Tabulka428[[#This Row],[množství]]*Tabulka428[[#This Row],[jednotková cena '[Kč']]]</f>
        <v>651042.00000000012</v>
      </c>
    </row>
    <row r="134" spans="1:6" ht="15" customHeight="1" x14ac:dyDescent="0.25">
      <c r="A134" s="39"/>
      <c r="B134" s="40" t="s">
        <v>193</v>
      </c>
      <c r="C134" s="41" t="s">
        <v>34</v>
      </c>
      <c r="D134" s="36">
        <f t="shared" ref="D134:D135" si="11">18*3.35*(3.4+3.4+7.5+7.5)+3.35*68*2+400</f>
        <v>2170.1400000000003</v>
      </c>
      <c r="E134" s="37">
        <v>300</v>
      </c>
      <c r="F134" s="38">
        <f>Tabulka428[[#This Row],[množství]]*Tabulka428[[#This Row],[jednotková cena '[Kč']]]</f>
        <v>651042.00000000012</v>
      </c>
    </row>
    <row r="135" spans="1:6" ht="15" customHeight="1" x14ac:dyDescent="0.25">
      <c r="A135" s="39"/>
      <c r="B135" s="40" t="s">
        <v>248</v>
      </c>
      <c r="C135" s="41" t="s">
        <v>34</v>
      </c>
      <c r="D135" s="36">
        <f t="shared" si="11"/>
        <v>2170.1400000000003</v>
      </c>
      <c r="E135" s="37">
        <v>300</v>
      </c>
      <c r="F135" s="38">
        <f>Tabulka428[[#This Row],[množství]]*Tabulka428[[#This Row],[jednotková cena '[Kč']]]</f>
        <v>651042.00000000012</v>
      </c>
    </row>
    <row r="136" spans="1:6" ht="15" customHeight="1" x14ac:dyDescent="0.25">
      <c r="A136" s="57" t="s">
        <v>88</v>
      </c>
      <c r="B136" s="45" t="s">
        <v>89</v>
      </c>
      <c r="C136" s="59"/>
      <c r="D136" s="51"/>
      <c r="E136" s="53"/>
      <c r="F136" s="54">
        <f>SUM(F137:F137)</f>
        <v>10000000</v>
      </c>
    </row>
    <row r="137" spans="1:6" ht="15" customHeight="1" x14ac:dyDescent="0.25">
      <c r="A137" s="58"/>
      <c r="B137" s="60" t="s">
        <v>90</v>
      </c>
      <c r="C137" s="61" t="s">
        <v>29</v>
      </c>
      <c r="D137" s="52">
        <v>1</v>
      </c>
      <c r="E137" s="56">
        <v>10000000</v>
      </c>
      <c r="F137" s="55">
        <f>D137*E137</f>
        <v>10000000</v>
      </c>
    </row>
    <row r="138" spans="1:6" ht="15" customHeight="1" x14ac:dyDescent="0.25">
      <c r="A138" s="19" t="s">
        <v>197</v>
      </c>
      <c r="B138" s="20" t="s">
        <v>198</v>
      </c>
      <c r="C138" s="21"/>
      <c r="D138" s="42"/>
      <c r="E138" s="43"/>
      <c r="F138" s="44">
        <f>SUM(F139:F139)</f>
        <v>8000000</v>
      </c>
    </row>
    <row r="139" spans="1:6" ht="15" customHeight="1" x14ac:dyDescent="0.25">
      <c r="A139" s="39"/>
      <c r="B139" s="40" t="s">
        <v>198</v>
      </c>
      <c r="C139" s="61" t="s">
        <v>29</v>
      </c>
      <c r="D139" s="36">
        <v>1</v>
      </c>
      <c r="E139" s="37">
        <v>8000000</v>
      </c>
      <c r="F139" s="38">
        <f>Tabulka428[[#This Row],[množství]]*Tabulka428[[#This Row],[jednotková cena '[Kč']]]</f>
        <v>8000000</v>
      </c>
    </row>
    <row r="140" spans="1:6" ht="15" customHeight="1" x14ac:dyDescent="0.25">
      <c r="A140" s="19" t="s">
        <v>121</v>
      </c>
      <c r="B140" s="20" t="s">
        <v>162</v>
      </c>
      <c r="C140" s="21"/>
      <c r="D140" s="42"/>
      <c r="E140" s="43"/>
      <c r="F140" s="44">
        <f>SUM(F141:F141)</f>
        <v>4000000</v>
      </c>
    </row>
    <row r="141" spans="1:6" ht="15" customHeight="1" x14ac:dyDescent="0.25">
      <c r="A141" s="39"/>
      <c r="B141" s="40" t="s">
        <v>162</v>
      </c>
      <c r="C141" s="41" t="s">
        <v>163</v>
      </c>
      <c r="D141" s="36">
        <v>2</v>
      </c>
      <c r="E141" s="37">
        <v>2000000</v>
      </c>
      <c r="F141" s="38">
        <f>Tabulka428[[#This Row],[množství]]*Tabulka428[[#This Row],[jednotková cena '[Kč']]]</f>
        <v>4000000</v>
      </c>
    </row>
    <row r="142" spans="1:6" ht="15" customHeight="1" x14ac:dyDescent="0.25">
      <c r="A142" s="19" t="s">
        <v>119</v>
      </c>
      <c r="B142" s="20" t="s">
        <v>120</v>
      </c>
      <c r="C142" s="21"/>
      <c r="D142" s="42"/>
      <c r="E142" s="43"/>
      <c r="F142" s="44">
        <f>SUM(F143:F143)</f>
        <v>2777500</v>
      </c>
    </row>
    <row r="143" spans="1:6" ht="15" customHeight="1" x14ac:dyDescent="0.25">
      <c r="A143" s="39"/>
      <c r="B143" s="40" t="s">
        <v>120</v>
      </c>
      <c r="C143" s="41" t="s">
        <v>34</v>
      </c>
      <c r="D143" s="36">
        <v>505</v>
      </c>
      <c r="E143" s="37">
        <v>5500</v>
      </c>
      <c r="F143" s="38">
        <f>Tabulka428[[#This Row],[množství]]*Tabulka428[[#This Row],[jednotková cena '[Kč']]]</f>
        <v>2777500</v>
      </c>
    </row>
    <row r="144" spans="1:6" ht="15" customHeight="1" x14ac:dyDescent="0.25"/>
    <row r="145" spans="6:6" ht="15" customHeight="1" x14ac:dyDescent="0.25">
      <c r="F145" s="31"/>
    </row>
    <row r="146" spans="6:6" ht="15" customHeight="1" x14ac:dyDescent="0.25">
      <c r="F146" s="31"/>
    </row>
    <row r="147" spans="6:6" ht="15" customHeight="1" x14ac:dyDescent="0.25">
      <c r="F147" s="31"/>
    </row>
    <row r="148" spans="6:6" ht="15" customHeight="1" x14ac:dyDescent="0.25"/>
    <row r="149" spans="6:6" ht="15" customHeight="1" x14ac:dyDescent="0.25"/>
    <row r="150" spans="6:6" ht="15" customHeight="1" x14ac:dyDescent="0.25"/>
    <row r="151" spans="6:6" ht="15" customHeight="1" x14ac:dyDescent="0.25"/>
    <row r="152" spans="6:6" ht="15" customHeight="1" x14ac:dyDescent="0.25"/>
    <row r="153" spans="6:6" ht="15" customHeight="1" x14ac:dyDescent="0.25"/>
    <row r="154" spans="6:6" ht="15" customHeight="1" x14ac:dyDescent="0.25"/>
    <row r="155" spans="6:6" ht="15" customHeight="1" x14ac:dyDescent="0.25"/>
    <row r="156" spans="6:6" ht="15" customHeight="1" x14ac:dyDescent="0.25"/>
    <row r="157" spans="6:6" ht="15" customHeight="1" x14ac:dyDescent="0.25"/>
    <row r="158" spans="6:6" ht="15" customHeight="1" x14ac:dyDescent="0.25"/>
    <row r="159" spans="6:6" ht="15" customHeight="1" x14ac:dyDescent="0.25"/>
    <row r="160" spans="6:6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</sheetData>
  <mergeCells count="1">
    <mergeCell ref="D1:E1"/>
  </mergeCells>
  <phoneticPr fontId="13" type="noConversion"/>
  <pageMargins left="0.7" right="0.7" top="0.78740157499999996" bottom="0.78740157499999996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2C1F-B3E4-4EE8-A219-847FC93BD01E}">
  <dimension ref="A1:I273"/>
  <sheetViews>
    <sheetView workbookViewId="0">
      <selection activeCell="I12" sqref="I12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5703125" customWidth="1"/>
    <col min="7" max="7" width="15.7109375" customWidth="1"/>
    <col min="8" max="8" width="22" customWidth="1"/>
    <col min="9" max="9" width="18.85546875" customWidth="1"/>
  </cols>
  <sheetData>
    <row r="1" spans="1:9" ht="18.75" x14ac:dyDescent="0.3">
      <c r="A1" s="12"/>
      <c r="B1" s="13"/>
      <c r="C1" s="14"/>
      <c r="D1" s="94"/>
      <c r="E1" s="94"/>
      <c r="F1" s="15">
        <f>F3+F6+F10+F17+F21+F25+F27+F34+F39+F45+F47</f>
        <v>29441066.210000001</v>
      </c>
    </row>
    <row r="2" spans="1:9" ht="30" x14ac:dyDescent="0.25">
      <c r="A2" s="13" t="s">
        <v>16</v>
      </c>
      <c r="B2" s="16" t="s">
        <v>17</v>
      </c>
      <c r="C2" s="17" t="s">
        <v>18</v>
      </c>
      <c r="D2" s="17" t="s">
        <v>19</v>
      </c>
      <c r="E2" s="18" t="s">
        <v>20</v>
      </c>
      <c r="F2" s="17" t="s">
        <v>21</v>
      </c>
      <c r="I2" s="31"/>
    </row>
    <row r="3" spans="1:9" ht="15" customHeight="1" x14ac:dyDescent="0.25">
      <c r="A3" s="19" t="s">
        <v>107</v>
      </c>
      <c r="B3" s="20" t="s">
        <v>108</v>
      </c>
      <c r="C3" s="21"/>
      <c r="D3" s="22"/>
      <c r="E3" s="23"/>
      <c r="F3" s="24">
        <f>SUM(F4:F4)</f>
        <v>1425000</v>
      </c>
      <c r="H3" s="31"/>
    </row>
    <row r="4" spans="1:9" ht="15.75" customHeight="1" x14ac:dyDescent="0.25">
      <c r="A4" s="47"/>
      <c r="B4" s="40" t="s">
        <v>108</v>
      </c>
      <c r="C4" s="41" t="s">
        <v>34</v>
      </c>
      <c r="D4" s="36">
        <v>4750</v>
      </c>
      <c r="E4" s="37">
        <v>300</v>
      </c>
      <c r="F4" s="38">
        <f>Tabulka4710131922[[#This Row],[množství]]*Tabulka4710131922[[#This Row],[jednotková cena '[Kč']]]</f>
        <v>1425000</v>
      </c>
      <c r="H4" s="31"/>
    </row>
    <row r="5" spans="1:9" ht="15.75" customHeight="1" x14ac:dyDescent="0.25">
      <c r="A5" s="47"/>
      <c r="B5" s="40" t="s">
        <v>242</v>
      </c>
      <c r="C5" s="41" t="s">
        <v>25</v>
      </c>
      <c r="D5" s="36">
        <v>20</v>
      </c>
      <c r="E5" s="37">
        <v>10000</v>
      </c>
      <c r="F5" s="38">
        <f>D5*E5</f>
        <v>200000</v>
      </c>
      <c r="H5" s="31"/>
    </row>
    <row r="6" spans="1:9" ht="15" customHeight="1" x14ac:dyDescent="0.25">
      <c r="A6" s="19" t="s">
        <v>92</v>
      </c>
      <c r="B6" s="20" t="s">
        <v>93</v>
      </c>
      <c r="C6" s="21"/>
      <c r="D6" s="42"/>
      <c r="E6" s="43"/>
      <c r="F6" s="44">
        <f>SUM(F7:F9)</f>
        <v>1195066.21</v>
      </c>
      <c r="H6" s="31"/>
      <c r="I6" s="31"/>
    </row>
    <row r="7" spans="1:9" ht="15" customHeight="1" x14ac:dyDescent="0.25">
      <c r="A7" s="39"/>
      <c r="B7" s="40" t="s">
        <v>131</v>
      </c>
      <c r="C7" s="41" t="s">
        <v>29</v>
      </c>
      <c r="D7" s="36">
        <v>1</v>
      </c>
      <c r="E7" s="37">
        <v>1059329</v>
      </c>
      <c r="F7" s="38">
        <f>Tabulka4710131922[[#This Row],[množství]]*Tabulka4710131922[[#This Row],[jednotková cena '[Kč']]]</f>
        <v>1059329</v>
      </c>
      <c r="H7" s="31"/>
    </row>
    <row r="8" spans="1:9" ht="15" customHeight="1" x14ac:dyDescent="0.25">
      <c r="A8" s="39"/>
      <c r="B8" s="40" t="s">
        <v>132</v>
      </c>
      <c r="C8" s="41" t="s">
        <v>29</v>
      </c>
      <c r="D8" s="36">
        <v>1</v>
      </c>
      <c r="E8" s="37">
        <v>16430</v>
      </c>
      <c r="F8" s="38">
        <f>Tabulka4710131922[[#This Row],[množství]]*Tabulka4710131922[[#This Row],[jednotková cena '[Kč']]]</f>
        <v>16430</v>
      </c>
      <c r="H8" s="31"/>
    </row>
    <row r="9" spans="1:9" ht="15" customHeight="1" x14ac:dyDescent="0.25">
      <c r="A9" s="39"/>
      <c r="B9" s="40" t="s">
        <v>133</v>
      </c>
      <c r="C9" s="41" t="s">
        <v>29</v>
      </c>
      <c r="D9" s="36">
        <v>1</v>
      </c>
      <c r="E9" s="37">
        <v>119307.21</v>
      </c>
      <c r="F9" s="38">
        <f>Tabulka4710131922[[#This Row],[množství]]*Tabulka4710131922[[#This Row],[jednotková cena '[Kč']]]</f>
        <v>119307.21</v>
      </c>
      <c r="H9" s="31"/>
    </row>
    <row r="10" spans="1:9" ht="15" customHeight="1" x14ac:dyDescent="0.25">
      <c r="A10" s="19" t="s">
        <v>94</v>
      </c>
      <c r="B10" s="20" t="s">
        <v>95</v>
      </c>
      <c r="C10" s="21"/>
      <c r="D10" s="42"/>
      <c r="E10" s="43"/>
      <c r="F10" s="44">
        <f>SUM(F11:F16)</f>
        <v>6964000</v>
      </c>
      <c r="H10" s="31"/>
    </row>
    <row r="11" spans="1:9" ht="15" customHeight="1" x14ac:dyDescent="0.25">
      <c r="A11" s="39"/>
      <c r="B11" s="40" t="s">
        <v>237</v>
      </c>
      <c r="C11" s="41" t="s">
        <v>29</v>
      </c>
      <c r="D11" s="36">
        <v>1</v>
      </c>
      <c r="E11" s="37">
        <v>2150000</v>
      </c>
      <c r="F11" s="38">
        <f>Tabulka4710131922[[#This Row],[množství]]*Tabulka4710131922[[#This Row],[jednotková cena '[Kč']]]</f>
        <v>2150000</v>
      </c>
      <c r="H11" s="31"/>
    </row>
    <row r="12" spans="1:9" ht="15" customHeight="1" x14ac:dyDescent="0.25">
      <c r="A12" s="39"/>
      <c r="B12" s="40" t="s">
        <v>238</v>
      </c>
      <c r="C12" s="41" t="s">
        <v>29</v>
      </c>
      <c r="D12" s="36">
        <v>1</v>
      </c>
      <c r="E12" s="37">
        <v>275000</v>
      </c>
      <c r="F12" s="38">
        <f>Tabulka4710131922[[#This Row],[množství]]*Tabulka4710131922[[#This Row],[jednotková cena '[Kč']]]</f>
        <v>275000</v>
      </c>
      <c r="H12" s="31"/>
    </row>
    <row r="13" spans="1:9" ht="15" customHeight="1" x14ac:dyDescent="0.25">
      <c r="A13" s="39"/>
      <c r="B13" s="40" t="s">
        <v>239</v>
      </c>
      <c r="C13" s="41" t="s">
        <v>29</v>
      </c>
      <c r="D13" s="36">
        <v>1</v>
      </c>
      <c r="E13" s="37">
        <v>925000</v>
      </c>
      <c r="F13" s="38">
        <f>Tabulka4710131922[[#This Row],[množství]]*Tabulka4710131922[[#This Row],[jednotková cena '[Kč']]]</f>
        <v>925000</v>
      </c>
      <c r="H13" s="31"/>
    </row>
    <row r="14" spans="1:9" ht="15" customHeight="1" x14ac:dyDescent="0.25">
      <c r="A14" s="39"/>
      <c r="B14" s="40" t="s">
        <v>240</v>
      </c>
      <c r="C14" s="41" t="s">
        <v>29</v>
      </c>
      <c r="D14" s="36">
        <v>1</v>
      </c>
      <c r="E14" s="37">
        <v>70000</v>
      </c>
      <c r="F14" s="38">
        <f>Tabulka4710131922[[#This Row],[množství]]*Tabulka4710131922[[#This Row],[jednotková cena '[Kč']]]</f>
        <v>70000</v>
      </c>
      <c r="H14" s="31"/>
    </row>
    <row r="15" spans="1:9" ht="15" customHeight="1" x14ac:dyDescent="0.25">
      <c r="A15" s="39"/>
      <c r="B15" s="40" t="s">
        <v>241</v>
      </c>
      <c r="C15" s="41" t="s">
        <v>29</v>
      </c>
      <c r="D15" s="36">
        <v>1</v>
      </c>
      <c r="E15" s="37">
        <v>30000</v>
      </c>
      <c r="F15" s="38">
        <f>Tabulka4710131922[[#This Row],[množství]]*Tabulka4710131922[[#This Row],[jednotková cena '[Kč']]]</f>
        <v>30000</v>
      </c>
      <c r="H15" s="31"/>
    </row>
    <row r="16" spans="1:9" ht="15" customHeight="1" x14ac:dyDescent="0.25">
      <c r="A16" s="39"/>
      <c r="B16" s="40" t="s">
        <v>168</v>
      </c>
      <c r="C16" s="41" t="s">
        <v>25</v>
      </c>
      <c r="D16" s="36">
        <f>68.4+107.3+175.7</f>
        <v>351.4</v>
      </c>
      <c r="E16" s="37">
        <v>10000</v>
      </c>
      <c r="F16" s="38">
        <f>Tabulka4710131922[[#This Row],[množství]]*Tabulka4710131922[[#This Row],[jednotková cena '[Kč']]]</f>
        <v>3514000</v>
      </c>
      <c r="G16" s="65"/>
      <c r="H16" s="31"/>
      <c r="I16" s="66"/>
    </row>
    <row r="17" spans="1:9" ht="15" customHeight="1" x14ac:dyDescent="0.25">
      <c r="A17" s="19" t="s">
        <v>96</v>
      </c>
      <c r="B17" s="20" t="s">
        <v>109</v>
      </c>
      <c r="C17" s="21"/>
      <c r="D17" s="42"/>
      <c r="E17" s="43"/>
      <c r="F17" s="44">
        <f>SUM(F18:F20)</f>
        <v>1364000</v>
      </c>
      <c r="H17" s="31"/>
      <c r="I17" s="31"/>
    </row>
    <row r="18" spans="1:9" ht="15" customHeight="1" x14ac:dyDescent="0.25">
      <c r="A18" s="47"/>
      <c r="B18" s="40" t="s">
        <v>157</v>
      </c>
      <c r="C18" s="41" t="s">
        <v>29</v>
      </c>
      <c r="D18" s="36">
        <v>1</v>
      </c>
      <c r="E18" s="37">
        <v>156000</v>
      </c>
      <c r="F18" s="38">
        <f>Tabulka4710131922[[#This Row],[množství]]*Tabulka4710131922[[#This Row],[jednotková cena '[Kč']]]</f>
        <v>156000</v>
      </c>
      <c r="H18" s="31"/>
    </row>
    <row r="19" spans="1:9" ht="15" customHeight="1" x14ac:dyDescent="0.25">
      <c r="A19" s="47"/>
      <c r="B19" s="40" t="s">
        <v>158</v>
      </c>
      <c r="C19" s="41" t="s">
        <v>29</v>
      </c>
      <c r="D19" s="36">
        <v>1</v>
      </c>
      <c r="E19" s="37">
        <v>388000</v>
      </c>
      <c r="F19" s="38">
        <f>Tabulka4710131922[[#This Row],[množství]]*Tabulka4710131922[[#This Row],[jednotková cena '[Kč']]]</f>
        <v>388000</v>
      </c>
      <c r="H19" s="31"/>
    </row>
    <row r="20" spans="1:9" ht="15" customHeight="1" x14ac:dyDescent="0.25">
      <c r="A20" s="47"/>
      <c r="B20" s="40" t="s">
        <v>110</v>
      </c>
      <c r="C20" s="41" t="s">
        <v>29</v>
      </c>
      <c r="D20" s="36">
        <v>1</v>
      </c>
      <c r="E20" s="37">
        <v>820000</v>
      </c>
      <c r="F20" s="38">
        <f>Tabulka4710131922[[#This Row],[množství]]*Tabulka4710131922[[#This Row],[jednotková cena '[Kč']]]</f>
        <v>820000</v>
      </c>
      <c r="H20" s="31"/>
    </row>
    <row r="21" spans="1:9" ht="15" customHeight="1" x14ac:dyDescent="0.25">
      <c r="A21" s="19" t="s">
        <v>97</v>
      </c>
      <c r="B21" s="20" t="s">
        <v>111</v>
      </c>
      <c r="C21" s="21"/>
      <c r="D21" s="42"/>
      <c r="E21" s="43"/>
      <c r="F21" s="44">
        <f>SUM(F22:F24)</f>
        <v>4852000</v>
      </c>
      <c r="H21" s="31"/>
      <c r="I21" s="31"/>
    </row>
    <row r="22" spans="1:9" ht="15" customHeight="1" x14ac:dyDescent="0.25">
      <c r="A22" s="47"/>
      <c r="B22" s="40" t="s">
        <v>159</v>
      </c>
      <c r="C22" s="41" t="s">
        <v>29</v>
      </c>
      <c r="D22" s="36">
        <v>1</v>
      </c>
      <c r="E22" s="37">
        <v>4700000</v>
      </c>
      <c r="F22" s="38">
        <f>Tabulka4710131922[[#This Row],[množství]]*Tabulka4710131922[[#This Row],[jednotková cena '[Kč']]]</f>
        <v>4700000</v>
      </c>
      <c r="H22" s="31"/>
    </row>
    <row r="23" spans="1:9" ht="15" customHeight="1" x14ac:dyDescent="0.25">
      <c r="A23" s="47"/>
      <c r="B23" s="40" t="s">
        <v>160</v>
      </c>
      <c r="C23" s="41" t="s">
        <v>29</v>
      </c>
      <c r="D23" s="36">
        <v>1</v>
      </c>
      <c r="E23" s="37">
        <v>56000</v>
      </c>
      <c r="F23" s="38">
        <f>Tabulka4710131922[[#This Row],[množství]]*Tabulka4710131922[[#This Row],[jednotková cena '[Kč']]]</f>
        <v>56000</v>
      </c>
      <c r="H23" s="31"/>
    </row>
    <row r="24" spans="1:9" ht="15" customHeight="1" x14ac:dyDescent="0.25">
      <c r="A24" s="47"/>
      <c r="B24" s="40" t="s">
        <v>161</v>
      </c>
      <c r="C24" s="41" t="s">
        <v>29</v>
      </c>
      <c r="D24" s="36">
        <v>1</v>
      </c>
      <c r="E24" s="37">
        <v>96000</v>
      </c>
      <c r="F24" s="38">
        <f>Tabulka4710131922[[#This Row],[množství]]*Tabulka4710131922[[#This Row],[jednotková cena '[Kč']]]</f>
        <v>96000</v>
      </c>
      <c r="H24" s="31"/>
    </row>
    <row r="25" spans="1:9" ht="15" customHeight="1" x14ac:dyDescent="0.25">
      <c r="A25" s="19" t="s">
        <v>113</v>
      </c>
      <c r="B25" s="20" t="s">
        <v>112</v>
      </c>
      <c r="C25" s="21"/>
      <c r="D25" s="42"/>
      <c r="E25" s="43"/>
      <c r="F25" s="44">
        <f>SUM(F26:F26)</f>
        <v>500000</v>
      </c>
      <c r="H25" s="31"/>
    </row>
    <row r="26" spans="1:9" ht="15" customHeight="1" x14ac:dyDescent="0.25">
      <c r="A26" s="47"/>
      <c r="B26" s="40" t="s">
        <v>99</v>
      </c>
      <c r="C26" s="41" t="s">
        <v>29</v>
      </c>
      <c r="D26" s="36">
        <v>1</v>
      </c>
      <c r="E26" s="37">
        <v>500000</v>
      </c>
      <c r="F26" s="38">
        <f>Tabulka4710131922[[#This Row],[množství]]*Tabulka4710131922[[#This Row],[jednotková cena '[Kč']]]</f>
        <v>500000</v>
      </c>
      <c r="H26" s="31"/>
    </row>
    <row r="27" spans="1:9" ht="15" customHeight="1" x14ac:dyDescent="0.25">
      <c r="A27" s="19" t="s">
        <v>98</v>
      </c>
      <c r="B27" s="20" t="s">
        <v>114</v>
      </c>
      <c r="C27" s="21"/>
      <c r="D27" s="42"/>
      <c r="E27" s="43"/>
      <c r="F27" s="44">
        <f>SUM(F28:F33)</f>
        <v>891000</v>
      </c>
      <c r="H27" s="31"/>
      <c r="I27" s="31"/>
    </row>
    <row r="28" spans="1:9" ht="15" customHeight="1" x14ac:dyDescent="0.25">
      <c r="A28" s="39"/>
      <c r="B28" s="40" t="s">
        <v>134</v>
      </c>
      <c r="C28" s="41" t="s">
        <v>29</v>
      </c>
      <c r="D28" s="36">
        <v>1</v>
      </c>
      <c r="E28" s="37">
        <v>84000</v>
      </c>
      <c r="F28" s="38">
        <f>Tabulka4710131922[[#This Row],[množství]]*Tabulka4710131922[[#This Row],[jednotková cena '[Kč']]]</f>
        <v>84000</v>
      </c>
      <c r="H28" s="31"/>
    </row>
    <row r="29" spans="1:9" ht="15" customHeight="1" x14ac:dyDescent="0.25">
      <c r="A29" s="39"/>
      <c r="B29" s="40" t="s">
        <v>135</v>
      </c>
      <c r="C29" s="41" t="s">
        <v>29</v>
      </c>
      <c r="D29" s="36">
        <v>1</v>
      </c>
      <c r="E29" s="37">
        <v>112000</v>
      </c>
      <c r="F29" s="38">
        <f>Tabulka4710131922[[#This Row],[množství]]*Tabulka4710131922[[#This Row],[jednotková cena '[Kč']]]</f>
        <v>112000</v>
      </c>
      <c r="H29" s="31"/>
    </row>
    <row r="30" spans="1:9" ht="15" customHeight="1" x14ac:dyDescent="0.25">
      <c r="A30" s="39"/>
      <c r="B30" s="40" t="s">
        <v>136</v>
      </c>
      <c r="C30" s="41" t="s">
        <v>29</v>
      </c>
      <c r="D30" s="36">
        <v>1</v>
      </c>
      <c r="E30" s="37">
        <v>402000</v>
      </c>
      <c r="F30" s="38">
        <f>Tabulka4710131922[[#This Row],[množství]]*Tabulka4710131922[[#This Row],[jednotková cena '[Kč']]]</f>
        <v>402000</v>
      </c>
      <c r="H30" s="31"/>
    </row>
    <row r="31" spans="1:9" ht="15" customHeight="1" x14ac:dyDescent="0.25">
      <c r="A31" s="39"/>
      <c r="B31" s="40" t="s">
        <v>137</v>
      </c>
      <c r="C31" s="41" t="s">
        <v>29</v>
      </c>
      <c r="D31" s="36">
        <v>1</v>
      </c>
      <c r="E31" s="37">
        <v>88000</v>
      </c>
      <c r="F31" s="38">
        <f>Tabulka4710131922[[#This Row],[množství]]*Tabulka4710131922[[#This Row],[jednotková cena '[Kč']]]</f>
        <v>88000</v>
      </c>
      <c r="H31" s="31"/>
    </row>
    <row r="32" spans="1:9" ht="15" customHeight="1" x14ac:dyDescent="0.25">
      <c r="A32" s="39"/>
      <c r="B32" s="40" t="s">
        <v>138</v>
      </c>
      <c r="C32" s="41" t="s">
        <v>29</v>
      </c>
      <c r="D32" s="36">
        <v>1</v>
      </c>
      <c r="E32" s="37">
        <v>85000</v>
      </c>
      <c r="F32" s="38">
        <f>Tabulka4710131922[[#This Row],[množství]]*Tabulka4710131922[[#This Row],[jednotková cena '[Kč']]]</f>
        <v>85000</v>
      </c>
      <c r="H32" s="31"/>
    </row>
    <row r="33" spans="1:9" ht="15" customHeight="1" x14ac:dyDescent="0.25">
      <c r="A33" s="39"/>
      <c r="B33" s="40" t="s">
        <v>139</v>
      </c>
      <c r="C33" s="41" t="s">
        <v>29</v>
      </c>
      <c r="D33" s="36">
        <v>1</v>
      </c>
      <c r="E33" s="37">
        <v>120000</v>
      </c>
      <c r="F33" s="38">
        <f>Tabulka4710131922[[#This Row],[množství]]*Tabulka4710131922[[#This Row],[jednotková cena '[Kč']]]</f>
        <v>120000</v>
      </c>
      <c r="H33" s="31"/>
    </row>
    <row r="34" spans="1:9" ht="15" customHeight="1" x14ac:dyDescent="0.25">
      <c r="A34" s="19" t="s">
        <v>100</v>
      </c>
      <c r="B34" s="20" t="s">
        <v>115</v>
      </c>
      <c r="C34" s="21"/>
      <c r="D34" s="42"/>
      <c r="E34" s="43"/>
      <c r="F34" s="44">
        <f>SUM(F35:F38)</f>
        <v>4000000</v>
      </c>
      <c r="H34" s="31"/>
      <c r="I34" s="31"/>
    </row>
    <row r="35" spans="1:9" ht="15" customHeight="1" x14ac:dyDescent="0.25">
      <c r="A35" s="39"/>
      <c r="B35" s="40" t="s">
        <v>152</v>
      </c>
      <c r="C35" s="41" t="s">
        <v>29</v>
      </c>
      <c r="D35" s="36">
        <v>1</v>
      </c>
      <c r="E35" s="37">
        <v>500000</v>
      </c>
      <c r="F35" s="38">
        <f>Tabulka4710131922[[#This Row],[množství]]*Tabulka4710131922[[#This Row],[jednotková cena '[Kč']]]</f>
        <v>500000</v>
      </c>
      <c r="H35" s="31"/>
    </row>
    <row r="36" spans="1:9" ht="15" customHeight="1" x14ac:dyDescent="0.25">
      <c r="A36" s="39"/>
      <c r="B36" s="40" t="s">
        <v>153</v>
      </c>
      <c r="C36" s="41" t="s">
        <v>29</v>
      </c>
      <c r="D36" s="36">
        <v>1</v>
      </c>
      <c r="E36" s="37">
        <v>2400000</v>
      </c>
      <c r="F36" s="38">
        <f>Tabulka4710131922[[#This Row],[množství]]*Tabulka4710131922[[#This Row],[jednotková cena '[Kč']]]</f>
        <v>2400000</v>
      </c>
      <c r="H36" s="31"/>
    </row>
    <row r="37" spans="1:9" ht="15" customHeight="1" x14ac:dyDescent="0.25">
      <c r="A37" s="39"/>
      <c r="B37" s="40" t="s">
        <v>154</v>
      </c>
      <c r="C37" s="41" t="s">
        <v>29</v>
      </c>
      <c r="D37" s="36">
        <v>1</v>
      </c>
      <c r="E37" s="37">
        <v>600000</v>
      </c>
      <c r="F37" s="38">
        <f>Tabulka4710131922[[#This Row],[množství]]*Tabulka4710131922[[#This Row],[jednotková cena '[Kč']]]</f>
        <v>600000</v>
      </c>
      <c r="H37" s="31"/>
    </row>
    <row r="38" spans="1:9" ht="15" customHeight="1" x14ac:dyDescent="0.25">
      <c r="A38" s="39"/>
      <c r="B38" s="40" t="s">
        <v>155</v>
      </c>
      <c r="C38" s="41" t="s">
        <v>29</v>
      </c>
      <c r="D38" s="36">
        <v>1</v>
      </c>
      <c r="E38" s="37">
        <v>500000</v>
      </c>
      <c r="F38" s="38">
        <f>Tabulka4710131922[[#This Row],[množství]]*Tabulka4710131922[[#This Row],[jednotková cena '[Kč']]]</f>
        <v>500000</v>
      </c>
      <c r="H38" s="31"/>
    </row>
    <row r="39" spans="1:9" ht="15" customHeight="1" x14ac:dyDescent="0.25">
      <c r="A39" s="19" t="s">
        <v>101</v>
      </c>
      <c r="B39" s="20" t="s">
        <v>116</v>
      </c>
      <c r="C39" s="21"/>
      <c r="D39" s="42"/>
      <c r="E39" s="43"/>
      <c r="F39" s="44">
        <f>SUM(F40:F44)</f>
        <v>1250000</v>
      </c>
      <c r="H39" s="31"/>
      <c r="I39" s="31"/>
    </row>
    <row r="40" spans="1:9" ht="15" customHeight="1" x14ac:dyDescent="0.25">
      <c r="A40" s="47"/>
      <c r="B40" s="40" t="s">
        <v>152</v>
      </c>
      <c r="C40" s="41" t="s">
        <v>29</v>
      </c>
      <c r="D40" s="36">
        <v>1</v>
      </c>
      <c r="E40" s="37">
        <v>100000</v>
      </c>
      <c r="F40" s="38">
        <f>Tabulka4710131922[[#This Row],[množství]]*Tabulka4710131922[[#This Row],[jednotková cena '[Kč']]]</f>
        <v>100000</v>
      </c>
      <c r="H40" s="31"/>
    </row>
    <row r="41" spans="1:9" ht="15" customHeight="1" x14ac:dyDescent="0.25">
      <c r="A41" s="47"/>
      <c r="B41" s="40" t="s">
        <v>156</v>
      </c>
      <c r="C41" s="41" t="s">
        <v>29</v>
      </c>
      <c r="D41" s="36">
        <v>1</v>
      </c>
      <c r="E41" s="37">
        <v>200000</v>
      </c>
      <c r="F41" s="38">
        <f>Tabulka4710131922[[#This Row],[množství]]*Tabulka4710131922[[#This Row],[jednotková cena '[Kč']]]</f>
        <v>200000</v>
      </c>
      <c r="H41" s="31"/>
    </row>
    <row r="42" spans="1:9" ht="15" customHeight="1" x14ac:dyDescent="0.25">
      <c r="A42" s="47"/>
      <c r="B42" s="40" t="s">
        <v>153</v>
      </c>
      <c r="C42" s="41" t="s">
        <v>29</v>
      </c>
      <c r="D42" s="36">
        <v>1</v>
      </c>
      <c r="E42" s="37">
        <v>400000</v>
      </c>
      <c r="F42" s="38">
        <f>Tabulka4710131922[[#This Row],[množství]]*Tabulka4710131922[[#This Row],[jednotková cena '[Kč']]]</f>
        <v>400000</v>
      </c>
      <c r="H42" s="31"/>
    </row>
    <row r="43" spans="1:9" ht="15" customHeight="1" x14ac:dyDescent="0.25">
      <c r="A43" s="47"/>
      <c r="B43" s="40" t="s">
        <v>154</v>
      </c>
      <c r="C43" s="41" t="s">
        <v>29</v>
      </c>
      <c r="D43" s="36">
        <v>1</v>
      </c>
      <c r="E43" s="37">
        <v>300000</v>
      </c>
      <c r="F43" s="38">
        <f>Tabulka4710131922[[#This Row],[množství]]*Tabulka4710131922[[#This Row],[jednotková cena '[Kč']]]</f>
        <v>300000</v>
      </c>
      <c r="H43" s="31"/>
    </row>
    <row r="44" spans="1:9" ht="15" customHeight="1" x14ac:dyDescent="0.25">
      <c r="A44" s="47"/>
      <c r="B44" s="40" t="s">
        <v>155</v>
      </c>
      <c r="C44" s="41" t="s">
        <v>29</v>
      </c>
      <c r="D44" s="36">
        <v>1</v>
      </c>
      <c r="E44" s="37">
        <v>250000</v>
      </c>
      <c r="F44" s="38">
        <f>Tabulka4710131922[[#This Row],[množství]]*Tabulka4710131922[[#This Row],[jednotková cena '[Kč']]]</f>
        <v>250000</v>
      </c>
      <c r="H44" s="31"/>
    </row>
    <row r="45" spans="1:9" ht="15" customHeight="1" x14ac:dyDescent="0.25">
      <c r="A45" s="19" t="s">
        <v>102</v>
      </c>
      <c r="B45" s="20" t="s">
        <v>118</v>
      </c>
      <c r="C45" s="21"/>
      <c r="D45" s="42"/>
      <c r="E45" s="43"/>
      <c r="F45" s="44">
        <f>SUM(F46)</f>
        <v>3000000</v>
      </c>
      <c r="H45" s="31"/>
    </row>
    <row r="46" spans="1:9" ht="15" customHeight="1" x14ac:dyDescent="0.25">
      <c r="A46" s="47"/>
      <c r="B46" s="40" t="s">
        <v>104</v>
      </c>
      <c r="C46" s="41" t="s">
        <v>29</v>
      </c>
      <c r="D46" s="36">
        <v>1</v>
      </c>
      <c r="E46" s="37">
        <v>3000000</v>
      </c>
      <c r="F46" s="38">
        <f>Tabulka4710131922[[#This Row],[množství]]*Tabulka4710131922[[#This Row],[jednotková cena '[Kč']]]</f>
        <v>3000000</v>
      </c>
      <c r="H46" s="31"/>
    </row>
    <row r="47" spans="1:9" ht="15" customHeight="1" x14ac:dyDescent="0.25">
      <c r="A47" s="19" t="s">
        <v>103</v>
      </c>
      <c r="B47" s="20" t="s">
        <v>117</v>
      </c>
      <c r="C47" s="21"/>
      <c r="D47" s="42"/>
      <c r="E47" s="43"/>
      <c r="F47" s="44">
        <f>SUM(F48)</f>
        <v>4000000</v>
      </c>
      <c r="H47" s="31"/>
    </row>
    <row r="48" spans="1:9" ht="15" customHeight="1" x14ac:dyDescent="0.25">
      <c r="A48" s="39"/>
      <c r="B48" s="40" t="s">
        <v>105</v>
      </c>
      <c r="C48" s="41" t="s">
        <v>29</v>
      </c>
      <c r="D48" s="36">
        <v>1</v>
      </c>
      <c r="E48" s="37">
        <v>4000000</v>
      </c>
      <c r="F48" s="38">
        <f>Tabulka4710131922[[#This Row],[množství]]*Tabulka4710131922[[#This Row],[jednotková cena '[Kč']]]</f>
        <v>4000000</v>
      </c>
      <c r="H48" s="31"/>
    </row>
    <row r="49" spans="6:6" ht="15" customHeight="1" x14ac:dyDescent="0.25"/>
    <row r="50" spans="6:6" ht="15" customHeight="1" x14ac:dyDescent="0.25"/>
    <row r="51" spans="6:6" ht="15" customHeight="1" x14ac:dyDescent="0.25"/>
    <row r="52" spans="6:6" ht="15" customHeight="1" x14ac:dyDescent="0.25"/>
    <row r="53" spans="6:6" ht="15" customHeight="1" x14ac:dyDescent="0.25">
      <c r="F53" s="31"/>
    </row>
    <row r="54" spans="6:6" ht="15" customHeight="1" x14ac:dyDescent="0.25">
      <c r="F54" s="31"/>
    </row>
    <row r="55" spans="6:6" ht="15" customHeight="1" x14ac:dyDescent="0.25">
      <c r="F55" s="31"/>
    </row>
    <row r="56" spans="6:6" ht="15" customHeight="1" x14ac:dyDescent="0.25"/>
    <row r="57" spans="6:6" ht="15" customHeight="1" x14ac:dyDescent="0.25"/>
    <row r="58" spans="6:6" ht="15" customHeight="1" x14ac:dyDescent="0.25"/>
    <row r="59" spans="6:6" ht="15" customHeight="1" x14ac:dyDescent="0.25"/>
    <row r="60" spans="6:6" ht="15" customHeight="1" x14ac:dyDescent="0.25"/>
    <row r="61" spans="6:6" ht="15" customHeight="1" x14ac:dyDescent="0.25"/>
    <row r="62" spans="6:6" ht="15" customHeight="1" x14ac:dyDescent="0.25"/>
    <row r="63" spans="6:6" ht="15" customHeight="1" x14ac:dyDescent="0.25"/>
    <row r="64" spans="6:6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</sheetData>
  <mergeCells count="1">
    <mergeCell ref="D1:E1"/>
  </mergeCells>
  <pageMargins left="0.7" right="0.7" top="0.78740157499999996" bottom="0.78740157499999996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B203-AE90-4C38-AF85-F03CA0B20AF7}">
  <dimension ref="A1:F290"/>
  <sheetViews>
    <sheetView workbookViewId="0">
      <selection activeCell="F12" sqref="F12"/>
    </sheetView>
  </sheetViews>
  <sheetFormatPr defaultRowHeight="15" x14ac:dyDescent="0.25"/>
  <cols>
    <col min="1" max="1" width="18.5703125" customWidth="1"/>
    <col min="2" max="2" width="49.140625" customWidth="1"/>
    <col min="4" max="4" width="11.5703125" customWidth="1"/>
    <col min="5" max="5" width="18.28515625" customWidth="1"/>
    <col min="6" max="6" width="23.28515625" bestFit="1" customWidth="1"/>
  </cols>
  <sheetData>
    <row r="1" spans="1:6" ht="18.75" x14ac:dyDescent="0.3">
      <c r="A1" s="12" t="s">
        <v>13</v>
      </c>
      <c r="B1" s="13"/>
      <c r="C1" s="14"/>
      <c r="D1" s="94"/>
      <c r="E1" s="94"/>
      <c r="F1" s="15">
        <f>F3</f>
        <v>8000000</v>
      </c>
    </row>
    <row r="2" spans="1:6" ht="30" x14ac:dyDescent="0.25">
      <c r="A2" s="13" t="s">
        <v>16</v>
      </c>
      <c r="B2" s="16" t="s">
        <v>17</v>
      </c>
      <c r="C2" s="17" t="s">
        <v>18</v>
      </c>
      <c r="D2" s="17" t="s">
        <v>19</v>
      </c>
      <c r="E2" s="18" t="s">
        <v>20</v>
      </c>
      <c r="F2" s="17" t="s">
        <v>21</v>
      </c>
    </row>
    <row r="3" spans="1:6" ht="15" customHeight="1" x14ac:dyDescent="0.25">
      <c r="A3" s="19" t="s">
        <v>78</v>
      </c>
      <c r="B3" s="20" t="s">
        <v>106</v>
      </c>
      <c r="C3" s="21"/>
      <c r="D3" s="22"/>
      <c r="E3" s="23"/>
      <c r="F3" s="24">
        <f>SUM(F4:F4)</f>
        <v>8000000</v>
      </c>
    </row>
    <row r="4" spans="1:6" ht="15" customHeight="1" x14ac:dyDescent="0.25">
      <c r="A4" s="25"/>
      <c r="B4" s="26" t="s">
        <v>79</v>
      </c>
      <c r="C4" s="27" t="s">
        <v>29</v>
      </c>
      <c r="D4" s="28">
        <v>1</v>
      </c>
      <c r="E4" s="29">
        <v>8000000</v>
      </c>
      <c r="F4" s="30">
        <f>Tabulka47101316[[#This Row],[množství]]*Tabulka47101316[[#This Row],[jednotková cena '[Kč']]]</f>
        <v>8000000</v>
      </c>
    </row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/>
    <row r="9" spans="1:6" ht="15" customHeight="1" x14ac:dyDescent="0.25"/>
    <row r="10" spans="1:6" ht="15" customHeight="1" x14ac:dyDescent="0.25"/>
    <row r="11" spans="1:6" ht="15" customHeight="1" x14ac:dyDescent="0.25"/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1">
    <mergeCell ref="D1:E1"/>
  </mergeCells>
  <pageMargins left="0.7" right="0.7" top="0.78740157499999996" bottom="0.78740157499999996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Stavební objekt U1</vt:lpstr>
      <vt:lpstr>Stavební objekt U2</vt:lpstr>
      <vt:lpstr>IS</vt:lpstr>
      <vt:lpstr>Vedlejší a ostatní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Sklenářová</dc:creator>
  <cp:lastModifiedBy>Mokrášová Jitka, Ing.</cp:lastModifiedBy>
  <cp:lastPrinted>2024-03-19T11:15:46Z</cp:lastPrinted>
  <dcterms:created xsi:type="dcterms:W3CDTF">2021-05-03T12:38:41Z</dcterms:created>
  <dcterms:modified xsi:type="dcterms:W3CDTF">2024-03-20T09:53:43Z</dcterms:modified>
</cp:coreProperties>
</file>