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abulky\2020\11 2020\"/>
    </mc:Choice>
  </mc:AlternateContent>
  <xr:revisionPtr revIDLastSave="0" documentId="13_ncr:1_{83A6D8BB-CC0B-4832-872E-BEDE394B06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spodaření 2020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5" i="5" l="1"/>
  <c r="X39" i="5"/>
  <c r="X11" i="5"/>
  <c r="W55" i="5" l="1"/>
  <c r="W39" i="5"/>
  <c r="W11" i="5" l="1"/>
  <c r="V55" i="5" l="1"/>
  <c r="V39" i="5"/>
  <c r="U55" i="5" l="1"/>
  <c r="U39" i="5"/>
  <c r="U11" i="5"/>
  <c r="T55" i="5" l="1"/>
  <c r="T39" i="5"/>
  <c r="S55" i="5" l="1"/>
  <c r="S39" i="5" l="1"/>
  <c r="R55" i="5" l="1"/>
  <c r="R39" i="5"/>
  <c r="Q93" i="5" l="1"/>
  <c r="Q82" i="5"/>
  <c r="Q28" i="5"/>
  <c r="Q55" i="5"/>
  <c r="Q46" i="5"/>
  <c r="Q39" i="5" l="1"/>
  <c r="Q71" i="5" s="1"/>
  <c r="N42" i="5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N84" i="5"/>
  <c r="O84" i="5" s="1"/>
  <c r="P84" i="5" s="1"/>
  <c r="Q84" i="5" s="1"/>
  <c r="R84" i="5" s="1"/>
  <c r="S84" i="5" s="1"/>
  <c r="T84" i="5" s="1"/>
  <c r="U84" i="5" s="1"/>
  <c r="V84" i="5" s="1"/>
  <c r="W84" i="5" s="1"/>
  <c r="X84" i="5" s="1"/>
  <c r="Y84" i="5" s="1"/>
  <c r="P55" i="5" l="1"/>
  <c r="P39" i="5"/>
  <c r="O55" i="5" l="1"/>
  <c r="O39" i="5"/>
  <c r="O44" i="5" l="1"/>
  <c r="P44" i="5"/>
  <c r="Q44" i="5"/>
  <c r="R44" i="5"/>
  <c r="S44" i="5"/>
  <c r="T44" i="5"/>
  <c r="U44" i="5"/>
  <c r="V44" i="5"/>
  <c r="W44" i="5"/>
  <c r="X44" i="5"/>
  <c r="Y44" i="5"/>
  <c r="N44" i="5"/>
  <c r="O71" i="5"/>
  <c r="P71" i="5"/>
  <c r="R71" i="5"/>
  <c r="S71" i="5"/>
  <c r="T71" i="5"/>
  <c r="U71" i="5"/>
  <c r="V71" i="5"/>
  <c r="W71" i="5"/>
  <c r="X71" i="5"/>
  <c r="Y71" i="5"/>
  <c r="O90" i="5"/>
  <c r="P90" i="5"/>
  <c r="Q90" i="5"/>
  <c r="R90" i="5"/>
  <c r="S90" i="5"/>
  <c r="T90" i="5"/>
  <c r="U90" i="5"/>
  <c r="V90" i="5"/>
  <c r="W90" i="5"/>
  <c r="X90" i="5"/>
  <c r="Y90" i="5"/>
  <c r="N90" i="5"/>
  <c r="O88" i="5"/>
  <c r="P88" i="5"/>
  <c r="Q88" i="5"/>
  <c r="R88" i="5"/>
  <c r="S88" i="5"/>
  <c r="T88" i="5"/>
  <c r="U88" i="5"/>
  <c r="V88" i="5"/>
  <c r="W88" i="5"/>
  <c r="X88" i="5"/>
  <c r="Y88" i="5"/>
  <c r="N88" i="5"/>
  <c r="O79" i="5"/>
  <c r="P79" i="5"/>
  <c r="Q79" i="5"/>
  <c r="R79" i="5"/>
  <c r="S79" i="5"/>
  <c r="T79" i="5"/>
  <c r="U79" i="5"/>
  <c r="V79" i="5"/>
  <c r="W79" i="5"/>
  <c r="X79" i="5"/>
  <c r="Y79" i="5"/>
  <c r="N79" i="5"/>
  <c r="O75" i="5"/>
  <c r="P75" i="5"/>
  <c r="Q75" i="5"/>
  <c r="R75" i="5"/>
  <c r="S75" i="5"/>
  <c r="T75" i="5"/>
  <c r="U75" i="5"/>
  <c r="V75" i="5"/>
  <c r="W75" i="5"/>
  <c r="X75" i="5"/>
  <c r="Y75" i="5"/>
  <c r="N75" i="5"/>
  <c r="O73" i="5"/>
  <c r="P73" i="5"/>
  <c r="Q73" i="5"/>
  <c r="R73" i="5"/>
  <c r="S73" i="5"/>
  <c r="T73" i="5"/>
  <c r="U73" i="5"/>
  <c r="V73" i="5"/>
  <c r="W73" i="5"/>
  <c r="X73" i="5"/>
  <c r="Y73" i="5"/>
  <c r="N73" i="5"/>
  <c r="O68" i="5"/>
  <c r="P68" i="5"/>
  <c r="Q68" i="5"/>
  <c r="R68" i="5"/>
  <c r="S68" i="5"/>
  <c r="T68" i="5"/>
  <c r="U68" i="5"/>
  <c r="V68" i="5"/>
  <c r="W68" i="5"/>
  <c r="X68" i="5"/>
  <c r="Y68" i="5"/>
  <c r="N68" i="5"/>
  <c r="O66" i="5"/>
  <c r="P66" i="5"/>
  <c r="Q66" i="5"/>
  <c r="R66" i="5"/>
  <c r="S66" i="5"/>
  <c r="T66" i="5"/>
  <c r="U66" i="5"/>
  <c r="V66" i="5"/>
  <c r="W66" i="5"/>
  <c r="X66" i="5"/>
  <c r="Y66" i="5"/>
  <c r="N66" i="5"/>
  <c r="O64" i="5"/>
  <c r="P64" i="5"/>
  <c r="Q64" i="5"/>
  <c r="R64" i="5"/>
  <c r="S64" i="5"/>
  <c r="T64" i="5"/>
  <c r="U64" i="5"/>
  <c r="V64" i="5"/>
  <c r="W64" i="5"/>
  <c r="X64" i="5"/>
  <c r="Y64" i="5"/>
  <c r="N64" i="5"/>
  <c r="O62" i="5"/>
  <c r="P62" i="5"/>
  <c r="Q62" i="5"/>
  <c r="R62" i="5"/>
  <c r="S62" i="5"/>
  <c r="T62" i="5"/>
  <c r="U62" i="5"/>
  <c r="V62" i="5"/>
  <c r="W62" i="5"/>
  <c r="X62" i="5"/>
  <c r="Y62" i="5"/>
  <c r="N62" i="5"/>
  <c r="O58" i="5"/>
  <c r="P58" i="5"/>
  <c r="Q58" i="5"/>
  <c r="R58" i="5"/>
  <c r="S58" i="5"/>
  <c r="T58" i="5"/>
  <c r="U58" i="5"/>
  <c r="V58" i="5"/>
  <c r="W58" i="5"/>
  <c r="X58" i="5"/>
  <c r="Y58" i="5"/>
  <c r="N58" i="5"/>
  <c r="O56" i="5"/>
  <c r="P56" i="5"/>
  <c r="Q56" i="5"/>
  <c r="R56" i="5"/>
  <c r="S56" i="5"/>
  <c r="T56" i="5"/>
  <c r="U56" i="5"/>
  <c r="V56" i="5"/>
  <c r="W56" i="5"/>
  <c r="X56" i="5"/>
  <c r="Y56" i="5"/>
  <c r="N56" i="5"/>
  <c r="T54" i="5"/>
  <c r="M54" i="5"/>
  <c r="Q54" i="5" s="1"/>
  <c r="O50" i="5"/>
  <c r="P50" i="5"/>
  <c r="Q50" i="5"/>
  <c r="R50" i="5"/>
  <c r="S50" i="5"/>
  <c r="T50" i="5"/>
  <c r="U50" i="5"/>
  <c r="V50" i="5"/>
  <c r="W50" i="5"/>
  <c r="X50" i="5"/>
  <c r="Y50" i="5"/>
  <c r="N50" i="5"/>
  <c r="N55" i="5"/>
  <c r="N54" i="5" s="1"/>
  <c r="P54" i="5" l="1"/>
  <c r="X54" i="5"/>
  <c r="S54" i="5"/>
  <c r="W54" i="5"/>
  <c r="V54" i="5"/>
  <c r="R54" i="5"/>
  <c r="O54" i="5"/>
  <c r="Y54" i="5"/>
  <c r="U54" i="5"/>
  <c r="O48" i="5"/>
  <c r="P48" i="5"/>
  <c r="Q48" i="5"/>
  <c r="R48" i="5"/>
  <c r="S48" i="5"/>
  <c r="T48" i="5"/>
  <c r="U48" i="5"/>
  <c r="V48" i="5"/>
  <c r="W48" i="5"/>
  <c r="X48" i="5"/>
  <c r="Y48" i="5"/>
  <c r="N48" i="5"/>
  <c r="O46" i="5"/>
  <c r="P46" i="5"/>
  <c r="R46" i="5"/>
  <c r="S46" i="5"/>
  <c r="T46" i="5"/>
  <c r="U46" i="5"/>
  <c r="V46" i="5"/>
  <c r="W46" i="5"/>
  <c r="X46" i="5"/>
  <c r="Y46" i="5"/>
  <c r="N46" i="5"/>
  <c r="O40" i="5" l="1"/>
  <c r="P40" i="5"/>
  <c r="Q40" i="5"/>
  <c r="R40" i="5"/>
  <c r="S40" i="5"/>
  <c r="T40" i="5"/>
  <c r="U40" i="5"/>
  <c r="V40" i="5"/>
  <c r="W40" i="5"/>
  <c r="X40" i="5"/>
  <c r="Y40" i="5"/>
  <c r="N40" i="5"/>
  <c r="M38" i="5"/>
  <c r="P38" i="5" s="1"/>
  <c r="N39" i="5"/>
  <c r="O36" i="5"/>
  <c r="P36" i="5"/>
  <c r="Q36" i="5"/>
  <c r="R36" i="5"/>
  <c r="S36" i="5"/>
  <c r="T36" i="5"/>
  <c r="U36" i="5"/>
  <c r="V36" i="5"/>
  <c r="W36" i="5"/>
  <c r="X36" i="5"/>
  <c r="Y36" i="5"/>
  <c r="N36" i="5"/>
  <c r="O34" i="5"/>
  <c r="P34" i="5"/>
  <c r="Q34" i="5"/>
  <c r="R34" i="5"/>
  <c r="S34" i="5"/>
  <c r="T34" i="5"/>
  <c r="U34" i="5"/>
  <c r="V34" i="5"/>
  <c r="W34" i="5"/>
  <c r="X34" i="5"/>
  <c r="Y34" i="5"/>
  <c r="N34" i="5"/>
  <c r="O32" i="5"/>
  <c r="P32" i="5"/>
  <c r="Q32" i="5"/>
  <c r="R32" i="5"/>
  <c r="S32" i="5"/>
  <c r="T32" i="5"/>
  <c r="U32" i="5"/>
  <c r="V32" i="5"/>
  <c r="W32" i="5"/>
  <c r="X32" i="5"/>
  <c r="Y32" i="5"/>
  <c r="N32" i="5"/>
  <c r="O30" i="5"/>
  <c r="P30" i="5"/>
  <c r="Q30" i="5"/>
  <c r="R30" i="5"/>
  <c r="S30" i="5"/>
  <c r="T30" i="5"/>
  <c r="U30" i="5"/>
  <c r="V30" i="5"/>
  <c r="W30" i="5"/>
  <c r="X30" i="5"/>
  <c r="Y30" i="5"/>
  <c r="N30" i="5"/>
  <c r="S38" i="5" l="1"/>
  <c r="N38" i="5"/>
  <c r="R38" i="5"/>
  <c r="Y38" i="5"/>
  <c r="U38" i="5"/>
  <c r="Q38" i="5"/>
  <c r="W38" i="5"/>
  <c r="O38" i="5"/>
  <c r="V38" i="5"/>
  <c r="X38" i="5"/>
  <c r="T38" i="5"/>
  <c r="M93" i="5"/>
  <c r="M92" i="5"/>
  <c r="M82" i="5"/>
  <c r="M81" i="5"/>
  <c r="M71" i="5"/>
  <c r="M96" i="5" s="1"/>
  <c r="M70" i="5"/>
  <c r="M27" i="5"/>
  <c r="O25" i="5"/>
  <c r="P25" i="5"/>
  <c r="Q25" i="5"/>
  <c r="R25" i="5"/>
  <c r="S25" i="5"/>
  <c r="T25" i="5"/>
  <c r="U25" i="5"/>
  <c r="V25" i="5"/>
  <c r="W25" i="5"/>
  <c r="X25" i="5"/>
  <c r="Y25" i="5"/>
  <c r="N25" i="5"/>
  <c r="O23" i="5"/>
  <c r="P23" i="5"/>
  <c r="Q23" i="5"/>
  <c r="R23" i="5"/>
  <c r="S23" i="5"/>
  <c r="T23" i="5"/>
  <c r="U23" i="5"/>
  <c r="V23" i="5"/>
  <c r="W23" i="5"/>
  <c r="X23" i="5"/>
  <c r="Y23" i="5"/>
  <c r="N23" i="5"/>
  <c r="O21" i="5"/>
  <c r="P21" i="5"/>
  <c r="Q21" i="5"/>
  <c r="R21" i="5"/>
  <c r="S21" i="5"/>
  <c r="T21" i="5"/>
  <c r="U21" i="5"/>
  <c r="V21" i="5"/>
  <c r="W21" i="5"/>
  <c r="X21" i="5"/>
  <c r="Y21" i="5"/>
  <c r="N21" i="5"/>
  <c r="O19" i="5"/>
  <c r="P19" i="5"/>
  <c r="Q19" i="5"/>
  <c r="R19" i="5"/>
  <c r="S19" i="5"/>
  <c r="T19" i="5"/>
  <c r="U19" i="5"/>
  <c r="V19" i="5"/>
  <c r="W19" i="5"/>
  <c r="X19" i="5"/>
  <c r="Y19" i="5"/>
  <c r="N19" i="5"/>
  <c r="O17" i="5"/>
  <c r="P17" i="5"/>
  <c r="Q17" i="5"/>
  <c r="R17" i="5"/>
  <c r="S17" i="5"/>
  <c r="T17" i="5"/>
  <c r="U17" i="5"/>
  <c r="V17" i="5"/>
  <c r="W17" i="5"/>
  <c r="X17" i="5"/>
  <c r="Y17" i="5"/>
  <c r="N17" i="5"/>
  <c r="O15" i="5"/>
  <c r="P15" i="5"/>
  <c r="Q15" i="5"/>
  <c r="R15" i="5"/>
  <c r="S15" i="5"/>
  <c r="T15" i="5"/>
  <c r="U15" i="5"/>
  <c r="V15" i="5"/>
  <c r="W15" i="5"/>
  <c r="X15" i="5"/>
  <c r="Y15" i="5"/>
  <c r="N15" i="5"/>
  <c r="O11" i="5"/>
  <c r="P11" i="5"/>
  <c r="Q11" i="5"/>
  <c r="R11" i="5"/>
  <c r="S11" i="5"/>
  <c r="T11" i="5"/>
  <c r="V11" i="5"/>
  <c r="Y11" i="5"/>
  <c r="N11" i="5"/>
  <c r="O9" i="5"/>
  <c r="P9" i="5"/>
  <c r="Q9" i="5"/>
  <c r="R9" i="5"/>
  <c r="S9" i="5"/>
  <c r="T9" i="5"/>
  <c r="U9" i="5"/>
  <c r="V9" i="5"/>
  <c r="W9" i="5"/>
  <c r="X9" i="5"/>
  <c r="Y9" i="5"/>
  <c r="N9" i="5"/>
  <c r="M7" i="5"/>
  <c r="M6" i="5"/>
  <c r="O4" i="5"/>
  <c r="P4" i="5"/>
  <c r="Q4" i="5"/>
  <c r="R4" i="5"/>
  <c r="S4" i="5"/>
  <c r="T4" i="5"/>
  <c r="U4" i="5"/>
  <c r="V4" i="5"/>
  <c r="W4" i="5"/>
  <c r="X4" i="5"/>
  <c r="Y4" i="5"/>
  <c r="N4" i="5"/>
  <c r="T70" i="5" l="1"/>
  <c r="U70" i="5"/>
  <c r="W70" i="5"/>
  <c r="R70" i="5"/>
  <c r="P70" i="5"/>
  <c r="O70" i="5"/>
  <c r="Q70" i="5"/>
  <c r="V70" i="5"/>
  <c r="X70" i="5"/>
  <c r="S70" i="5"/>
  <c r="Y70" i="5"/>
  <c r="M95" i="5"/>
  <c r="O2" i="5"/>
  <c r="P2" i="5"/>
  <c r="Q2" i="5"/>
  <c r="R2" i="5"/>
  <c r="S2" i="5"/>
  <c r="T2" i="5"/>
  <c r="U2" i="5"/>
  <c r="V2" i="5"/>
  <c r="W2" i="5"/>
  <c r="X2" i="5"/>
  <c r="Y2" i="5"/>
  <c r="N2" i="5"/>
  <c r="L55" i="5" l="1"/>
  <c r="L39" i="5"/>
  <c r="O93" i="5" l="1"/>
  <c r="O92" i="5" s="1"/>
  <c r="P93" i="5"/>
  <c r="P92" i="5" s="1"/>
  <c r="Q92" i="5"/>
  <c r="R93" i="5"/>
  <c r="R92" i="5" s="1"/>
  <c r="S93" i="5"/>
  <c r="S92" i="5" s="1"/>
  <c r="T93" i="5"/>
  <c r="T92" i="5" s="1"/>
  <c r="U93" i="5"/>
  <c r="U92" i="5" s="1"/>
  <c r="V93" i="5"/>
  <c r="V92" i="5" s="1"/>
  <c r="W93" i="5"/>
  <c r="W92" i="5" s="1"/>
  <c r="X93" i="5"/>
  <c r="X92" i="5" s="1"/>
  <c r="Y93" i="5"/>
  <c r="Y92" i="5" s="1"/>
  <c r="N93" i="5"/>
  <c r="N92" i="5" s="1"/>
  <c r="G93" i="5"/>
  <c r="H93" i="5"/>
  <c r="I93" i="5"/>
  <c r="J93" i="5"/>
  <c r="K93" i="5"/>
  <c r="L93" i="5"/>
  <c r="F93" i="5"/>
  <c r="G92" i="5"/>
  <c r="H92" i="5"/>
  <c r="I92" i="5"/>
  <c r="J92" i="5"/>
  <c r="K92" i="5"/>
  <c r="L92" i="5"/>
  <c r="F92" i="5"/>
  <c r="L54" i="5" l="1"/>
  <c r="L38" i="5"/>
  <c r="L7" i="5"/>
  <c r="G81" i="5" l="1"/>
  <c r="H81" i="5"/>
  <c r="I81" i="5"/>
  <c r="J81" i="5"/>
  <c r="K81" i="5"/>
  <c r="L81" i="5"/>
  <c r="G82" i="5"/>
  <c r="H82" i="5"/>
  <c r="I82" i="5"/>
  <c r="J82" i="5"/>
  <c r="K82" i="5"/>
  <c r="L82" i="5"/>
  <c r="G70" i="5"/>
  <c r="I70" i="5"/>
  <c r="J70" i="5"/>
  <c r="K70" i="5"/>
  <c r="L70" i="5"/>
  <c r="H71" i="5"/>
  <c r="I71" i="5"/>
  <c r="J71" i="5"/>
  <c r="K71" i="5"/>
  <c r="L71" i="5"/>
  <c r="G27" i="5"/>
  <c r="H27" i="5"/>
  <c r="I27" i="5"/>
  <c r="J27" i="5"/>
  <c r="K27" i="5"/>
  <c r="L27" i="5"/>
  <c r="G28" i="5"/>
  <c r="H28" i="5"/>
  <c r="I28" i="5"/>
  <c r="J28" i="5"/>
  <c r="K28" i="5"/>
  <c r="L28" i="5"/>
  <c r="G6" i="5"/>
  <c r="H6" i="5"/>
  <c r="I6" i="5"/>
  <c r="J6" i="5"/>
  <c r="K6" i="5"/>
  <c r="L6" i="5"/>
  <c r="G7" i="5"/>
  <c r="H7" i="5"/>
  <c r="I7" i="5"/>
  <c r="J7" i="5"/>
  <c r="K7" i="5"/>
  <c r="I96" i="5" l="1"/>
  <c r="G95" i="5"/>
  <c r="K95" i="5"/>
  <c r="H96" i="5"/>
  <c r="L96" i="5"/>
  <c r="I95" i="5"/>
  <c r="J96" i="5"/>
  <c r="L95" i="5"/>
  <c r="J95" i="5"/>
  <c r="K96" i="5"/>
  <c r="O82" i="5"/>
  <c r="O81" i="5" s="1"/>
  <c r="P82" i="5"/>
  <c r="P81" i="5" s="1"/>
  <c r="Q81" i="5"/>
  <c r="R82" i="5"/>
  <c r="R81" i="5" s="1"/>
  <c r="S82" i="5"/>
  <c r="S81" i="5" s="1"/>
  <c r="T82" i="5"/>
  <c r="T81" i="5" s="1"/>
  <c r="U82" i="5"/>
  <c r="U81" i="5" s="1"/>
  <c r="V82" i="5"/>
  <c r="V81" i="5" s="1"/>
  <c r="W82" i="5"/>
  <c r="W81" i="5" s="1"/>
  <c r="X82" i="5"/>
  <c r="X81" i="5" s="1"/>
  <c r="Y82" i="5"/>
  <c r="Y81" i="5" s="1"/>
  <c r="N82" i="5"/>
  <c r="N81" i="5" s="1"/>
  <c r="F81" i="5"/>
  <c r="F82" i="5"/>
  <c r="F27" i="5"/>
  <c r="F28" i="5"/>
  <c r="O28" i="5"/>
  <c r="O27" i="5" s="1"/>
  <c r="P28" i="5"/>
  <c r="P27" i="5" s="1"/>
  <c r="Q27" i="5"/>
  <c r="R28" i="5"/>
  <c r="R27" i="5" s="1"/>
  <c r="S28" i="5"/>
  <c r="S27" i="5" s="1"/>
  <c r="T28" i="5"/>
  <c r="T27" i="5" s="1"/>
  <c r="U28" i="5"/>
  <c r="U27" i="5" s="1"/>
  <c r="V28" i="5"/>
  <c r="V27" i="5" s="1"/>
  <c r="W28" i="5"/>
  <c r="W27" i="5" s="1"/>
  <c r="X28" i="5"/>
  <c r="X27" i="5" s="1"/>
  <c r="Y28" i="5"/>
  <c r="Y27" i="5" s="1"/>
  <c r="N28" i="5"/>
  <c r="N27" i="5" s="1"/>
  <c r="G71" i="5" l="1"/>
  <c r="G96" i="5" s="1"/>
  <c r="F71" i="5"/>
  <c r="F70" i="5"/>
  <c r="F7" i="5"/>
  <c r="F6" i="5"/>
  <c r="W7" i="5"/>
  <c r="W96" i="5" s="1"/>
  <c r="W95" i="5" s="1"/>
  <c r="X7" i="5"/>
  <c r="X96" i="5" s="1"/>
  <c r="X95" i="5" s="1"/>
  <c r="Y7" i="5"/>
  <c r="Y96" i="5" s="1"/>
  <c r="Y95" i="5" s="1"/>
  <c r="N71" i="5"/>
  <c r="N70" i="5" s="1"/>
  <c r="Y86" i="5"/>
  <c r="X86" i="5"/>
  <c r="W86" i="5"/>
  <c r="V86" i="5"/>
  <c r="U86" i="5"/>
  <c r="T86" i="5"/>
  <c r="S86" i="5"/>
  <c r="R86" i="5"/>
  <c r="Q86" i="5"/>
  <c r="P86" i="5"/>
  <c r="O86" i="5"/>
  <c r="N86" i="5"/>
  <c r="V7" i="5"/>
  <c r="V96" i="5" s="1"/>
  <c r="V95" i="5" s="1"/>
  <c r="U7" i="5"/>
  <c r="U96" i="5" s="1"/>
  <c r="U95" i="5" s="1"/>
  <c r="T7" i="5"/>
  <c r="T96" i="5" s="1"/>
  <c r="T95" i="5" s="1"/>
  <c r="S7" i="5"/>
  <c r="S96" i="5" s="1"/>
  <c r="S95" i="5" s="1"/>
  <c r="R7" i="5"/>
  <c r="R96" i="5" s="1"/>
  <c r="R95" i="5" s="1"/>
  <c r="Q7" i="5"/>
  <c r="P7" i="5"/>
  <c r="P96" i="5" s="1"/>
  <c r="P95" i="5" s="1"/>
  <c r="O7" i="5"/>
  <c r="O96" i="5" s="1"/>
  <c r="O95" i="5" s="1"/>
  <c r="N7" i="5"/>
  <c r="N6" i="5" s="1"/>
  <c r="P60" i="5"/>
  <c r="R60" i="5"/>
  <c r="S60" i="5"/>
  <c r="T60" i="5"/>
  <c r="U60" i="5"/>
  <c r="V60" i="5"/>
  <c r="W60" i="5"/>
  <c r="X60" i="5"/>
  <c r="Y60" i="5"/>
  <c r="Q60" i="5"/>
  <c r="O60" i="5"/>
  <c r="N60" i="5"/>
  <c r="Q96" i="5" l="1"/>
  <c r="Q95" i="5" s="1"/>
  <c r="F95" i="5"/>
  <c r="U6" i="5"/>
  <c r="O6" i="5"/>
  <c r="S6" i="5"/>
  <c r="Y6" i="5"/>
  <c r="F96" i="5"/>
  <c r="P6" i="5"/>
  <c r="T6" i="5"/>
  <c r="X6" i="5"/>
  <c r="Q6" i="5"/>
  <c r="W6" i="5"/>
  <c r="N96" i="5"/>
  <c r="N95" i="5" s="1"/>
  <c r="R6" i="5"/>
  <c r="V6" i="5"/>
  <c r="H70" i="5"/>
  <c r="H95" i="5" s="1"/>
  <c r="N77" i="5"/>
  <c r="O77" i="5" s="1"/>
  <c r="P77" i="5" s="1"/>
  <c r="Q77" i="5" s="1"/>
  <c r="R77" i="5" s="1"/>
  <c r="S77" i="5" s="1"/>
  <c r="T77" i="5" s="1"/>
  <c r="U77" i="5" s="1"/>
  <c r="V77" i="5" s="1"/>
  <c r="W77" i="5" s="1"/>
  <c r="X77" i="5" s="1"/>
  <c r="Y77" i="5" s="1"/>
</calcChain>
</file>

<file path=xl/sharedStrings.xml><?xml version="1.0" encoding="utf-8"?>
<sst xmlns="http://schemas.openxmlformats.org/spreadsheetml/2006/main" count="152" uniqueCount="64">
  <si>
    <t>účet</t>
  </si>
  <si>
    <t>501 17 002 drogistické zboží</t>
  </si>
  <si>
    <t>501 19 002 prádlo pacientů</t>
  </si>
  <si>
    <t>501 19 099 netkaný textil</t>
  </si>
  <si>
    <t>501 17 190 technické plyny</t>
  </si>
  <si>
    <t>518 07 411 stravné dodavatelsky</t>
  </si>
  <si>
    <t>skut.</t>
  </si>
  <si>
    <t>pl.</t>
  </si>
  <si>
    <t>501 12 002 motorová nafta</t>
  </si>
  <si>
    <t>501 12 003 oleje a mazadla</t>
  </si>
  <si>
    <t>501 16 010 nápoje-horké provozy</t>
  </si>
  <si>
    <t>501 17 006 prášky pro prádelnu</t>
  </si>
  <si>
    <t>501 17 011 obaly pro sterilizaci</t>
  </si>
  <si>
    <t>501 18 007 ND-doprava</t>
  </si>
  <si>
    <t>501 19 077 prádlo OOPP</t>
  </si>
  <si>
    <t>501 19 090 OOP pacient+doprovod</t>
  </si>
  <si>
    <t>501 19 092 lůžkoviny</t>
  </si>
  <si>
    <t>511 02 027 opravy vozového parku</t>
  </si>
  <si>
    <t>518 04 005 nájem plynových lahví</t>
  </si>
  <si>
    <t>538 01 006 dálniční známky</t>
  </si>
  <si>
    <t>549 11 003 pojištění vozidel</t>
  </si>
  <si>
    <t>I. 8,33</t>
  </si>
  <si>
    <t>II. 16,67</t>
  </si>
  <si>
    <t>III. 25</t>
  </si>
  <si>
    <t>IV. 33,33</t>
  </si>
  <si>
    <t>V. 41,66</t>
  </si>
  <si>
    <t>VI. 50</t>
  </si>
  <si>
    <t>VII. 58,31</t>
  </si>
  <si>
    <t>VIII. 66,64</t>
  </si>
  <si>
    <t>IX. 74,97</t>
  </si>
  <si>
    <t>X. 83,3</t>
  </si>
  <si>
    <t>XI. 91,63</t>
  </si>
  <si>
    <t>XII. 99,96</t>
  </si>
  <si>
    <t>501 19 003 DDHM zdr lék nást.,příst.</t>
  </si>
  <si>
    <t>599 02 000 údržba ZVIT</t>
  </si>
  <si>
    <t>CELKEM STRAV</t>
  </si>
  <si>
    <t>501 12 001 aut. benzín</t>
  </si>
  <si>
    <t>518 08 011 revize sml.servis doprava</t>
  </si>
  <si>
    <t>CELKEM DOPR</t>
  </si>
  <si>
    <t xml:space="preserve">501 17 004 tiskopisy a kanc.potřeby </t>
  </si>
  <si>
    <t>501 18 001 ND-ostatní (všeob.sklad)</t>
  </si>
  <si>
    <t>558 06 001 DDHM ostatní (do 40000,-)</t>
  </si>
  <si>
    <t>558 02 001 kuchyň.zařízení a nádobí</t>
  </si>
  <si>
    <t>CELKEM VSEOB</t>
  </si>
  <si>
    <t>518 06 001 MW-DIAS úklid</t>
  </si>
  <si>
    <t>CELKEM OSL</t>
  </si>
  <si>
    <t>501 17 007 údržb.mat. ost.sklady</t>
  </si>
  <si>
    <t>CELKEM PRAD</t>
  </si>
  <si>
    <t>CELKEM PRÚ</t>
  </si>
  <si>
    <t>558 02 002 DDHM ost.prov.technika</t>
  </si>
  <si>
    <t>558 02 003 kancel.technika</t>
  </si>
  <si>
    <t>501 13 190 mediciální plyny</t>
  </si>
  <si>
    <t>558 05 002 nábytek</t>
  </si>
  <si>
    <t>1785</t>
  </si>
  <si>
    <t>501 19 100-102 jednoráz.pom.a mater.</t>
  </si>
  <si>
    <t>1821</t>
  </si>
  <si>
    <t>Všeobecný materiál</t>
  </si>
  <si>
    <t>518 74 002 služby (ostraha)</t>
  </si>
  <si>
    <t>518 06 003 úklid (ostatní)</t>
  </si>
  <si>
    <t>pl./skut.</t>
  </si>
  <si>
    <t>501 12 004 plyn (CNG)</t>
  </si>
  <si>
    <t>518 06 002 úklid - více práce</t>
  </si>
  <si>
    <t>501 17 020 - 025 všeobecný materiál</t>
  </si>
  <si>
    <t>518 06 007 praní prádla (RENATEX)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</si>
</sst>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99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Border="1"/>
    <xf numFmtId="17" fontId="3" fillId="0" borderId="0" xfId="0" applyNumberFormat="1" applyFont="1" applyBorder="1"/>
    <xf numFmtId="0" fontId="0" fillId="3" borderId="1" xfId="0" applyFill="1" applyBorder="1"/>
    <xf numFmtId="0" fontId="0" fillId="3" borderId="0" xfId="0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3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0" fillId="0" borderId="0" xfId="0" applyFill="1"/>
    <xf numFmtId="0" fontId="8" fillId="0" borderId="0" xfId="0" applyNumberFormat="1" applyFont="1" applyFill="1" applyBorder="1"/>
    <xf numFmtId="0" fontId="0" fillId="3" borderId="2" xfId="0" applyFill="1" applyBorder="1"/>
    <xf numFmtId="0" fontId="0" fillId="3" borderId="10" xfId="0" applyFill="1" applyBorder="1"/>
    <xf numFmtId="0" fontId="5" fillId="8" borderId="1" xfId="0" applyFont="1" applyFill="1" applyBorder="1"/>
    <xf numFmtId="0" fontId="5" fillId="8" borderId="0" xfId="0" applyFont="1" applyFill="1" applyBorder="1"/>
    <xf numFmtId="0" fontId="5" fillId="8" borderId="10" xfId="0" applyFont="1" applyFill="1" applyBorder="1"/>
    <xf numFmtId="0" fontId="0" fillId="8" borderId="7" xfId="0" applyFill="1" applyBorder="1"/>
    <xf numFmtId="0" fontId="0" fillId="3" borderId="7" xfId="0" applyFill="1" applyBorder="1"/>
    <xf numFmtId="3" fontId="0" fillId="5" borderId="20" xfId="0" applyNumberFormat="1" applyFill="1" applyBorder="1"/>
    <xf numFmtId="3" fontId="0" fillId="0" borderId="0" xfId="0" applyNumberFormat="1" applyFill="1" applyBorder="1"/>
    <xf numFmtId="0" fontId="0" fillId="4" borderId="30" xfId="0" applyFill="1" applyBorder="1"/>
    <xf numFmtId="0" fontId="0" fillId="4" borderId="25" xfId="0" applyFill="1" applyBorder="1"/>
    <xf numFmtId="0" fontId="0" fillId="6" borderId="30" xfId="0" applyFill="1" applyBorder="1"/>
    <xf numFmtId="0" fontId="4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5" borderId="30" xfId="0" applyFill="1" applyBorder="1"/>
    <xf numFmtId="0" fontId="0" fillId="6" borderId="24" xfId="0" applyFill="1" applyBorder="1"/>
    <xf numFmtId="0" fontId="2" fillId="2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3" fontId="4" fillId="2" borderId="30" xfId="0" applyNumberFormat="1" applyFont="1" applyFill="1" applyBorder="1"/>
    <xf numFmtId="3" fontId="4" fillId="2" borderId="20" xfId="0" applyNumberFormat="1" applyFont="1" applyFill="1" applyBorder="1"/>
    <xf numFmtId="3" fontId="4" fillId="6" borderId="20" xfId="0" applyNumberFormat="1" applyFont="1" applyFill="1" applyBorder="1"/>
    <xf numFmtId="3" fontId="4" fillId="0" borderId="0" xfId="0" applyNumberFormat="1" applyFont="1" applyFill="1" applyBorder="1"/>
    <xf numFmtId="3" fontId="8" fillId="2" borderId="30" xfId="0" applyNumberFormat="1" applyFont="1" applyFill="1" applyBorder="1"/>
    <xf numFmtId="3" fontId="8" fillId="6" borderId="30" xfId="0" applyNumberFormat="1" applyFont="1" applyFill="1" applyBorder="1"/>
    <xf numFmtId="3" fontId="8" fillId="6" borderId="20" xfId="0" applyNumberFormat="1" applyFont="1" applyFill="1" applyBorder="1"/>
    <xf numFmtId="3" fontId="0" fillId="6" borderId="20" xfId="0" applyNumberFormat="1" applyFill="1" applyBorder="1"/>
    <xf numFmtId="3" fontId="0" fillId="4" borderId="19" xfId="0" applyNumberFormat="1" applyFill="1" applyBorder="1"/>
    <xf numFmtId="0" fontId="0" fillId="3" borderId="30" xfId="0" applyFill="1" applyBorder="1"/>
    <xf numFmtId="3" fontId="0" fillId="3" borderId="20" xfId="0" applyNumberFormat="1" applyFill="1" applyBorder="1"/>
    <xf numFmtId="3" fontId="8" fillId="2" borderId="20" xfId="0" applyNumberFormat="1" applyFont="1" applyFill="1" applyBorder="1"/>
    <xf numFmtId="3" fontId="0" fillId="3" borderId="23" xfId="0" applyNumberFormat="1" applyFill="1" applyBorder="1"/>
    <xf numFmtId="3" fontId="8" fillId="2" borderId="23" xfId="0" applyNumberFormat="1" applyFont="1" applyFill="1" applyBorder="1"/>
    <xf numFmtId="3" fontId="8" fillId="6" borderId="20" xfId="0" applyNumberFormat="1" applyFont="1" applyFill="1" applyBorder="1" applyAlignment="1">
      <alignment horizontal="right"/>
    </xf>
    <xf numFmtId="0" fontId="5" fillId="0" borderId="0" xfId="0" applyFont="1" applyBorder="1"/>
    <xf numFmtId="3" fontId="0" fillId="0" borderId="0" xfId="0" applyNumberFormat="1" applyBorder="1"/>
    <xf numFmtId="0" fontId="1" fillId="7" borderId="30" xfId="0" applyFont="1" applyFill="1" applyBorder="1"/>
    <xf numFmtId="3" fontId="0" fillId="7" borderId="20" xfId="0" applyNumberFormat="1" applyFill="1" applyBorder="1"/>
    <xf numFmtId="3" fontId="0" fillId="7" borderId="23" xfId="0" applyNumberFormat="1" applyFill="1" applyBorder="1"/>
    <xf numFmtId="0" fontId="0" fillId="8" borderId="8" xfId="0" applyFill="1" applyBorder="1"/>
    <xf numFmtId="0" fontId="1" fillId="8" borderId="30" xfId="0" applyFont="1" applyFill="1" applyBorder="1"/>
    <xf numFmtId="3" fontId="0" fillId="8" borderId="20" xfId="0" applyNumberFormat="1" applyFill="1" applyBorder="1"/>
    <xf numFmtId="3" fontId="0" fillId="8" borderId="23" xfId="0" applyNumberFormat="1" applyFill="1" applyBorder="1"/>
    <xf numFmtId="3" fontId="0" fillId="0" borderId="0" xfId="0" applyNumberFormat="1" applyFill="1"/>
    <xf numFmtId="3" fontId="8" fillId="2" borderId="20" xfId="0" applyNumberFormat="1" applyFont="1" applyFill="1" applyBorder="1" applyAlignment="1">
      <alignment horizontal="right"/>
    </xf>
    <xf numFmtId="3" fontId="0" fillId="4" borderId="20" xfId="0" applyNumberFormat="1" applyFill="1" applyBorder="1"/>
    <xf numFmtId="3" fontId="8" fillId="2" borderId="9" xfId="0" applyNumberFormat="1" applyFont="1" applyFill="1" applyBorder="1"/>
    <xf numFmtId="3" fontId="8" fillId="2" borderId="6" xfId="0" applyNumberFormat="1" applyFont="1" applyFill="1" applyBorder="1"/>
    <xf numFmtId="3" fontId="8" fillId="0" borderId="0" xfId="0" applyNumberFormat="1" applyFont="1" applyFill="1" applyBorder="1"/>
    <xf numFmtId="3" fontId="8" fillId="2" borderId="8" xfId="0" applyNumberFormat="1" applyFont="1" applyFill="1" applyBorder="1"/>
    <xf numFmtId="3" fontId="8" fillId="2" borderId="7" xfId="0" applyNumberFormat="1" applyFont="1" applyFill="1" applyBorder="1"/>
    <xf numFmtId="3" fontId="9" fillId="0" borderId="0" xfId="0" applyNumberFormat="1" applyFont="1" applyFill="1" applyBorder="1"/>
    <xf numFmtId="3" fontId="8" fillId="2" borderId="25" xfId="0" applyNumberFormat="1" applyFont="1" applyFill="1" applyBorder="1"/>
    <xf numFmtId="3" fontId="8" fillId="6" borderId="25" xfId="0" applyNumberFormat="1" applyFont="1" applyFill="1" applyBorder="1"/>
    <xf numFmtId="3" fontId="8" fillId="6" borderId="19" xfId="0" applyNumberFormat="1" applyFont="1" applyFill="1" applyBorder="1"/>
    <xf numFmtId="3" fontId="8" fillId="6" borderId="19" xfId="0" applyNumberFormat="1" applyFont="1" applyFill="1" applyBorder="1" applyAlignment="1">
      <alignment horizontal="right"/>
    </xf>
    <xf numFmtId="3" fontId="4" fillId="6" borderId="30" xfId="0" applyNumberFormat="1" applyFont="1" applyFill="1" applyBorder="1"/>
    <xf numFmtId="17" fontId="2" fillId="0" borderId="13" xfId="0" applyNumberFormat="1" applyFont="1" applyBorder="1" applyAlignment="1">
      <alignment horizontal="center"/>
    </xf>
    <xf numFmtId="164" fontId="8" fillId="5" borderId="30" xfId="0" applyNumberFormat="1" applyFont="1" applyFill="1" applyBorder="1"/>
    <xf numFmtId="3" fontId="4" fillId="5" borderId="20" xfId="0" applyNumberFormat="1" applyFont="1" applyFill="1" applyBorder="1"/>
    <xf numFmtId="164" fontId="4" fillId="5" borderId="30" xfId="0" applyNumberFormat="1" applyFont="1" applyFill="1" applyBorder="1"/>
    <xf numFmtId="3" fontId="8" fillId="5" borderId="20" xfId="0" applyNumberFormat="1" applyFont="1" applyFill="1" applyBorder="1"/>
    <xf numFmtId="164" fontId="4" fillId="6" borderId="24" xfId="0" applyNumberFormat="1" applyFont="1" applyFill="1" applyBorder="1"/>
    <xf numFmtId="164" fontId="4" fillId="4" borderId="30" xfId="0" applyNumberFormat="1" applyFont="1" applyFill="1" applyBorder="1"/>
    <xf numFmtId="3" fontId="8" fillId="4" borderId="20" xfId="0" applyNumberFormat="1" applyFont="1" applyFill="1" applyBorder="1"/>
    <xf numFmtId="3" fontId="8" fillId="4" borderId="22" xfId="0" applyNumberFormat="1" applyFont="1" applyFill="1" applyBorder="1"/>
    <xf numFmtId="164" fontId="4" fillId="6" borderId="30" xfId="0" applyNumberFormat="1" applyFont="1" applyFill="1" applyBorder="1"/>
    <xf numFmtId="164" fontId="4" fillId="3" borderId="30" xfId="0" applyNumberFormat="1" applyFont="1" applyFill="1" applyBorder="1"/>
    <xf numFmtId="3" fontId="4" fillId="3" borderId="20" xfId="0" applyNumberFormat="1" applyFont="1" applyFill="1" applyBorder="1"/>
    <xf numFmtId="164" fontId="4" fillId="3" borderId="21" xfId="0" applyNumberFormat="1" applyFont="1" applyFill="1" applyBorder="1"/>
    <xf numFmtId="0" fontId="4" fillId="3" borderId="23" xfId="0" applyNumberFormat="1" applyFont="1" applyFill="1" applyBorder="1"/>
    <xf numFmtId="3" fontId="4" fillId="3" borderId="23" xfId="0" applyNumberFormat="1" applyFont="1" applyFill="1" applyBorder="1"/>
    <xf numFmtId="164" fontId="4" fillId="7" borderId="30" xfId="0" applyNumberFormat="1" applyFont="1" applyFill="1" applyBorder="1"/>
    <xf numFmtId="3" fontId="4" fillId="7" borderId="20" xfId="0" applyNumberFormat="1" applyFont="1" applyFill="1" applyBorder="1"/>
    <xf numFmtId="3" fontId="4" fillId="7" borderId="23" xfId="0" applyNumberFormat="1" applyFont="1" applyFill="1" applyBorder="1"/>
    <xf numFmtId="164" fontId="4" fillId="8" borderId="30" xfId="0" applyNumberFormat="1" applyFont="1" applyFill="1" applyBorder="1"/>
    <xf numFmtId="3" fontId="4" fillId="8" borderId="20" xfId="0" applyNumberFormat="1" applyFont="1" applyFill="1" applyBorder="1"/>
    <xf numFmtId="164" fontId="4" fillId="8" borderId="24" xfId="0" applyNumberFormat="1" applyFont="1" applyFill="1" applyBorder="1"/>
    <xf numFmtId="0" fontId="4" fillId="8" borderId="23" xfId="0" applyNumberFormat="1" applyFont="1" applyFill="1" applyBorder="1"/>
    <xf numFmtId="3" fontId="4" fillId="8" borderId="23" xfId="0" applyNumberFormat="1" applyFont="1" applyFill="1" applyBorder="1"/>
    <xf numFmtId="164" fontId="1" fillId="4" borderId="30" xfId="0" applyNumberFormat="1" applyFont="1" applyFill="1" applyBorder="1"/>
    <xf numFmtId="3" fontId="10" fillId="4" borderId="20" xfId="0" applyNumberFormat="1" applyFont="1" applyFill="1" applyBorder="1"/>
    <xf numFmtId="3" fontId="4" fillId="9" borderId="30" xfId="0" applyNumberFormat="1" applyFont="1" applyFill="1" applyBorder="1"/>
    <xf numFmtId="3" fontId="4" fillId="9" borderId="20" xfId="0" applyNumberFormat="1" applyFont="1" applyFill="1" applyBorder="1"/>
    <xf numFmtId="3" fontId="8" fillId="9" borderId="20" xfId="0" applyNumberFormat="1" applyFont="1" applyFill="1" applyBorder="1"/>
    <xf numFmtId="3" fontId="8" fillId="9" borderId="22" xfId="0" applyNumberFormat="1" applyFont="1" applyFill="1" applyBorder="1"/>
    <xf numFmtId="3" fontId="4" fillId="9" borderId="23" xfId="0" applyNumberFormat="1" applyFont="1" applyFill="1" applyBorder="1"/>
    <xf numFmtId="3" fontId="8" fillId="9" borderId="25" xfId="0" applyNumberFormat="1" applyFont="1" applyFill="1" applyBorder="1"/>
    <xf numFmtId="3" fontId="8" fillId="9" borderId="9" xfId="0" applyNumberFormat="1" applyFont="1" applyFill="1" applyBorder="1"/>
    <xf numFmtId="3" fontId="8" fillId="9" borderId="6" xfId="0" applyNumberFormat="1" applyFont="1" applyFill="1" applyBorder="1"/>
    <xf numFmtId="3" fontId="8" fillId="2" borderId="43" xfId="0" applyNumberFormat="1" applyFont="1" applyFill="1" applyBorder="1"/>
    <xf numFmtId="3" fontId="8" fillId="2" borderId="44" xfId="0" applyNumberFormat="1" applyFont="1" applyFill="1" applyBorder="1"/>
    <xf numFmtId="3" fontId="8" fillId="9" borderId="43" xfId="0" applyNumberFormat="1" applyFont="1" applyFill="1" applyBorder="1"/>
    <xf numFmtId="3" fontId="8" fillId="9" borderId="44" xfId="0" applyNumberFormat="1" applyFont="1" applyFill="1" applyBorder="1"/>
    <xf numFmtId="164" fontId="4" fillId="0" borderId="45" xfId="0" applyNumberFormat="1" applyFont="1" applyFill="1" applyBorder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3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5" fillId="6" borderId="3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42" xfId="0" applyFont="1" applyFill="1" applyBorder="1" applyAlignment="1">
      <alignment horizontal="left" vertical="center"/>
    </xf>
    <xf numFmtId="0" fontId="5" fillId="6" borderId="34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5" fillId="7" borderId="35" xfId="0" applyFont="1" applyFill="1" applyBorder="1" applyAlignment="1">
      <alignment horizontal="left" vertical="center"/>
    </xf>
    <xf numFmtId="0" fontId="5" fillId="7" borderId="36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5" fillId="6" borderId="33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/>
    </xf>
    <xf numFmtId="0" fontId="5" fillId="8" borderId="33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34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5" fillId="8" borderId="29" xfId="0" applyFont="1" applyFill="1" applyBorder="1" applyAlignment="1">
      <alignment horizontal="left" vertical="center"/>
    </xf>
    <xf numFmtId="0" fontId="5" fillId="8" borderId="35" xfId="0" applyFont="1" applyFill="1" applyBorder="1" applyAlignment="1">
      <alignment horizontal="left" vertical="center"/>
    </xf>
    <xf numFmtId="0" fontId="5" fillId="8" borderId="36" xfId="0" applyFont="1" applyFill="1" applyBorder="1" applyAlignment="1">
      <alignment horizontal="left" vertical="center"/>
    </xf>
    <xf numFmtId="0" fontId="5" fillId="8" borderId="37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C103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X98" sqref="X98"/>
    </sheetView>
  </sheetViews>
  <sheetFormatPr defaultRowHeight="12.75" x14ac:dyDescent="0.2"/>
  <cols>
    <col min="4" max="20" width="9.140625" customWidth="1"/>
    <col min="21" max="21" width="9.7109375" customWidth="1"/>
    <col min="22" max="25" width="9.140625" customWidth="1"/>
  </cols>
  <sheetData>
    <row r="1" spans="1:133" s="28" customFormat="1" ht="13.5" thickBot="1" x14ac:dyDescent="0.25">
      <c r="A1" s="109" t="s">
        <v>0</v>
      </c>
      <c r="B1" s="110"/>
      <c r="C1" s="110"/>
      <c r="D1" s="111"/>
      <c r="E1" s="32" t="s">
        <v>59</v>
      </c>
      <c r="F1" s="31">
        <v>2013</v>
      </c>
      <c r="G1" s="31">
        <v>2014</v>
      </c>
      <c r="H1" s="31">
        <v>2015</v>
      </c>
      <c r="I1" s="31">
        <v>2016</v>
      </c>
      <c r="J1" s="31">
        <v>2017</v>
      </c>
      <c r="K1" s="31">
        <v>2018</v>
      </c>
      <c r="L1" s="31">
        <v>2019</v>
      </c>
      <c r="M1" s="31">
        <v>2020</v>
      </c>
      <c r="N1" s="71" t="s">
        <v>21</v>
      </c>
      <c r="O1" s="71" t="s">
        <v>22</v>
      </c>
      <c r="P1" s="71" t="s">
        <v>23</v>
      </c>
      <c r="Q1" s="71" t="s">
        <v>24</v>
      </c>
      <c r="R1" s="71" t="s">
        <v>25</v>
      </c>
      <c r="S1" s="71" t="s">
        <v>26</v>
      </c>
      <c r="T1" s="71" t="s">
        <v>27</v>
      </c>
      <c r="U1" s="71" t="s">
        <v>28</v>
      </c>
      <c r="V1" s="71" t="s">
        <v>29</v>
      </c>
      <c r="W1" s="71" t="s">
        <v>30</v>
      </c>
      <c r="X1" s="71" t="s">
        <v>31</v>
      </c>
      <c r="Y1" s="71" t="s">
        <v>32</v>
      </c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</row>
    <row r="2" spans="1:133" s="1" customFormat="1" x14ac:dyDescent="0.2">
      <c r="A2" s="112" t="s">
        <v>10</v>
      </c>
      <c r="B2" s="113"/>
      <c r="C2" s="113"/>
      <c r="D2" s="114"/>
      <c r="E2" s="29" t="s">
        <v>7</v>
      </c>
      <c r="F2" s="33">
        <v>150</v>
      </c>
      <c r="G2" s="33">
        <v>150</v>
      </c>
      <c r="H2" s="33">
        <v>90</v>
      </c>
      <c r="I2" s="33">
        <v>90</v>
      </c>
      <c r="J2" s="33">
        <v>80</v>
      </c>
      <c r="K2" s="33">
        <v>45</v>
      </c>
      <c r="L2" s="33">
        <v>45</v>
      </c>
      <c r="M2" s="33">
        <v>30</v>
      </c>
      <c r="N2" s="72">
        <f>N3/$M$2</f>
        <v>1.2573333333333332E-2</v>
      </c>
      <c r="O2" s="72">
        <f t="shared" ref="O2:Y2" si="0">O3/$M$2</f>
        <v>3.1433333333333334E-2</v>
      </c>
      <c r="P2" s="72">
        <f t="shared" si="0"/>
        <v>3.7719999999999997E-2</v>
      </c>
      <c r="Q2" s="72">
        <f t="shared" si="0"/>
        <v>5.0266666666666668E-2</v>
      </c>
      <c r="R2" s="72">
        <f t="shared" si="0"/>
        <v>6.3031000000000004E-2</v>
      </c>
      <c r="S2" s="72">
        <f t="shared" si="0"/>
        <v>0.23789833333333332</v>
      </c>
      <c r="T2" s="72">
        <f t="shared" si="0"/>
        <v>0.56142099999999995</v>
      </c>
      <c r="U2" s="72">
        <f t="shared" si="0"/>
        <v>0.82564400000000004</v>
      </c>
      <c r="V2" s="72">
        <f t="shared" si="0"/>
        <v>1.0669289999999998</v>
      </c>
      <c r="W2" s="72">
        <f t="shared" si="0"/>
        <v>1.1916703333333334</v>
      </c>
      <c r="X2" s="72">
        <f t="shared" si="0"/>
        <v>1.3708403333333334</v>
      </c>
      <c r="Y2" s="72">
        <f t="shared" si="0"/>
        <v>0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</row>
    <row r="3" spans="1:133" s="22" customFormat="1" ht="13.5" thickBot="1" x14ac:dyDescent="0.25">
      <c r="A3" s="115"/>
      <c r="B3" s="116"/>
      <c r="C3" s="116"/>
      <c r="D3" s="117"/>
      <c r="E3" s="21" t="s">
        <v>6</v>
      </c>
      <c r="F3" s="34">
        <v>142</v>
      </c>
      <c r="G3" s="34">
        <v>118</v>
      </c>
      <c r="H3" s="34">
        <v>77.559299999999993</v>
      </c>
      <c r="I3" s="34">
        <v>61</v>
      </c>
      <c r="J3" s="34">
        <v>40.952399999999997</v>
      </c>
      <c r="K3" s="34">
        <v>40.991999999999997</v>
      </c>
      <c r="L3" s="97">
        <v>20.058</v>
      </c>
      <c r="M3" s="97"/>
      <c r="N3" s="73">
        <v>0.37719999999999998</v>
      </c>
      <c r="O3" s="73">
        <v>0.94299999999999995</v>
      </c>
      <c r="P3" s="73">
        <v>1.1315999999999999</v>
      </c>
      <c r="Q3" s="73">
        <v>1.508</v>
      </c>
      <c r="R3" s="73">
        <v>1.89093</v>
      </c>
      <c r="S3" s="73">
        <v>7.1369499999999997</v>
      </c>
      <c r="T3" s="73">
        <v>16.84263</v>
      </c>
      <c r="U3" s="73">
        <v>24.76932</v>
      </c>
      <c r="V3" s="73">
        <v>32.007869999999997</v>
      </c>
      <c r="W3" s="73">
        <v>35.750109999999999</v>
      </c>
      <c r="X3" s="73">
        <v>41.125210000000003</v>
      </c>
      <c r="Y3" s="73"/>
    </row>
    <row r="4" spans="1:133" s="8" customFormat="1" x14ac:dyDescent="0.2">
      <c r="A4" s="112" t="s">
        <v>5</v>
      </c>
      <c r="B4" s="113"/>
      <c r="C4" s="113"/>
      <c r="D4" s="114"/>
      <c r="E4" s="29" t="s">
        <v>7</v>
      </c>
      <c r="F4" s="33">
        <v>307</v>
      </c>
      <c r="G4" s="33">
        <v>350</v>
      </c>
      <c r="H4" s="33">
        <v>290</v>
      </c>
      <c r="I4" s="33">
        <v>255</v>
      </c>
      <c r="J4" s="33">
        <v>260</v>
      </c>
      <c r="K4" s="33">
        <v>300</v>
      </c>
      <c r="L4" s="96">
        <v>300</v>
      </c>
      <c r="M4" s="96">
        <v>320</v>
      </c>
      <c r="N4" s="74">
        <f>N5/$M$4</f>
        <v>9.7638593750000002E-2</v>
      </c>
      <c r="O4" s="74">
        <f t="shared" ref="O4:Y4" si="1">O5/$M$4</f>
        <v>0.19431521874999999</v>
      </c>
      <c r="P4" s="74">
        <f t="shared" si="1"/>
        <v>0.26341575</v>
      </c>
      <c r="Q4" s="74">
        <f t="shared" si="1"/>
        <v>0.29531874999999996</v>
      </c>
      <c r="R4" s="74">
        <f t="shared" si="1"/>
        <v>0.37275815625000003</v>
      </c>
      <c r="S4" s="74">
        <f t="shared" si="1"/>
        <v>0.46829793750000004</v>
      </c>
      <c r="T4" s="74">
        <f t="shared" si="1"/>
        <v>0.46947121875000003</v>
      </c>
      <c r="U4" s="74">
        <f t="shared" si="1"/>
        <v>0.51707349999999996</v>
      </c>
      <c r="V4" s="74">
        <f t="shared" si="1"/>
        <v>0.61797690625000001</v>
      </c>
      <c r="W4" s="74">
        <f t="shared" si="1"/>
        <v>0.71318143750000007</v>
      </c>
      <c r="X4" s="74">
        <f t="shared" si="1"/>
        <v>0.80665956249999993</v>
      </c>
      <c r="Y4" s="74">
        <f t="shared" si="1"/>
        <v>0</v>
      </c>
    </row>
    <row r="5" spans="1:133" s="22" customFormat="1" ht="13.5" thickBot="1" x14ac:dyDescent="0.25">
      <c r="A5" s="115"/>
      <c r="B5" s="116"/>
      <c r="C5" s="116"/>
      <c r="D5" s="117"/>
      <c r="E5" s="21" t="s">
        <v>6</v>
      </c>
      <c r="F5" s="34">
        <v>294</v>
      </c>
      <c r="G5" s="34">
        <v>269</v>
      </c>
      <c r="H5" s="34">
        <v>260.82</v>
      </c>
      <c r="I5" s="34">
        <v>261</v>
      </c>
      <c r="J5" s="34">
        <v>296.18401</v>
      </c>
      <c r="K5" s="34">
        <v>314.99200000000002</v>
      </c>
      <c r="L5" s="98">
        <v>327.14800000000002</v>
      </c>
      <c r="M5" s="98"/>
      <c r="N5" s="75">
        <v>31.244350000000001</v>
      </c>
      <c r="O5" s="75">
        <v>62.180869999999999</v>
      </c>
      <c r="P5" s="75">
        <v>84.293040000000005</v>
      </c>
      <c r="Q5" s="75">
        <v>94.501999999999995</v>
      </c>
      <c r="R5" s="75">
        <v>119.28261000000001</v>
      </c>
      <c r="S5" s="75">
        <v>149.85534000000001</v>
      </c>
      <c r="T5" s="75">
        <v>150.23079000000001</v>
      </c>
      <c r="U5" s="75">
        <v>165.46351999999999</v>
      </c>
      <c r="V5" s="75">
        <v>197.75261</v>
      </c>
      <c r="W5" s="75">
        <v>228.21806000000001</v>
      </c>
      <c r="X5" s="75">
        <v>258.13105999999999</v>
      </c>
      <c r="Y5" s="75"/>
    </row>
    <row r="6" spans="1:133" s="8" customFormat="1" x14ac:dyDescent="0.2">
      <c r="A6" s="118" t="s">
        <v>35</v>
      </c>
      <c r="B6" s="119"/>
      <c r="C6" s="119"/>
      <c r="D6" s="120"/>
      <c r="E6" s="30" t="s">
        <v>7</v>
      </c>
      <c r="F6" s="70">
        <f t="shared" ref="F6:F7" si="2">F2+F4</f>
        <v>457</v>
      </c>
      <c r="G6" s="70">
        <f t="shared" ref="G6:M6" si="3">G2+G4</f>
        <v>500</v>
      </c>
      <c r="H6" s="70">
        <f t="shared" si="3"/>
        <v>380</v>
      </c>
      <c r="I6" s="70">
        <f t="shared" si="3"/>
        <v>345</v>
      </c>
      <c r="J6" s="70">
        <f t="shared" si="3"/>
        <v>340</v>
      </c>
      <c r="K6" s="70">
        <f t="shared" si="3"/>
        <v>345</v>
      </c>
      <c r="L6" s="70">
        <f t="shared" si="3"/>
        <v>345</v>
      </c>
      <c r="M6" s="70">
        <f t="shared" si="3"/>
        <v>350</v>
      </c>
      <c r="N6" s="76">
        <f>N7/$M$6</f>
        <v>9.0347285714285713E-2</v>
      </c>
      <c r="O6" s="76">
        <f t="shared" ref="O6:Y6" si="4">O7/$L$6</f>
        <v>0.18296773913043476</v>
      </c>
      <c r="P6" s="76">
        <f t="shared" si="4"/>
        <v>0.24760765217391306</v>
      </c>
      <c r="Q6" s="76">
        <f t="shared" si="4"/>
        <v>0.27828985507246373</v>
      </c>
      <c r="R6" s="76">
        <f t="shared" si="4"/>
        <v>0.35122765217391305</v>
      </c>
      <c r="S6" s="76">
        <f t="shared" si="4"/>
        <v>0.45505011594202904</v>
      </c>
      <c r="T6" s="76">
        <f t="shared" si="4"/>
        <v>0.48427078260869566</v>
      </c>
      <c r="U6" s="76">
        <f t="shared" si="4"/>
        <v>0.55139953623188398</v>
      </c>
      <c r="V6" s="76">
        <f t="shared" si="4"/>
        <v>0.66597240579710149</v>
      </c>
      <c r="W6" s="76">
        <f t="shared" si="4"/>
        <v>0.76512513043478259</v>
      </c>
      <c r="X6" s="76">
        <f t="shared" si="4"/>
        <v>0.86740947826086945</v>
      </c>
      <c r="Y6" s="76">
        <f t="shared" si="4"/>
        <v>0</v>
      </c>
    </row>
    <row r="7" spans="1:133" s="22" customFormat="1" ht="13.5" thickBot="1" x14ac:dyDescent="0.25">
      <c r="A7" s="121"/>
      <c r="B7" s="122"/>
      <c r="C7" s="122"/>
      <c r="D7" s="123"/>
      <c r="E7" s="40" t="s">
        <v>6</v>
      </c>
      <c r="F7" s="35">
        <f t="shared" si="2"/>
        <v>436</v>
      </c>
      <c r="G7" s="35">
        <f t="shared" ref="G7:M7" si="5">G3+G5</f>
        <v>387</v>
      </c>
      <c r="H7" s="35">
        <f t="shared" si="5"/>
        <v>338.3793</v>
      </c>
      <c r="I7" s="35">
        <f t="shared" si="5"/>
        <v>322</v>
      </c>
      <c r="J7" s="35">
        <f t="shared" si="5"/>
        <v>337.13641000000001</v>
      </c>
      <c r="K7" s="35">
        <f t="shared" si="5"/>
        <v>355.98400000000004</v>
      </c>
      <c r="L7" s="35">
        <f t="shared" si="5"/>
        <v>347.20600000000002</v>
      </c>
      <c r="M7" s="35">
        <f t="shared" si="5"/>
        <v>0</v>
      </c>
      <c r="N7" s="39">
        <f>N3+N5</f>
        <v>31.621549999999999</v>
      </c>
      <c r="O7" s="39">
        <f>O3+O5</f>
        <v>63.123869999999997</v>
      </c>
      <c r="P7" s="39">
        <f>P3+P5</f>
        <v>85.424640000000011</v>
      </c>
      <c r="Q7" s="39">
        <f t="shared" ref="Q7:Y7" si="6">Q3+Q5</f>
        <v>96.009999999999991</v>
      </c>
      <c r="R7" s="39">
        <f t="shared" si="6"/>
        <v>121.17354</v>
      </c>
      <c r="S7" s="39">
        <f t="shared" si="6"/>
        <v>156.99229000000003</v>
      </c>
      <c r="T7" s="39">
        <f t="shared" si="6"/>
        <v>167.07342</v>
      </c>
      <c r="U7" s="39">
        <f t="shared" si="6"/>
        <v>190.23283999999998</v>
      </c>
      <c r="V7" s="39">
        <f t="shared" si="6"/>
        <v>229.76048</v>
      </c>
      <c r="W7" s="39">
        <f t="shared" si="6"/>
        <v>263.96816999999999</v>
      </c>
      <c r="X7" s="39">
        <f t="shared" si="6"/>
        <v>299.25626999999997</v>
      </c>
      <c r="Y7" s="39">
        <f t="shared" si="6"/>
        <v>0</v>
      </c>
    </row>
    <row r="8" spans="1:133" s="8" customFormat="1" ht="13.5" thickBot="1" x14ac:dyDescent="0.25">
      <c r="A8" s="9"/>
      <c r="F8" s="36"/>
      <c r="G8" s="36"/>
      <c r="H8" s="36"/>
      <c r="I8" s="36"/>
      <c r="J8" s="36"/>
      <c r="K8" s="36"/>
      <c r="L8" s="36"/>
      <c r="M8" s="3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133" s="8" customFormat="1" x14ac:dyDescent="0.2">
      <c r="A9" s="124" t="s">
        <v>36</v>
      </c>
      <c r="B9" s="125"/>
      <c r="C9" s="125"/>
      <c r="D9" s="125"/>
      <c r="E9" s="24" t="s">
        <v>7</v>
      </c>
      <c r="F9" s="37">
        <v>750</v>
      </c>
      <c r="G9" s="37">
        <v>1000</v>
      </c>
      <c r="H9" s="37">
        <v>750</v>
      </c>
      <c r="I9" s="37">
        <v>620</v>
      </c>
      <c r="J9" s="37">
        <v>500</v>
      </c>
      <c r="K9" s="37">
        <v>550</v>
      </c>
      <c r="L9" s="37">
        <v>550</v>
      </c>
      <c r="M9" s="37">
        <v>550</v>
      </c>
      <c r="N9" s="77">
        <f>N10/$M$9</f>
        <v>6.124818181818182E-2</v>
      </c>
      <c r="O9" s="77">
        <f t="shared" ref="O9:Y9" si="7">O10/$M$9</f>
        <v>0.11508185454545455</v>
      </c>
      <c r="P9" s="77">
        <f t="shared" si="7"/>
        <v>0.15042659999999999</v>
      </c>
      <c r="Q9" s="77">
        <f t="shared" si="7"/>
        <v>0.18730181818181818</v>
      </c>
      <c r="R9" s="77">
        <f t="shared" si="7"/>
        <v>0.22271314545454546</v>
      </c>
      <c r="S9" s="77">
        <f t="shared" si="7"/>
        <v>0.26695187272727272</v>
      </c>
      <c r="T9" s="77">
        <f t="shared" si="7"/>
        <v>0.3223740727272727</v>
      </c>
      <c r="U9" s="77">
        <f t="shared" si="7"/>
        <v>0.35827498181818185</v>
      </c>
      <c r="V9" s="77">
        <f t="shared" si="7"/>
        <v>0.40817498181818179</v>
      </c>
      <c r="W9" s="77">
        <f t="shared" si="7"/>
        <v>0.4407654909090909</v>
      </c>
      <c r="X9" s="77">
        <f t="shared" si="7"/>
        <v>0.49210676363636369</v>
      </c>
      <c r="Y9" s="77">
        <f t="shared" si="7"/>
        <v>0</v>
      </c>
    </row>
    <row r="10" spans="1:133" s="22" customFormat="1" ht="13.5" thickBot="1" x14ac:dyDescent="0.25">
      <c r="A10" s="126"/>
      <c r="B10" s="127"/>
      <c r="C10" s="127"/>
      <c r="D10" s="127"/>
      <c r="E10" s="41" t="s">
        <v>6</v>
      </c>
      <c r="F10" s="34">
        <v>929</v>
      </c>
      <c r="G10" s="34">
        <v>604</v>
      </c>
      <c r="H10" s="34">
        <v>465.08049999999997</v>
      </c>
      <c r="I10" s="34">
        <v>425</v>
      </c>
      <c r="J10" s="34">
        <v>516.16247999999996</v>
      </c>
      <c r="K10" s="34">
        <v>477.15</v>
      </c>
      <c r="L10" s="98">
        <v>462.85300000000001</v>
      </c>
      <c r="M10" s="98"/>
      <c r="N10" s="78">
        <v>33.686500000000002</v>
      </c>
      <c r="O10" s="78">
        <v>63.295020000000001</v>
      </c>
      <c r="P10" s="78">
        <v>82.734629999999996</v>
      </c>
      <c r="Q10" s="78">
        <v>103.01600000000001</v>
      </c>
      <c r="R10" s="78">
        <v>122.49223000000001</v>
      </c>
      <c r="S10" s="78">
        <v>146.82353000000001</v>
      </c>
      <c r="T10" s="78">
        <v>177.30573999999999</v>
      </c>
      <c r="U10" s="78">
        <v>197.05124000000001</v>
      </c>
      <c r="V10" s="78">
        <v>224.49624</v>
      </c>
      <c r="W10" s="78">
        <v>242.42102</v>
      </c>
      <c r="X10" s="78">
        <v>270.65872000000002</v>
      </c>
      <c r="Y10" s="78"/>
    </row>
    <row r="11" spans="1:133" s="8" customFormat="1" x14ac:dyDescent="0.2">
      <c r="A11" s="124" t="s">
        <v>8</v>
      </c>
      <c r="B11" s="125"/>
      <c r="C11" s="125"/>
      <c r="D11" s="125"/>
      <c r="E11" s="24" t="s">
        <v>7</v>
      </c>
      <c r="F11" s="37">
        <v>4000</v>
      </c>
      <c r="G11" s="37">
        <v>3100</v>
      </c>
      <c r="H11" s="37">
        <v>3460</v>
      </c>
      <c r="I11" s="37">
        <v>3000</v>
      </c>
      <c r="J11" s="37">
        <v>2500</v>
      </c>
      <c r="K11" s="37">
        <v>2400</v>
      </c>
      <c r="L11" s="37">
        <v>2300</v>
      </c>
      <c r="M11" s="37">
        <v>2500</v>
      </c>
      <c r="N11" s="77">
        <f>N12/$M$11</f>
        <v>8.5078239999999999E-2</v>
      </c>
      <c r="O11" s="77">
        <f t="shared" ref="O11:Y11" si="8">O12/$M$11</f>
        <v>0.16590012800000001</v>
      </c>
      <c r="P11" s="77">
        <f t="shared" si="8"/>
        <v>0.26850395999999999</v>
      </c>
      <c r="Q11" s="77">
        <f t="shared" si="8"/>
        <v>0.32868560000000002</v>
      </c>
      <c r="R11" s="77">
        <f t="shared" si="8"/>
        <v>0.39427212</v>
      </c>
      <c r="S11" s="77">
        <f t="shared" si="8"/>
        <v>0.46445500000000001</v>
      </c>
      <c r="T11" s="77">
        <f t="shared" si="8"/>
        <v>0.53648947999999996</v>
      </c>
      <c r="U11" s="77">
        <f t="shared" si="8"/>
        <v>0.605969376</v>
      </c>
      <c r="V11" s="77">
        <f t="shared" si="8"/>
        <v>0.67936721600000005</v>
      </c>
      <c r="W11" s="77">
        <f t="shared" si="8"/>
        <v>0.75061053599999994</v>
      </c>
      <c r="X11" s="77">
        <f t="shared" si="8"/>
        <v>0.82843729600000005</v>
      </c>
      <c r="Y11" s="77">
        <f t="shared" si="8"/>
        <v>0</v>
      </c>
    </row>
    <row r="12" spans="1:133" s="22" customFormat="1" ht="13.5" thickBot="1" x14ac:dyDescent="0.25">
      <c r="A12" s="126"/>
      <c r="B12" s="127"/>
      <c r="C12" s="127"/>
      <c r="D12" s="127"/>
      <c r="E12" s="41" t="s">
        <v>6</v>
      </c>
      <c r="F12" s="34">
        <v>2807</v>
      </c>
      <c r="G12" s="34">
        <v>2775</v>
      </c>
      <c r="H12" s="34">
        <v>2443.1441</v>
      </c>
      <c r="I12" s="34">
        <v>2102</v>
      </c>
      <c r="J12" s="34">
        <v>2140.8692500000002</v>
      </c>
      <c r="K12" s="34">
        <v>2322.0929999999998</v>
      </c>
      <c r="L12" s="98">
        <v>2550.6379999999999</v>
      </c>
      <c r="M12" s="98"/>
      <c r="N12" s="78">
        <v>212.69560000000001</v>
      </c>
      <c r="O12" s="78">
        <v>414.75031999999999</v>
      </c>
      <c r="P12" s="78">
        <v>671.25990000000002</v>
      </c>
      <c r="Q12" s="78">
        <v>821.71400000000006</v>
      </c>
      <c r="R12" s="78">
        <v>985.68029999999999</v>
      </c>
      <c r="S12" s="78">
        <v>1161.1375</v>
      </c>
      <c r="T12" s="78">
        <v>1341.2237</v>
      </c>
      <c r="U12" s="78">
        <v>1514.92344</v>
      </c>
      <c r="V12" s="78">
        <v>1698.41804</v>
      </c>
      <c r="W12" s="78">
        <v>1876.5263399999999</v>
      </c>
      <c r="X12" s="78">
        <v>2071.0932400000002</v>
      </c>
      <c r="Y12" s="78"/>
    </row>
    <row r="13" spans="1:133" s="8" customFormat="1" x14ac:dyDescent="0.2">
      <c r="A13" s="124" t="s">
        <v>9</v>
      </c>
      <c r="B13" s="125"/>
      <c r="C13" s="125"/>
      <c r="D13" s="125"/>
      <c r="E13" s="24" t="s">
        <v>7</v>
      </c>
      <c r="F13" s="37">
        <v>10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</row>
    <row r="14" spans="1:133" s="22" customFormat="1" ht="13.5" thickBot="1" x14ac:dyDescent="0.25">
      <c r="A14" s="126"/>
      <c r="B14" s="127"/>
      <c r="C14" s="127"/>
      <c r="D14" s="127"/>
      <c r="E14" s="41" t="s">
        <v>6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1.9970000000000001</v>
      </c>
      <c r="L14" s="98">
        <v>0</v>
      </c>
      <c r="M14" s="98"/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</row>
    <row r="15" spans="1:133" s="22" customFormat="1" x14ac:dyDescent="0.2">
      <c r="A15" s="124" t="s">
        <v>60</v>
      </c>
      <c r="B15" s="125"/>
      <c r="C15" s="125"/>
      <c r="D15" s="138"/>
      <c r="E15" s="24" t="s">
        <v>7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150</v>
      </c>
      <c r="L15" s="37">
        <v>190</v>
      </c>
      <c r="M15" s="37">
        <v>200</v>
      </c>
      <c r="N15" s="77">
        <f>N16/$M$15</f>
        <v>7.7775999999999998E-2</v>
      </c>
      <c r="O15" s="77">
        <f t="shared" ref="O15:Y15" si="9">O16/$M$15</f>
        <v>0.147924</v>
      </c>
      <c r="P15" s="77">
        <f t="shared" si="9"/>
        <v>0.2172675</v>
      </c>
      <c r="Q15" s="77">
        <f t="shared" si="9"/>
        <v>0.28464500000000004</v>
      </c>
      <c r="R15" s="77">
        <f t="shared" si="9"/>
        <v>0.35102299999999997</v>
      </c>
      <c r="S15" s="77">
        <f t="shared" si="9"/>
        <v>0.40802500000000003</v>
      </c>
      <c r="T15" s="77">
        <f t="shared" si="9"/>
        <v>0.47982399999999997</v>
      </c>
      <c r="U15" s="77">
        <f t="shared" si="9"/>
        <v>0.53889850000000006</v>
      </c>
      <c r="V15" s="77">
        <f t="shared" si="9"/>
        <v>0.60307699999999997</v>
      </c>
      <c r="W15" s="77">
        <f t="shared" si="9"/>
        <v>0.6676628</v>
      </c>
      <c r="X15" s="77">
        <f t="shared" si="9"/>
        <v>0.72806985000000002</v>
      </c>
      <c r="Y15" s="77">
        <f t="shared" si="9"/>
        <v>0</v>
      </c>
    </row>
    <row r="16" spans="1:133" s="22" customFormat="1" ht="13.5" thickBot="1" x14ac:dyDescent="0.25">
      <c r="A16" s="126"/>
      <c r="B16" s="127"/>
      <c r="C16" s="127"/>
      <c r="D16" s="139"/>
      <c r="E16" s="41" t="s">
        <v>6</v>
      </c>
      <c r="F16" s="34">
        <v>0</v>
      </c>
      <c r="G16" s="34">
        <v>0</v>
      </c>
      <c r="H16" s="34">
        <v>0</v>
      </c>
      <c r="I16" s="34">
        <v>0</v>
      </c>
      <c r="J16" s="34">
        <v>145.31582</v>
      </c>
      <c r="K16" s="34">
        <v>172.45500000000001</v>
      </c>
      <c r="L16" s="99">
        <v>168.18299999999999</v>
      </c>
      <c r="M16" s="99"/>
      <c r="N16" s="79">
        <v>15.555199999999999</v>
      </c>
      <c r="O16" s="79">
        <v>29.584800000000001</v>
      </c>
      <c r="P16" s="79">
        <v>43.453499999999998</v>
      </c>
      <c r="Q16" s="79">
        <v>56.929000000000002</v>
      </c>
      <c r="R16" s="79">
        <v>70.204599999999999</v>
      </c>
      <c r="S16" s="79">
        <v>81.605000000000004</v>
      </c>
      <c r="T16" s="79">
        <v>95.964799999999997</v>
      </c>
      <c r="U16" s="79">
        <v>107.77970000000001</v>
      </c>
      <c r="V16" s="79">
        <v>120.61539999999999</v>
      </c>
      <c r="W16" s="79">
        <v>133.53255999999999</v>
      </c>
      <c r="X16" s="79">
        <v>145.61396999999999</v>
      </c>
      <c r="Y16" s="79"/>
    </row>
    <row r="17" spans="1:25" s="8" customFormat="1" x14ac:dyDescent="0.2">
      <c r="A17" s="124" t="s">
        <v>13</v>
      </c>
      <c r="B17" s="125"/>
      <c r="C17" s="125"/>
      <c r="D17" s="125"/>
      <c r="E17" s="24" t="s">
        <v>7</v>
      </c>
      <c r="F17" s="37">
        <v>820</v>
      </c>
      <c r="G17" s="37">
        <v>900</v>
      </c>
      <c r="H17" s="37">
        <v>800</v>
      </c>
      <c r="I17" s="37">
        <v>600</v>
      </c>
      <c r="J17" s="37">
        <v>400</v>
      </c>
      <c r="K17" s="37">
        <v>450</v>
      </c>
      <c r="L17" s="37">
        <v>450</v>
      </c>
      <c r="M17" s="37">
        <v>550</v>
      </c>
      <c r="N17" s="77">
        <f>N18/$M$17</f>
        <v>0.16321494545454546</v>
      </c>
      <c r="O17" s="77">
        <f t="shared" ref="O17:Y17" si="10">O18/$M$17</f>
        <v>0.17525250909090909</v>
      </c>
      <c r="P17" s="77">
        <f t="shared" si="10"/>
        <v>0.21689114545454546</v>
      </c>
      <c r="Q17" s="77">
        <f t="shared" si="10"/>
        <v>0.32400363636363638</v>
      </c>
      <c r="R17" s="77">
        <f t="shared" si="10"/>
        <v>0.35683952727272727</v>
      </c>
      <c r="S17" s="77">
        <f t="shared" si="10"/>
        <v>0.38289183636363633</v>
      </c>
      <c r="T17" s="77">
        <f t="shared" si="10"/>
        <v>0.46961398181818181</v>
      </c>
      <c r="U17" s="77">
        <f t="shared" si="10"/>
        <v>0.51122296363636366</v>
      </c>
      <c r="V17" s="77">
        <f t="shared" si="10"/>
        <v>0.54608529090909086</v>
      </c>
      <c r="W17" s="77">
        <f t="shared" si="10"/>
        <v>0.66108361818181816</v>
      </c>
      <c r="X17" s="77">
        <f t="shared" si="10"/>
        <v>0.70957681818181817</v>
      </c>
      <c r="Y17" s="77">
        <f t="shared" si="10"/>
        <v>0</v>
      </c>
    </row>
    <row r="18" spans="1:25" s="22" customFormat="1" ht="13.5" thickBot="1" x14ac:dyDescent="0.25">
      <c r="A18" s="126"/>
      <c r="B18" s="127"/>
      <c r="C18" s="127"/>
      <c r="D18" s="127"/>
      <c r="E18" s="41" t="s">
        <v>6</v>
      </c>
      <c r="F18" s="34">
        <v>699</v>
      </c>
      <c r="G18" s="34">
        <v>557</v>
      </c>
      <c r="H18" s="34">
        <v>504.59070000000003</v>
      </c>
      <c r="I18" s="34">
        <v>538</v>
      </c>
      <c r="J18" s="34">
        <v>434.51805000000002</v>
      </c>
      <c r="K18" s="34">
        <v>492.17599999999999</v>
      </c>
      <c r="L18" s="98">
        <v>458.358</v>
      </c>
      <c r="M18" s="98"/>
      <c r="N18" s="78">
        <v>89.768219999999999</v>
      </c>
      <c r="O18" s="78">
        <v>96.38888</v>
      </c>
      <c r="P18" s="78">
        <v>119.29013</v>
      </c>
      <c r="Q18" s="78">
        <v>178.202</v>
      </c>
      <c r="R18" s="78">
        <v>196.26174</v>
      </c>
      <c r="S18" s="78">
        <v>210.59050999999999</v>
      </c>
      <c r="T18" s="78">
        <v>258.28769</v>
      </c>
      <c r="U18" s="78">
        <v>281.17263000000003</v>
      </c>
      <c r="V18" s="78">
        <v>300.34690999999998</v>
      </c>
      <c r="W18" s="78">
        <v>363.59598999999997</v>
      </c>
      <c r="X18" s="78">
        <v>390.26724999999999</v>
      </c>
      <c r="Y18" s="78"/>
    </row>
    <row r="19" spans="1:25" s="8" customFormat="1" x14ac:dyDescent="0.2">
      <c r="A19" s="124" t="s">
        <v>17</v>
      </c>
      <c r="B19" s="125"/>
      <c r="C19" s="125"/>
      <c r="D19" s="125"/>
      <c r="E19" s="24" t="s">
        <v>7</v>
      </c>
      <c r="F19" s="37">
        <v>1950</v>
      </c>
      <c r="G19" s="37">
        <v>2800</v>
      </c>
      <c r="H19" s="37">
        <v>3300</v>
      </c>
      <c r="I19" s="37">
        <v>2500</v>
      </c>
      <c r="J19" s="37">
        <v>1800</v>
      </c>
      <c r="K19" s="37">
        <v>2500</v>
      </c>
      <c r="L19" s="37">
        <v>2600</v>
      </c>
      <c r="M19" s="37">
        <v>2900</v>
      </c>
      <c r="N19" s="77">
        <f>N20/$M$19</f>
        <v>7.540695172413793E-2</v>
      </c>
      <c r="O19" s="77">
        <f t="shared" ref="O19:Y19" si="11">O20/$M$19</f>
        <v>0.15337118620689655</v>
      </c>
      <c r="P19" s="77">
        <f t="shared" si="11"/>
        <v>0.22215505172413791</v>
      </c>
      <c r="Q19" s="77">
        <f t="shared" si="11"/>
        <v>0.30875620689655175</v>
      </c>
      <c r="R19" s="77">
        <f t="shared" si="11"/>
        <v>0.38365851724137928</v>
      </c>
      <c r="S19" s="77">
        <f t="shared" si="11"/>
        <v>0.46186003448275864</v>
      </c>
      <c r="T19" s="77">
        <f t="shared" si="11"/>
        <v>0.56781176206896555</v>
      </c>
      <c r="U19" s="77">
        <f t="shared" si="11"/>
        <v>0.6137351379310344</v>
      </c>
      <c r="V19" s="77">
        <f t="shared" si="11"/>
        <v>0.71060051379310341</v>
      </c>
      <c r="W19" s="77">
        <f t="shared" si="11"/>
        <v>0.75267326551724134</v>
      </c>
      <c r="X19" s="77">
        <f t="shared" si="11"/>
        <v>0.83663429310344828</v>
      </c>
      <c r="Y19" s="77">
        <f t="shared" si="11"/>
        <v>0</v>
      </c>
    </row>
    <row r="20" spans="1:25" s="22" customFormat="1" ht="13.5" thickBot="1" x14ac:dyDescent="0.25">
      <c r="A20" s="126"/>
      <c r="B20" s="127"/>
      <c r="C20" s="127"/>
      <c r="D20" s="127"/>
      <c r="E20" s="41" t="s">
        <v>6</v>
      </c>
      <c r="F20" s="34">
        <v>2087</v>
      </c>
      <c r="G20" s="34">
        <v>2968</v>
      </c>
      <c r="H20" s="34">
        <v>2602.5461</v>
      </c>
      <c r="I20" s="34">
        <v>2503</v>
      </c>
      <c r="J20" s="34">
        <v>2636.07987</v>
      </c>
      <c r="K20" s="34">
        <v>2840.011</v>
      </c>
      <c r="L20" s="98">
        <v>2929.4340000000002</v>
      </c>
      <c r="M20" s="98"/>
      <c r="N20" s="78">
        <v>218.68016</v>
      </c>
      <c r="O20" s="78">
        <v>444.77643999999998</v>
      </c>
      <c r="P20" s="78">
        <v>644.24964999999997</v>
      </c>
      <c r="Q20" s="78">
        <v>895.39300000000003</v>
      </c>
      <c r="R20" s="78">
        <v>1112.6097</v>
      </c>
      <c r="S20" s="78">
        <v>1339.3941</v>
      </c>
      <c r="T20" s="78">
        <v>1646.6541099999999</v>
      </c>
      <c r="U20" s="78">
        <v>1779.8318999999999</v>
      </c>
      <c r="V20" s="78">
        <v>2060.7414899999999</v>
      </c>
      <c r="W20" s="78">
        <v>2182.7524699999999</v>
      </c>
      <c r="X20" s="78">
        <v>2426.23945</v>
      </c>
      <c r="Y20" s="78"/>
    </row>
    <row r="21" spans="1:25" s="8" customFormat="1" x14ac:dyDescent="0.2">
      <c r="A21" s="124" t="s">
        <v>37</v>
      </c>
      <c r="B21" s="125"/>
      <c r="C21" s="125"/>
      <c r="D21" s="125"/>
      <c r="E21" s="24" t="s">
        <v>7</v>
      </c>
      <c r="F21" s="37">
        <v>60</v>
      </c>
      <c r="G21" s="37">
        <v>60</v>
      </c>
      <c r="H21" s="37">
        <v>150</v>
      </c>
      <c r="I21" s="37">
        <v>150</v>
      </c>
      <c r="J21" s="37">
        <v>300</v>
      </c>
      <c r="K21" s="37">
        <v>330</v>
      </c>
      <c r="L21" s="37">
        <v>330</v>
      </c>
      <c r="M21" s="37">
        <v>400</v>
      </c>
      <c r="N21" s="77">
        <f>N22/$M$21</f>
        <v>5.1569999999999998E-2</v>
      </c>
      <c r="O21" s="77">
        <f t="shared" ref="O21:Y21" si="12">O22/$M$21</f>
        <v>0.102473175</v>
      </c>
      <c r="P21" s="77">
        <f t="shared" si="12"/>
        <v>0.17894599999999999</v>
      </c>
      <c r="Q21" s="77">
        <f t="shared" si="12"/>
        <v>0.2284225</v>
      </c>
      <c r="R21" s="77">
        <f t="shared" si="12"/>
        <v>0.31347020000000003</v>
      </c>
      <c r="S21" s="77">
        <f t="shared" si="12"/>
        <v>0.35059732500000002</v>
      </c>
      <c r="T21" s="77">
        <f t="shared" si="12"/>
        <v>0.41946897499999997</v>
      </c>
      <c r="U21" s="77">
        <f t="shared" si="12"/>
        <v>0.45384855000000002</v>
      </c>
      <c r="V21" s="77">
        <f t="shared" si="12"/>
        <v>0.639137175</v>
      </c>
      <c r="W21" s="77">
        <f t="shared" si="12"/>
        <v>0.72958207500000005</v>
      </c>
      <c r="X21" s="77">
        <f t="shared" si="12"/>
        <v>0.84248957499999999</v>
      </c>
      <c r="Y21" s="77">
        <f t="shared" si="12"/>
        <v>0</v>
      </c>
    </row>
    <row r="22" spans="1:25" s="22" customFormat="1" ht="13.5" thickBot="1" x14ac:dyDescent="0.25">
      <c r="A22" s="126"/>
      <c r="B22" s="127"/>
      <c r="C22" s="127"/>
      <c r="D22" s="127"/>
      <c r="E22" s="41" t="s">
        <v>6</v>
      </c>
      <c r="F22" s="34">
        <v>100</v>
      </c>
      <c r="G22" s="34">
        <v>102</v>
      </c>
      <c r="H22" s="34">
        <v>184.49430000000001</v>
      </c>
      <c r="I22" s="34">
        <v>286</v>
      </c>
      <c r="J22" s="34">
        <v>280.90543000000002</v>
      </c>
      <c r="K22" s="34">
        <v>356.93799999999999</v>
      </c>
      <c r="L22" s="98">
        <v>319.709</v>
      </c>
      <c r="M22" s="98"/>
      <c r="N22" s="78">
        <v>20.628</v>
      </c>
      <c r="O22" s="78">
        <v>40.989269999999998</v>
      </c>
      <c r="P22" s="78">
        <v>71.578400000000002</v>
      </c>
      <c r="Q22" s="78">
        <v>91.369</v>
      </c>
      <c r="R22" s="78">
        <v>125.38808</v>
      </c>
      <c r="S22" s="78">
        <v>140.23893000000001</v>
      </c>
      <c r="T22" s="78">
        <v>167.78758999999999</v>
      </c>
      <c r="U22" s="78">
        <v>181.53942000000001</v>
      </c>
      <c r="V22" s="78">
        <v>255.65486999999999</v>
      </c>
      <c r="W22" s="78">
        <v>291.83283</v>
      </c>
      <c r="X22" s="78">
        <v>336.99583000000001</v>
      </c>
      <c r="Y22" s="78"/>
    </row>
    <row r="23" spans="1:25" s="8" customFormat="1" x14ac:dyDescent="0.2">
      <c r="A23" s="124" t="s">
        <v>19</v>
      </c>
      <c r="B23" s="125"/>
      <c r="C23" s="125"/>
      <c r="D23" s="125"/>
      <c r="E23" s="24" t="s">
        <v>7</v>
      </c>
      <c r="F23" s="37">
        <v>35</v>
      </c>
      <c r="G23" s="37">
        <v>25</v>
      </c>
      <c r="H23" s="37">
        <v>30</v>
      </c>
      <c r="I23" s="37">
        <v>30</v>
      </c>
      <c r="J23" s="37">
        <v>30</v>
      </c>
      <c r="K23" s="37">
        <v>30</v>
      </c>
      <c r="L23" s="37">
        <v>25</v>
      </c>
      <c r="M23" s="37">
        <v>25</v>
      </c>
      <c r="N23" s="77">
        <f>N24/$M$23</f>
        <v>0.6</v>
      </c>
      <c r="O23" s="77">
        <f t="shared" ref="O23:Y23" si="13">O24/$M$23</f>
        <v>0.6</v>
      </c>
      <c r="P23" s="77">
        <f t="shared" si="13"/>
        <v>0.6</v>
      </c>
      <c r="Q23" s="77">
        <f t="shared" si="13"/>
        <v>0.6</v>
      </c>
      <c r="R23" s="77">
        <f t="shared" si="13"/>
        <v>0.6</v>
      </c>
      <c r="S23" s="77">
        <f t="shared" si="13"/>
        <v>0.6</v>
      </c>
      <c r="T23" s="77">
        <f t="shared" si="13"/>
        <v>0.6</v>
      </c>
      <c r="U23" s="77">
        <f t="shared" si="13"/>
        <v>0.6</v>
      </c>
      <c r="V23" s="77">
        <f t="shared" si="13"/>
        <v>0.6</v>
      </c>
      <c r="W23" s="77">
        <f t="shared" si="13"/>
        <v>0.6</v>
      </c>
      <c r="X23" s="77">
        <f t="shared" si="13"/>
        <v>0.6</v>
      </c>
      <c r="Y23" s="77">
        <f t="shared" si="13"/>
        <v>0</v>
      </c>
    </row>
    <row r="24" spans="1:25" s="22" customFormat="1" ht="13.5" thickBot="1" x14ac:dyDescent="0.25">
      <c r="A24" s="126"/>
      <c r="B24" s="127"/>
      <c r="C24" s="127"/>
      <c r="D24" s="127"/>
      <c r="E24" s="41" t="s">
        <v>6</v>
      </c>
      <c r="F24" s="34">
        <v>27</v>
      </c>
      <c r="G24" s="34">
        <v>31</v>
      </c>
      <c r="H24" s="34">
        <v>27</v>
      </c>
      <c r="I24" s="34">
        <v>20</v>
      </c>
      <c r="J24" s="34">
        <v>20.135000000000002</v>
      </c>
      <c r="K24" s="34">
        <v>17.099</v>
      </c>
      <c r="L24" s="98">
        <v>18.13</v>
      </c>
      <c r="M24" s="98"/>
      <c r="N24" s="78">
        <v>15</v>
      </c>
      <c r="O24" s="78">
        <v>15</v>
      </c>
      <c r="P24" s="78">
        <v>15</v>
      </c>
      <c r="Q24" s="78">
        <v>15</v>
      </c>
      <c r="R24" s="78">
        <v>15</v>
      </c>
      <c r="S24" s="78">
        <v>15</v>
      </c>
      <c r="T24" s="78">
        <v>15</v>
      </c>
      <c r="U24" s="78">
        <v>15</v>
      </c>
      <c r="V24" s="78">
        <v>15</v>
      </c>
      <c r="W24" s="78">
        <v>15</v>
      </c>
      <c r="X24" s="78">
        <v>15</v>
      </c>
      <c r="Y24" s="78"/>
    </row>
    <row r="25" spans="1:25" s="8" customFormat="1" x14ac:dyDescent="0.2">
      <c r="A25" s="124" t="s">
        <v>20</v>
      </c>
      <c r="B25" s="125"/>
      <c r="C25" s="125"/>
      <c r="D25" s="125"/>
      <c r="E25" s="24" t="s">
        <v>7</v>
      </c>
      <c r="F25" s="37">
        <v>475</v>
      </c>
      <c r="G25" s="37">
        <v>600</v>
      </c>
      <c r="H25" s="37">
        <v>630</v>
      </c>
      <c r="I25" s="37">
        <v>710</v>
      </c>
      <c r="J25" s="37">
        <v>660</v>
      </c>
      <c r="K25" s="37">
        <v>800</v>
      </c>
      <c r="L25" s="37">
        <v>810</v>
      </c>
      <c r="M25" s="37">
        <v>900</v>
      </c>
      <c r="N25" s="77">
        <f>N26/$M$25</f>
        <v>0.21540222222222222</v>
      </c>
      <c r="O25" s="77">
        <f t="shared" ref="O25:Y25" si="14">O26/$M$25</f>
        <v>0.21540222222222222</v>
      </c>
      <c r="P25" s="77">
        <f t="shared" si="14"/>
        <v>0.21540222222222222</v>
      </c>
      <c r="Q25" s="77">
        <f t="shared" si="14"/>
        <v>0.4725388888888889</v>
      </c>
      <c r="R25" s="77">
        <f t="shared" si="14"/>
        <v>0.4725388888888889</v>
      </c>
      <c r="S25" s="77">
        <f t="shared" si="14"/>
        <v>0.4725388888888889</v>
      </c>
      <c r="T25" s="77">
        <f t="shared" si="14"/>
        <v>0.71877888888888886</v>
      </c>
      <c r="U25" s="77">
        <f t="shared" si="14"/>
        <v>0.71877888888888886</v>
      </c>
      <c r="V25" s="77">
        <f t="shared" si="14"/>
        <v>0.71877888888888886</v>
      </c>
      <c r="W25" s="77">
        <f t="shared" si="14"/>
        <v>0.96975555555555548</v>
      </c>
      <c r="X25" s="77">
        <f t="shared" si="14"/>
        <v>0.96975555555555548</v>
      </c>
      <c r="Y25" s="77">
        <f t="shared" si="14"/>
        <v>0</v>
      </c>
    </row>
    <row r="26" spans="1:25" s="22" customFormat="1" ht="13.5" thickBot="1" x14ac:dyDescent="0.25">
      <c r="A26" s="126"/>
      <c r="B26" s="127"/>
      <c r="C26" s="127"/>
      <c r="D26" s="127"/>
      <c r="E26" s="41" t="s">
        <v>6</v>
      </c>
      <c r="F26" s="34">
        <v>579</v>
      </c>
      <c r="G26" s="34">
        <v>582</v>
      </c>
      <c r="H26" s="34">
        <v>626</v>
      </c>
      <c r="I26" s="34">
        <v>626</v>
      </c>
      <c r="J26" s="34">
        <v>708.76400000000001</v>
      </c>
      <c r="K26" s="34">
        <v>808.63300000000004</v>
      </c>
      <c r="L26" s="98">
        <v>780.19500000000005</v>
      </c>
      <c r="M26" s="98"/>
      <c r="N26" s="78">
        <v>193.86199999999999</v>
      </c>
      <c r="O26" s="78">
        <v>193.86199999999999</v>
      </c>
      <c r="P26" s="78">
        <v>193.86199999999999</v>
      </c>
      <c r="Q26" s="78">
        <v>425.28500000000003</v>
      </c>
      <c r="R26" s="78">
        <v>425.28500000000003</v>
      </c>
      <c r="S26" s="78">
        <v>425.28500000000003</v>
      </c>
      <c r="T26" s="78">
        <v>646.90099999999995</v>
      </c>
      <c r="U26" s="78">
        <v>646.90099999999995</v>
      </c>
      <c r="V26" s="78">
        <v>646.90099999999995</v>
      </c>
      <c r="W26" s="78">
        <v>872.78</v>
      </c>
      <c r="X26" s="78">
        <v>872.78</v>
      </c>
      <c r="Y26" s="78"/>
    </row>
    <row r="27" spans="1:25" s="8" customFormat="1" x14ac:dyDescent="0.2">
      <c r="A27" s="134" t="s">
        <v>38</v>
      </c>
      <c r="B27" s="135"/>
      <c r="C27" s="135"/>
      <c r="D27" s="135"/>
      <c r="E27" s="25" t="s">
        <v>7</v>
      </c>
      <c r="F27" s="38">
        <f>F9+F11+F13+F15+F17+F19+F21+F23+F25</f>
        <v>8100</v>
      </c>
      <c r="G27" s="38">
        <f t="shared" ref="G27:M27" si="15">G9+G11+G13+G15+G17+G19+G21+G23+G25</f>
        <v>8485</v>
      </c>
      <c r="H27" s="38">
        <f t="shared" si="15"/>
        <v>9120</v>
      </c>
      <c r="I27" s="38">
        <f t="shared" si="15"/>
        <v>7610</v>
      </c>
      <c r="J27" s="38">
        <f t="shared" si="15"/>
        <v>6190</v>
      </c>
      <c r="K27" s="38">
        <f t="shared" si="15"/>
        <v>7210</v>
      </c>
      <c r="L27" s="38">
        <f t="shared" si="15"/>
        <v>7255</v>
      </c>
      <c r="M27" s="38">
        <f t="shared" si="15"/>
        <v>8025</v>
      </c>
      <c r="N27" s="80">
        <f>N28/$M$27</f>
        <v>9.9672981931464177E-2</v>
      </c>
      <c r="O27" s="80">
        <f t="shared" ref="O27:Y27" si="16">O28/$M$27</f>
        <v>0.16182513769470405</v>
      </c>
      <c r="P27" s="80">
        <f t="shared" si="16"/>
        <v>0.22946145919003119</v>
      </c>
      <c r="Q27" s="80">
        <f t="shared" si="16"/>
        <v>0.32235613707165106</v>
      </c>
      <c r="R27" s="80">
        <f t="shared" si="16"/>
        <v>0.38042637383177569</v>
      </c>
      <c r="S27" s="80">
        <f t="shared" si="16"/>
        <v>0.43863857570093456</v>
      </c>
      <c r="T27" s="80">
        <f t="shared" si="16"/>
        <v>0.54194699439252336</v>
      </c>
      <c r="U27" s="80">
        <f t="shared" si="16"/>
        <v>0.58868527476635524</v>
      </c>
      <c r="V27" s="80">
        <f t="shared" si="16"/>
        <v>0.66319924610591907</v>
      </c>
      <c r="W27" s="80">
        <f t="shared" si="16"/>
        <v>0.74497709781931465</v>
      </c>
      <c r="X27" s="80">
        <f t="shared" si="16"/>
        <v>0.81353874890965727</v>
      </c>
      <c r="Y27" s="80">
        <f t="shared" si="16"/>
        <v>0</v>
      </c>
    </row>
    <row r="28" spans="1:25" s="22" customFormat="1" ht="13.5" thickBot="1" x14ac:dyDescent="0.25">
      <c r="A28" s="136"/>
      <c r="B28" s="137"/>
      <c r="C28" s="137"/>
      <c r="D28" s="137"/>
      <c r="E28" s="40" t="s">
        <v>6</v>
      </c>
      <c r="F28" s="39">
        <f>F10+F12+F14+F16+F18+F20+F22+F24+F26</f>
        <v>7228</v>
      </c>
      <c r="G28" s="39">
        <f t="shared" ref="G28:L28" si="17">G10+G12+G14+G16+G18+G20+G22+G24+G26</f>
        <v>7619</v>
      </c>
      <c r="H28" s="39">
        <f t="shared" si="17"/>
        <v>6852.8557000000001</v>
      </c>
      <c r="I28" s="39">
        <f t="shared" si="17"/>
        <v>6500</v>
      </c>
      <c r="J28" s="39">
        <f t="shared" si="17"/>
        <v>6882.7499000000007</v>
      </c>
      <c r="K28" s="39">
        <f t="shared" si="17"/>
        <v>7488.5519999999997</v>
      </c>
      <c r="L28" s="39">
        <f t="shared" si="17"/>
        <v>7687.5</v>
      </c>
      <c r="M28" s="39"/>
      <c r="N28" s="39">
        <f t="shared" ref="N28:Y28" si="18">N10+N12+N14+N16+N18+N20+N22+N24+N26</f>
        <v>799.87567999999999</v>
      </c>
      <c r="O28" s="39">
        <f t="shared" si="18"/>
        <v>1298.6467299999999</v>
      </c>
      <c r="P28" s="39">
        <f t="shared" si="18"/>
        <v>1841.4282100000003</v>
      </c>
      <c r="Q28" s="39">
        <f>Q10+Q12+Q14+Q16+Q18+Q20+Q22+Q24+Q26</f>
        <v>2586.9079999999999</v>
      </c>
      <c r="R28" s="39">
        <f t="shared" si="18"/>
        <v>3052.9216499999998</v>
      </c>
      <c r="S28" s="39">
        <f t="shared" si="18"/>
        <v>3520.0745699999998</v>
      </c>
      <c r="T28" s="39">
        <f t="shared" si="18"/>
        <v>4349.1246300000003</v>
      </c>
      <c r="U28" s="39">
        <f t="shared" si="18"/>
        <v>4724.1993300000004</v>
      </c>
      <c r="V28" s="39">
        <f t="shared" si="18"/>
        <v>5322.1739500000003</v>
      </c>
      <c r="W28" s="39">
        <f t="shared" si="18"/>
        <v>5978.44121</v>
      </c>
      <c r="X28" s="39">
        <f t="shared" si="18"/>
        <v>6528.6484599999994</v>
      </c>
      <c r="Y28" s="39">
        <f t="shared" si="18"/>
        <v>0</v>
      </c>
    </row>
    <row r="29" spans="1:25" s="8" customFormat="1" ht="13.5" thickBot="1" x14ac:dyDescent="0.25">
      <c r="A29" s="9"/>
      <c r="B29" s="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s="8" customFormat="1" x14ac:dyDescent="0.2">
      <c r="A30" s="128" t="s">
        <v>51</v>
      </c>
      <c r="B30" s="129"/>
      <c r="C30" s="129"/>
      <c r="D30" s="130"/>
      <c r="E30" s="42" t="s">
        <v>7</v>
      </c>
      <c r="F30" s="37">
        <v>5500</v>
      </c>
      <c r="G30" s="37">
        <v>5800</v>
      </c>
      <c r="H30" s="37">
        <v>5737</v>
      </c>
      <c r="I30" s="37">
        <v>5400</v>
      </c>
      <c r="J30" s="37">
        <v>5733</v>
      </c>
      <c r="K30" s="37">
        <v>5895</v>
      </c>
      <c r="L30" s="66">
        <v>5977</v>
      </c>
      <c r="M30" s="66">
        <v>5972</v>
      </c>
      <c r="N30" s="81">
        <f>N31/$M$30</f>
        <v>8.9665576021433352E-2</v>
      </c>
      <c r="O30" s="81">
        <f t="shared" ref="O30:Y30" si="19">O31/$M$30</f>
        <v>0.16752347622237107</v>
      </c>
      <c r="P30" s="81">
        <f t="shared" si="19"/>
        <v>0.28687329370395176</v>
      </c>
      <c r="Q30" s="81">
        <f t="shared" si="19"/>
        <v>0.35900669792364365</v>
      </c>
      <c r="R30" s="81">
        <f t="shared" si="19"/>
        <v>0.44219486436704619</v>
      </c>
      <c r="S30" s="81">
        <f t="shared" si="19"/>
        <v>0.55016054922973878</v>
      </c>
      <c r="T30" s="81">
        <f t="shared" si="19"/>
        <v>0.59603246651038178</v>
      </c>
      <c r="U30" s="81">
        <f t="shared" si="19"/>
        <v>0.67996225720026793</v>
      </c>
      <c r="V30" s="81">
        <f t="shared" si="19"/>
        <v>0.77310580877428003</v>
      </c>
      <c r="W30" s="81">
        <f t="shared" si="19"/>
        <v>0.94891057434695236</v>
      </c>
      <c r="X30" s="81">
        <f t="shared" si="19"/>
        <v>1.0058628499665103</v>
      </c>
      <c r="Y30" s="81">
        <f t="shared" si="19"/>
        <v>0</v>
      </c>
    </row>
    <row r="31" spans="1:25" s="22" customFormat="1" ht="13.5" thickBot="1" x14ac:dyDescent="0.25">
      <c r="A31" s="131"/>
      <c r="B31" s="132"/>
      <c r="C31" s="132"/>
      <c r="D31" s="133"/>
      <c r="E31" s="43" t="s">
        <v>6</v>
      </c>
      <c r="F31" s="44">
        <v>5549</v>
      </c>
      <c r="G31" s="44">
        <v>5630</v>
      </c>
      <c r="H31" s="44">
        <v>5473.7573000000002</v>
      </c>
      <c r="I31" s="44">
        <v>5622</v>
      </c>
      <c r="J31" s="44">
        <v>5771.41932</v>
      </c>
      <c r="K31" s="44">
        <v>5288.6120000000001</v>
      </c>
      <c r="L31" s="97">
        <v>5791.5730000000003</v>
      </c>
      <c r="M31" s="97"/>
      <c r="N31" s="82">
        <v>535.48281999999995</v>
      </c>
      <c r="O31" s="82">
        <v>1000.4502</v>
      </c>
      <c r="P31" s="82">
        <v>1713.20731</v>
      </c>
      <c r="Q31" s="82">
        <v>2143.9879999999998</v>
      </c>
      <c r="R31" s="82">
        <v>2640.78773</v>
      </c>
      <c r="S31" s="82">
        <v>3285.5587999999998</v>
      </c>
      <c r="T31" s="82">
        <v>3559.5058899999999</v>
      </c>
      <c r="U31" s="82">
        <v>4060.7345999999998</v>
      </c>
      <c r="V31" s="82">
        <v>4616.9878900000003</v>
      </c>
      <c r="W31" s="82">
        <v>5666.8939499999997</v>
      </c>
      <c r="X31" s="82">
        <v>6007.0129399999996</v>
      </c>
      <c r="Y31" s="82"/>
    </row>
    <row r="32" spans="1:25" s="8" customFormat="1" x14ac:dyDescent="0.2">
      <c r="A32" s="128" t="s">
        <v>1</v>
      </c>
      <c r="B32" s="129"/>
      <c r="C32" s="129"/>
      <c r="D32" s="130"/>
      <c r="E32" s="42" t="s">
        <v>7</v>
      </c>
      <c r="F32" s="37">
        <v>1900</v>
      </c>
      <c r="G32" s="37">
        <v>1900</v>
      </c>
      <c r="H32" s="37">
        <v>1800</v>
      </c>
      <c r="I32" s="37">
        <v>1900</v>
      </c>
      <c r="J32" s="37">
        <v>3500</v>
      </c>
      <c r="K32" s="37">
        <v>3100</v>
      </c>
      <c r="L32" s="66">
        <v>2677</v>
      </c>
      <c r="M32" s="66">
        <v>2641</v>
      </c>
      <c r="N32" s="81">
        <f>N33/$M$32</f>
        <v>7.7886164331692542E-2</v>
      </c>
      <c r="O32" s="81">
        <f t="shared" ref="O32:Y32" si="20">O33/$M$32</f>
        <v>0.15560346838318817</v>
      </c>
      <c r="P32" s="81">
        <f t="shared" si="20"/>
        <v>0.24297505111700113</v>
      </c>
      <c r="Q32" s="81">
        <f t="shared" si="20"/>
        <v>0.31905111700113592</v>
      </c>
      <c r="R32" s="81">
        <f t="shared" si="20"/>
        <v>0.39090106399091251</v>
      </c>
      <c r="S32" s="81">
        <f t="shared" si="20"/>
        <v>0.47822869367663762</v>
      </c>
      <c r="T32" s="81">
        <f t="shared" si="20"/>
        <v>0.57235945475198791</v>
      </c>
      <c r="U32" s="81">
        <f t="shared" si="20"/>
        <v>0.6601063574403635</v>
      </c>
      <c r="V32" s="81">
        <f t="shared" si="20"/>
        <v>0.74049010980689134</v>
      </c>
      <c r="W32" s="81">
        <f t="shared" si="20"/>
        <v>0.82294084437712989</v>
      </c>
      <c r="X32" s="81">
        <f t="shared" si="20"/>
        <v>0.91552714502082544</v>
      </c>
      <c r="Y32" s="81">
        <f t="shared" si="20"/>
        <v>0</v>
      </c>
    </row>
    <row r="33" spans="1:25" s="22" customFormat="1" ht="13.5" thickBot="1" x14ac:dyDescent="0.25">
      <c r="A33" s="131"/>
      <c r="B33" s="132"/>
      <c r="C33" s="132"/>
      <c r="D33" s="133"/>
      <c r="E33" s="43" t="s">
        <v>6</v>
      </c>
      <c r="F33" s="44">
        <v>1890</v>
      </c>
      <c r="G33" s="44">
        <v>1813</v>
      </c>
      <c r="H33" s="44">
        <v>1667.8593000000001</v>
      </c>
      <c r="I33" s="44">
        <v>1839</v>
      </c>
      <c r="J33" s="44">
        <v>2455.3067599999999</v>
      </c>
      <c r="K33" s="44">
        <v>239.88399999999999</v>
      </c>
      <c r="L33" s="97">
        <v>2628.3409999999999</v>
      </c>
      <c r="M33" s="97"/>
      <c r="N33" s="82">
        <v>205.69736</v>
      </c>
      <c r="O33" s="82">
        <v>410.94875999999999</v>
      </c>
      <c r="P33" s="82">
        <v>641.69710999999995</v>
      </c>
      <c r="Q33" s="82">
        <v>842.61400000000003</v>
      </c>
      <c r="R33" s="82">
        <v>1032.3697099999999</v>
      </c>
      <c r="S33" s="82">
        <v>1263.00198</v>
      </c>
      <c r="T33" s="82">
        <v>1511.60132</v>
      </c>
      <c r="U33" s="82">
        <v>1743.3408899999999</v>
      </c>
      <c r="V33" s="82">
        <v>1955.63438</v>
      </c>
      <c r="W33" s="82">
        <v>2173.3867700000001</v>
      </c>
      <c r="X33" s="82">
        <v>2417.9071899999999</v>
      </c>
      <c r="Y33" s="82"/>
    </row>
    <row r="34" spans="1:25" s="8" customFormat="1" x14ac:dyDescent="0.2">
      <c r="A34" s="128" t="s">
        <v>39</v>
      </c>
      <c r="B34" s="129"/>
      <c r="C34" s="129"/>
      <c r="D34" s="130"/>
      <c r="E34" s="42" t="s">
        <v>7</v>
      </c>
      <c r="F34" s="37">
        <v>5500</v>
      </c>
      <c r="G34" s="37">
        <v>5200</v>
      </c>
      <c r="H34" s="37">
        <v>5300</v>
      </c>
      <c r="I34" s="37">
        <v>4813</v>
      </c>
      <c r="J34" s="37">
        <v>5100</v>
      </c>
      <c r="K34" s="37">
        <v>5300</v>
      </c>
      <c r="L34" s="66">
        <v>5370</v>
      </c>
      <c r="M34" s="66">
        <v>5781</v>
      </c>
      <c r="N34" s="81">
        <f>N35/$M$34</f>
        <v>6.616687078360145E-2</v>
      </c>
      <c r="O34" s="81">
        <f t="shared" ref="O34:Y34" si="21">O35/$M$34</f>
        <v>0.13581812835149626</v>
      </c>
      <c r="P34" s="81">
        <f t="shared" si="21"/>
        <v>0.215265929769936</v>
      </c>
      <c r="Q34" s="81">
        <f t="shared" si="21"/>
        <v>0.2693497664763882</v>
      </c>
      <c r="R34" s="81">
        <f t="shared" si="21"/>
        <v>0.33673766303407715</v>
      </c>
      <c r="S34" s="81">
        <f t="shared" si="21"/>
        <v>0.40755300813008127</v>
      </c>
      <c r="T34" s="81">
        <f t="shared" si="21"/>
        <v>0.47641901574122125</v>
      </c>
      <c r="U34" s="81">
        <f t="shared" si="21"/>
        <v>0.54290684656633803</v>
      </c>
      <c r="V34" s="81">
        <f t="shared" si="21"/>
        <v>0.61631999135097737</v>
      </c>
      <c r="W34" s="81">
        <f t="shared" si="21"/>
        <v>0.7134454436948624</v>
      </c>
      <c r="X34" s="81">
        <f t="shared" si="21"/>
        <v>0.80590474658363609</v>
      </c>
      <c r="Y34" s="81">
        <f t="shared" si="21"/>
        <v>0</v>
      </c>
    </row>
    <row r="35" spans="1:25" s="22" customFormat="1" ht="13.5" thickBot="1" x14ac:dyDescent="0.25">
      <c r="A35" s="131"/>
      <c r="B35" s="132"/>
      <c r="C35" s="132"/>
      <c r="D35" s="133"/>
      <c r="E35" s="43" t="s">
        <v>6</v>
      </c>
      <c r="F35" s="44">
        <v>5058</v>
      </c>
      <c r="G35" s="44">
        <v>4776</v>
      </c>
      <c r="H35" s="44">
        <v>5013.2416000000003</v>
      </c>
      <c r="I35" s="44">
        <v>4959</v>
      </c>
      <c r="J35" s="44">
        <v>5326.1034499999996</v>
      </c>
      <c r="K35" s="44">
        <v>5652.3140000000003</v>
      </c>
      <c r="L35" s="97">
        <v>5691.6880000000001</v>
      </c>
      <c r="M35" s="97"/>
      <c r="N35" s="82">
        <v>382.51067999999998</v>
      </c>
      <c r="O35" s="82">
        <v>785.16459999999995</v>
      </c>
      <c r="P35" s="82">
        <v>1244.45234</v>
      </c>
      <c r="Q35" s="82">
        <v>1557.1110000000001</v>
      </c>
      <c r="R35" s="82">
        <v>1946.6804299999999</v>
      </c>
      <c r="S35" s="82">
        <v>2356.06394</v>
      </c>
      <c r="T35" s="82">
        <v>2754.1783300000002</v>
      </c>
      <c r="U35" s="82">
        <v>3138.54448</v>
      </c>
      <c r="V35" s="82">
        <v>3562.94587</v>
      </c>
      <c r="W35" s="82">
        <v>4124.4281099999998</v>
      </c>
      <c r="X35" s="82">
        <v>4658.93534</v>
      </c>
      <c r="Y35" s="82"/>
    </row>
    <row r="36" spans="1:25" s="8" customFormat="1" x14ac:dyDescent="0.2">
      <c r="A36" s="128" t="s">
        <v>12</v>
      </c>
      <c r="B36" s="129"/>
      <c r="C36" s="129"/>
      <c r="D36" s="130"/>
      <c r="E36" s="42" t="s">
        <v>7</v>
      </c>
      <c r="F36" s="37">
        <v>2800</v>
      </c>
      <c r="G36" s="37">
        <v>2900</v>
      </c>
      <c r="H36" s="37">
        <v>3500</v>
      </c>
      <c r="I36" s="37">
        <v>3500</v>
      </c>
      <c r="J36" s="37">
        <v>3300</v>
      </c>
      <c r="K36" s="37">
        <v>3100</v>
      </c>
      <c r="L36" s="66">
        <v>3367</v>
      </c>
      <c r="M36" s="66">
        <v>3147</v>
      </c>
      <c r="N36" s="81">
        <f>N37/$M$36</f>
        <v>4.5949764855417866E-2</v>
      </c>
      <c r="O36" s="81">
        <f t="shared" ref="O36:Y36" si="22">O37/$M$36</f>
        <v>7.7080807117890046E-2</v>
      </c>
      <c r="P36" s="81">
        <f t="shared" si="22"/>
        <v>0.11568352399110264</v>
      </c>
      <c r="Q36" s="81">
        <f t="shared" si="22"/>
        <v>0.15717000317762947</v>
      </c>
      <c r="R36" s="81">
        <f t="shared" si="22"/>
        <v>0.22520096599936448</v>
      </c>
      <c r="S36" s="81">
        <f t="shared" si="22"/>
        <v>0.28568211947886879</v>
      </c>
      <c r="T36" s="81">
        <f t="shared" si="22"/>
        <v>0.33373404829996822</v>
      </c>
      <c r="U36" s="81">
        <f t="shared" si="22"/>
        <v>0.43162267556402922</v>
      </c>
      <c r="V36" s="81">
        <f t="shared" si="22"/>
        <v>0.50263685414680648</v>
      </c>
      <c r="W36" s="81">
        <f t="shared" si="22"/>
        <v>0.60888688910073085</v>
      </c>
      <c r="X36" s="81">
        <f t="shared" si="22"/>
        <v>0.75140831267874164</v>
      </c>
      <c r="Y36" s="81">
        <f t="shared" si="22"/>
        <v>0</v>
      </c>
    </row>
    <row r="37" spans="1:25" s="22" customFormat="1" ht="13.5" thickBot="1" x14ac:dyDescent="0.25">
      <c r="A37" s="131"/>
      <c r="B37" s="132"/>
      <c r="C37" s="132"/>
      <c r="D37" s="133"/>
      <c r="E37" s="43" t="s">
        <v>6</v>
      </c>
      <c r="F37" s="44">
        <v>2833</v>
      </c>
      <c r="G37" s="44">
        <v>3316</v>
      </c>
      <c r="H37" s="44">
        <v>3234.8519000000001</v>
      </c>
      <c r="I37" s="44">
        <v>2991</v>
      </c>
      <c r="J37" s="44">
        <v>3030.12482</v>
      </c>
      <c r="K37" s="44">
        <v>3244</v>
      </c>
      <c r="L37" s="97">
        <v>3091.3539999999998</v>
      </c>
      <c r="M37" s="97"/>
      <c r="N37" s="82">
        <v>144.60391000000001</v>
      </c>
      <c r="O37" s="82">
        <v>242.57329999999999</v>
      </c>
      <c r="P37" s="82">
        <v>364.05605000000003</v>
      </c>
      <c r="Q37" s="82">
        <v>494.61399999999998</v>
      </c>
      <c r="R37" s="82">
        <v>708.70744000000002</v>
      </c>
      <c r="S37" s="82">
        <v>899.04163000000005</v>
      </c>
      <c r="T37" s="82">
        <v>1050.2610500000001</v>
      </c>
      <c r="U37" s="82">
        <v>1358.31656</v>
      </c>
      <c r="V37" s="82">
        <v>1581.79818</v>
      </c>
      <c r="W37" s="82">
        <v>1916.16704</v>
      </c>
      <c r="X37" s="82">
        <v>2364.6819599999999</v>
      </c>
      <c r="Y37" s="82"/>
    </row>
    <row r="38" spans="1:25" s="8" customFormat="1" x14ac:dyDescent="0.2">
      <c r="A38" s="128" t="s">
        <v>62</v>
      </c>
      <c r="B38" s="129"/>
      <c r="C38" s="129"/>
      <c r="D38" s="130"/>
      <c r="E38" s="42" t="s">
        <v>7</v>
      </c>
      <c r="F38" s="37">
        <v>7300</v>
      </c>
      <c r="G38" s="37">
        <v>6500</v>
      </c>
      <c r="H38" s="37">
        <v>5125</v>
      </c>
      <c r="I38" s="37">
        <v>5840</v>
      </c>
      <c r="J38" s="37">
        <v>7640</v>
      </c>
      <c r="K38" s="37">
        <v>8865</v>
      </c>
      <c r="L38" s="66">
        <f>400+450+100+180+8200+5</f>
        <v>9335</v>
      </c>
      <c r="M38" s="66">
        <f>450+300+120+180+8309+5</f>
        <v>9364</v>
      </c>
      <c r="N38" s="81">
        <f>N39/$M$38</f>
        <v>6.302644703118325E-2</v>
      </c>
      <c r="O38" s="81">
        <f t="shared" ref="O38:Y38" si="23">O39/$M$38</f>
        <v>0.12858895984621957</v>
      </c>
      <c r="P38" s="81">
        <f t="shared" si="23"/>
        <v>0.2027328385305425</v>
      </c>
      <c r="Q38" s="81">
        <f t="shared" si="23"/>
        <v>0.27453374626228105</v>
      </c>
      <c r="R38" s="81">
        <f t="shared" si="23"/>
        <v>0.34417334899615548</v>
      </c>
      <c r="S38" s="81">
        <f t="shared" si="23"/>
        <v>0.45304381781290048</v>
      </c>
      <c r="T38" s="81">
        <f t="shared" si="23"/>
        <v>0.54338049551473733</v>
      </c>
      <c r="U38" s="81">
        <f t="shared" si="23"/>
        <v>0.61908978321230246</v>
      </c>
      <c r="V38" s="81">
        <f t="shared" si="23"/>
        <v>0.7027372041862453</v>
      </c>
      <c r="W38" s="81">
        <f t="shared" si="23"/>
        <v>0.84374304784280219</v>
      </c>
      <c r="X38" s="81">
        <f t="shared" si="23"/>
        <v>0.93444574967962402</v>
      </c>
      <c r="Y38" s="81">
        <f t="shared" si="23"/>
        <v>0</v>
      </c>
    </row>
    <row r="39" spans="1:25" s="22" customFormat="1" ht="13.5" thickBot="1" x14ac:dyDescent="0.25">
      <c r="A39" s="131" t="s">
        <v>56</v>
      </c>
      <c r="B39" s="132"/>
      <c r="C39" s="132"/>
      <c r="D39" s="133"/>
      <c r="E39" s="43" t="s">
        <v>6</v>
      </c>
      <c r="F39" s="44">
        <v>7069</v>
      </c>
      <c r="G39" s="44">
        <v>7886</v>
      </c>
      <c r="H39" s="44">
        <v>5793.8991999999998</v>
      </c>
      <c r="I39" s="44">
        <v>8344</v>
      </c>
      <c r="J39" s="44">
        <v>8963.6679500000009</v>
      </c>
      <c r="K39" s="44">
        <v>9631</v>
      </c>
      <c r="L39" s="97">
        <f>347.437+304.102+66.051+156.495+8368.195+4.162</f>
        <v>9246.4419999999991</v>
      </c>
      <c r="M39" s="97"/>
      <c r="N39" s="82">
        <f>8.08878+8.88924+1.24993+571.9517</f>
        <v>590.17964999999992</v>
      </c>
      <c r="O39" s="82">
        <f>9.35958+33.69441+5.9215+5.35425+1149.77728</f>
        <v>1204.1070199999999</v>
      </c>
      <c r="P39" s="82">
        <f>9.51858+46.96812+9.16147+10.37575+1822.36638</f>
        <v>1898.3903</v>
      </c>
      <c r="Q39" s="82">
        <f>9.518+68.787+10.411+15.73+2466.288</f>
        <v>2570.7339999999999</v>
      </c>
      <c r="R39" s="82">
        <f>43.54014+73.00793+11.66144+24.89341+3069.51026+0.22606</f>
        <v>3222.8392399999998</v>
      </c>
      <c r="S39" s="82">
        <f>106.08145+159.03659+20.91038+60.75804+3894.93779+0.57806</f>
        <v>4242.30231</v>
      </c>
      <c r="T39" s="82">
        <f>158.35465+174.46245+20.91038+63.46844+4670.44098+0.57806</f>
        <v>5088.2149600000002</v>
      </c>
      <c r="U39" s="82">
        <f>158.35465+216.59528+27.20036+76.87778+5317.1006+1.02806</f>
        <v>5797.1567299999997</v>
      </c>
      <c r="V39" s="82">
        <f>161.73865+237.41507+32.13033+102.54323+6045.57584+1.02806</f>
        <v>6580.4311800000005</v>
      </c>
      <c r="W39" s="82">
        <f>200.66008+263.57499+57.75523+124.04657+7253.74497+1.02806</f>
        <v>7900.8098999999993</v>
      </c>
      <c r="X39" s="82">
        <f>211.86008+319.30865+61.5052+138.78437+8017.66364+1.02806</f>
        <v>8750.15</v>
      </c>
      <c r="Y39" s="82"/>
    </row>
    <row r="40" spans="1:25" s="8" customFormat="1" x14ac:dyDescent="0.2">
      <c r="A40" s="128" t="s">
        <v>4</v>
      </c>
      <c r="B40" s="129"/>
      <c r="C40" s="129"/>
      <c r="D40" s="130"/>
      <c r="E40" s="42" t="s">
        <v>7</v>
      </c>
      <c r="F40" s="37">
        <v>1840</v>
      </c>
      <c r="G40" s="37">
        <v>1900</v>
      </c>
      <c r="H40" s="37">
        <v>2030</v>
      </c>
      <c r="I40" s="37">
        <v>2200</v>
      </c>
      <c r="J40" s="37">
        <v>2600</v>
      </c>
      <c r="K40" s="37">
        <v>1400</v>
      </c>
      <c r="L40" s="66">
        <v>1480</v>
      </c>
      <c r="M40" s="66">
        <v>1620</v>
      </c>
      <c r="N40" s="81">
        <f>N41/$M$40</f>
        <v>9.4379401234567908E-2</v>
      </c>
      <c r="O40" s="81">
        <f t="shared" ref="O40:Y40" si="24">O41/$M$40</f>
        <v>0.18559472839506172</v>
      </c>
      <c r="P40" s="81">
        <f t="shared" si="24"/>
        <v>0.27672101851851849</v>
      </c>
      <c r="Q40" s="81">
        <f t="shared" si="24"/>
        <v>0.35954259259259258</v>
      </c>
      <c r="R40" s="81">
        <f t="shared" si="24"/>
        <v>0.45778402469135804</v>
      </c>
      <c r="S40" s="81">
        <f t="shared" si="24"/>
        <v>0.56983226543209875</v>
      </c>
      <c r="T40" s="81">
        <f t="shared" si="24"/>
        <v>0.66612615432098765</v>
      </c>
      <c r="U40" s="81">
        <f t="shared" si="24"/>
        <v>0.74424634567901238</v>
      </c>
      <c r="V40" s="81">
        <f t="shared" si="24"/>
        <v>0.83645895061728393</v>
      </c>
      <c r="W40" s="81">
        <f t="shared" si="24"/>
        <v>0.93575776543209876</v>
      </c>
      <c r="X40" s="81">
        <f t="shared" si="24"/>
        <v>1.0040110802469135</v>
      </c>
      <c r="Y40" s="81">
        <f t="shared" si="24"/>
        <v>0</v>
      </c>
    </row>
    <row r="41" spans="1:25" s="22" customFormat="1" ht="13.5" thickBot="1" x14ac:dyDescent="0.25">
      <c r="A41" s="131"/>
      <c r="B41" s="132"/>
      <c r="C41" s="132"/>
      <c r="D41" s="133"/>
      <c r="E41" s="43" t="s">
        <v>6</v>
      </c>
      <c r="F41" s="44">
        <v>1930</v>
      </c>
      <c r="G41" s="44">
        <v>1878</v>
      </c>
      <c r="H41" s="44">
        <v>1396.6922</v>
      </c>
      <c r="I41" s="44">
        <v>1328</v>
      </c>
      <c r="J41" s="44">
        <v>1388.59484</v>
      </c>
      <c r="K41" s="44">
        <v>1441</v>
      </c>
      <c r="L41" s="97">
        <v>1676.2660000000001</v>
      </c>
      <c r="M41" s="97"/>
      <c r="N41" s="82">
        <v>152.89463000000001</v>
      </c>
      <c r="O41" s="82">
        <v>300.66345999999999</v>
      </c>
      <c r="P41" s="82">
        <v>448.28805</v>
      </c>
      <c r="Q41" s="82">
        <v>582.45899999999995</v>
      </c>
      <c r="R41" s="82">
        <v>741.61012000000005</v>
      </c>
      <c r="S41" s="82">
        <v>923.12827000000004</v>
      </c>
      <c r="T41" s="82">
        <v>1079.12437</v>
      </c>
      <c r="U41" s="82">
        <v>1205.6790800000001</v>
      </c>
      <c r="V41" s="82">
        <v>1355.0635</v>
      </c>
      <c r="W41" s="82">
        <v>1515.92758</v>
      </c>
      <c r="X41" s="82">
        <v>1626.4979499999999</v>
      </c>
      <c r="Y41" s="82"/>
    </row>
    <row r="42" spans="1:25" s="8" customFormat="1" x14ac:dyDescent="0.2">
      <c r="A42" s="128" t="s">
        <v>40</v>
      </c>
      <c r="B42" s="129"/>
      <c r="C42" s="129"/>
      <c r="D42" s="130"/>
      <c r="E42" s="42" t="s">
        <v>7</v>
      </c>
      <c r="F42" s="37">
        <v>230</v>
      </c>
      <c r="G42" s="37">
        <v>200</v>
      </c>
      <c r="H42" s="37">
        <v>150</v>
      </c>
      <c r="I42" s="37">
        <v>150</v>
      </c>
      <c r="J42" s="37">
        <v>100</v>
      </c>
      <c r="K42" s="37">
        <v>100</v>
      </c>
      <c r="L42" s="66">
        <v>140</v>
      </c>
      <c r="M42" s="66">
        <v>0</v>
      </c>
      <c r="N42" s="81">
        <f>IF(M42,+N42/M42,0)</f>
        <v>0</v>
      </c>
      <c r="O42" s="81">
        <f t="shared" ref="O42:Y42" si="25">IF(N42,+O42/N42,0)</f>
        <v>0</v>
      </c>
      <c r="P42" s="81">
        <f t="shared" si="25"/>
        <v>0</v>
      </c>
      <c r="Q42" s="81">
        <f t="shared" si="25"/>
        <v>0</v>
      </c>
      <c r="R42" s="81">
        <f t="shared" si="25"/>
        <v>0</v>
      </c>
      <c r="S42" s="81">
        <f t="shared" si="25"/>
        <v>0</v>
      </c>
      <c r="T42" s="81">
        <f t="shared" si="25"/>
        <v>0</v>
      </c>
      <c r="U42" s="81">
        <f t="shared" si="25"/>
        <v>0</v>
      </c>
      <c r="V42" s="81">
        <f t="shared" si="25"/>
        <v>0</v>
      </c>
      <c r="W42" s="81">
        <f t="shared" si="25"/>
        <v>0</v>
      </c>
      <c r="X42" s="81">
        <f t="shared" si="25"/>
        <v>0</v>
      </c>
      <c r="Y42" s="81">
        <f t="shared" si="25"/>
        <v>0</v>
      </c>
    </row>
    <row r="43" spans="1:25" s="22" customFormat="1" ht="13.5" thickBot="1" x14ac:dyDescent="0.25">
      <c r="A43" s="131"/>
      <c r="B43" s="132"/>
      <c r="C43" s="132"/>
      <c r="D43" s="133"/>
      <c r="E43" s="43" t="s">
        <v>6</v>
      </c>
      <c r="F43" s="44">
        <v>127</v>
      </c>
      <c r="G43" s="44">
        <v>63</v>
      </c>
      <c r="H43" s="44">
        <v>118.96380000000001</v>
      </c>
      <c r="I43" s="44">
        <v>89</v>
      </c>
      <c r="J43" s="44">
        <v>226.27035000000001</v>
      </c>
      <c r="K43" s="44">
        <v>170</v>
      </c>
      <c r="L43" s="97">
        <v>245.31200000000001</v>
      </c>
      <c r="M43" s="97"/>
      <c r="N43" s="82">
        <v>9.8744899999999998</v>
      </c>
      <c r="O43" s="82">
        <v>18.911090000000002</v>
      </c>
      <c r="P43" s="82">
        <v>42.908560000000001</v>
      </c>
      <c r="Q43" s="82">
        <v>57.725000000000001</v>
      </c>
      <c r="R43" s="82">
        <v>65.241150000000005</v>
      </c>
      <c r="S43" s="82">
        <v>74.95384</v>
      </c>
      <c r="T43" s="82">
        <v>89.676379999999995</v>
      </c>
      <c r="U43" s="82">
        <v>100.89198</v>
      </c>
      <c r="V43" s="82">
        <v>110.68308</v>
      </c>
      <c r="W43" s="82">
        <v>154.58996999999999</v>
      </c>
      <c r="X43" s="82">
        <v>194.80382</v>
      </c>
      <c r="Y43" s="82"/>
    </row>
    <row r="44" spans="1:25" s="8" customFormat="1" x14ac:dyDescent="0.2">
      <c r="A44" s="128" t="s">
        <v>2</v>
      </c>
      <c r="B44" s="129"/>
      <c r="C44" s="129"/>
      <c r="D44" s="130"/>
      <c r="E44" s="42" t="s">
        <v>7</v>
      </c>
      <c r="F44" s="37">
        <v>2200</v>
      </c>
      <c r="G44" s="37">
        <v>2200</v>
      </c>
      <c r="H44" s="37">
        <v>3060</v>
      </c>
      <c r="I44" s="37">
        <v>3060</v>
      </c>
      <c r="J44" s="37">
        <v>3100</v>
      </c>
      <c r="K44" s="37">
        <v>2020</v>
      </c>
      <c r="L44" s="66">
        <v>2000</v>
      </c>
      <c r="M44" s="66">
        <v>400</v>
      </c>
      <c r="N44" s="81">
        <f>N45/$M$44</f>
        <v>0</v>
      </c>
      <c r="O44" s="81">
        <f t="shared" ref="O44:Y44" si="26">O45/$M$44</f>
        <v>0</v>
      </c>
      <c r="P44" s="81">
        <f t="shared" si="26"/>
        <v>0</v>
      </c>
      <c r="Q44" s="81">
        <f t="shared" si="26"/>
        <v>3.1749999999999999E-3</v>
      </c>
      <c r="R44" s="81">
        <f t="shared" si="26"/>
        <v>3.1762499999999998E-3</v>
      </c>
      <c r="S44" s="81">
        <f t="shared" si="26"/>
        <v>3.1762499999999998E-3</v>
      </c>
      <c r="T44" s="81">
        <f t="shared" si="26"/>
        <v>3.1762499999999998E-3</v>
      </c>
      <c r="U44" s="81">
        <f t="shared" si="26"/>
        <v>3.1787500000000002E-3</v>
      </c>
      <c r="V44" s="81">
        <f t="shared" si="26"/>
        <v>5.09875E-3</v>
      </c>
      <c r="W44" s="81">
        <f t="shared" si="26"/>
        <v>5.09875E-3</v>
      </c>
      <c r="X44" s="81">
        <f t="shared" si="26"/>
        <v>5.09875E-3</v>
      </c>
      <c r="Y44" s="81">
        <f t="shared" si="26"/>
        <v>0</v>
      </c>
    </row>
    <row r="45" spans="1:25" s="22" customFormat="1" ht="13.5" thickBot="1" x14ac:dyDescent="0.25">
      <c r="A45" s="131"/>
      <c r="B45" s="132"/>
      <c r="C45" s="132"/>
      <c r="D45" s="133"/>
      <c r="E45" s="43" t="s">
        <v>6</v>
      </c>
      <c r="F45" s="44">
        <v>2473</v>
      </c>
      <c r="G45" s="44">
        <v>2074</v>
      </c>
      <c r="H45" s="44">
        <v>2750.0173</v>
      </c>
      <c r="I45" s="44">
        <v>3229</v>
      </c>
      <c r="J45" s="44">
        <v>3238.79412</v>
      </c>
      <c r="K45" s="44">
        <v>1490</v>
      </c>
      <c r="L45" s="97">
        <v>293.52600000000001</v>
      </c>
      <c r="M45" s="97"/>
      <c r="N45" s="82">
        <v>0</v>
      </c>
      <c r="O45" s="82">
        <v>0</v>
      </c>
      <c r="P45" s="82">
        <v>0</v>
      </c>
      <c r="Q45" s="82">
        <v>1.27</v>
      </c>
      <c r="R45" s="82">
        <v>1.2705</v>
      </c>
      <c r="S45" s="82">
        <v>1.2705</v>
      </c>
      <c r="T45" s="82">
        <v>1.2705</v>
      </c>
      <c r="U45" s="82">
        <v>1.2715000000000001</v>
      </c>
      <c r="V45" s="82">
        <v>2.0394999999999999</v>
      </c>
      <c r="W45" s="82">
        <v>2.0394999999999999</v>
      </c>
      <c r="X45" s="82">
        <v>2.0394999999999999</v>
      </c>
      <c r="Y45" s="82"/>
    </row>
    <row r="46" spans="1:25" s="8" customFormat="1" x14ac:dyDescent="0.2">
      <c r="A46" s="128" t="s">
        <v>14</v>
      </c>
      <c r="B46" s="129"/>
      <c r="C46" s="129"/>
      <c r="D46" s="130"/>
      <c r="E46" s="42" t="s">
        <v>7</v>
      </c>
      <c r="F46" s="37">
        <v>1480</v>
      </c>
      <c r="G46" s="37">
        <v>1600</v>
      </c>
      <c r="H46" s="37">
        <v>1500</v>
      </c>
      <c r="I46" s="37">
        <v>1500</v>
      </c>
      <c r="J46" s="37">
        <v>2115</v>
      </c>
      <c r="K46" s="37">
        <v>2900</v>
      </c>
      <c r="L46" s="66">
        <v>2900</v>
      </c>
      <c r="M46" s="66">
        <v>1000</v>
      </c>
      <c r="N46" s="81">
        <f>N47/$M$46</f>
        <v>0.12814629</v>
      </c>
      <c r="O46" s="81">
        <f t="shared" ref="O46:Y46" si="27">O47/$M$46</f>
        <v>0.33122739000000001</v>
      </c>
      <c r="P46" s="81">
        <f t="shared" si="27"/>
        <v>0.50667618000000003</v>
      </c>
      <c r="Q46" s="81">
        <f t="shared" si="27"/>
        <v>0.68932000000000004</v>
      </c>
      <c r="R46" s="81">
        <f t="shared" si="27"/>
        <v>0.80797140999999995</v>
      </c>
      <c r="S46" s="81">
        <f t="shared" si="27"/>
        <v>0.95839476999999995</v>
      </c>
      <c r="T46" s="81">
        <f t="shared" si="27"/>
        <v>1.29381207</v>
      </c>
      <c r="U46" s="81">
        <f t="shared" si="27"/>
        <v>1.4449731300000002</v>
      </c>
      <c r="V46" s="81">
        <f t="shared" si="27"/>
        <v>1.6014503099999999</v>
      </c>
      <c r="W46" s="81">
        <f t="shared" si="27"/>
        <v>1.7681334400000002</v>
      </c>
      <c r="X46" s="81">
        <f t="shared" si="27"/>
        <v>1.89430312</v>
      </c>
      <c r="Y46" s="81">
        <f t="shared" si="27"/>
        <v>0</v>
      </c>
    </row>
    <row r="47" spans="1:25" s="22" customFormat="1" ht="13.5" thickBot="1" x14ac:dyDescent="0.25">
      <c r="A47" s="131"/>
      <c r="B47" s="132"/>
      <c r="C47" s="132"/>
      <c r="D47" s="133"/>
      <c r="E47" s="43" t="s">
        <v>6</v>
      </c>
      <c r="F47" s="58" t="s">
        <v>53</v>
      </c>
      <c r="G47" s="58" t="s">
        <v>55</v>
      </c>
      <c r="H47" s="58">
        <v>1739</v>
      </c>
      <c r="I47" s="58">
        <v>2094</v>
      </c>
      <c r="J47" s="58">
        <v>2592.6892200000002</v>
      </c>
      <c r="K47" s="58">
        <v>3654</v>
      </c>
      <c r="L47" s="97">
        <v>2164.5390000000002</v>
      </c>
      <c r="M47" s="97"/>
      <c r="N47" s="82">
        <v>128.14628999999999</v>
      </c>
      <c r="O47" s="82">
        <v>331.22739000000001</v>
      </c>
      <c r="P47" s="82">
        <v>506.67617999999999</v>
      </c>
      <c r="Q47" s="82">
        <v>689.32</v>
      </c>
      <c r="R47" s="82">
        <v>807.97140999999999</v>
      </c>
      <c r="S47" s="82">
        <v>958.39476999999999</v>
      </c>
      <c r="T47" s="82">
        <v>1293.8120699999999</v>
      </c>
      <c r="U47" s="82">
        <v>1444.9731300000001</v>
      </c>
      <c r="V47" s="82">
        <v>1601.4503099999999</v>
      </c>
      <c r="W47" s="82">
        <v>1768.1334400000001</v>
      </c>
      <c r="X47" s="82">
        <v>1894.30312</v>
      </c>
      <c r="Y47" s="82"/>
    </row>
    <row r="48" spans="1:25" s="8" customFormat="1" x14ac:dyDescent="0.2">
      <c r="A48" s="128" t="s">
        <v>15</v>
      </c>
      <c r="B48" s="129"/>
      <c r="C48" s="129"/>
      <c r="D48" s="130"/>
      <c r="E48" s="42" t="s">
        <v>7</v>
      </c>
      <c r="F48" s="37">
        <v>90</v>
      </c>
      <c r="G48" s="37">
        <v>50</v>
      </c>
      <c r="H48" s="37">
        <v>80</v>
      </c>
      <c r="I48" s="37">
        <v>30</v>
      </c>
      <c r="J48" s="37">
        <v>30</v>
      </c>
      <c r="K48" s="37">
        <v>90</v>
      </c>
      <c r="L48" s="66">
        <v>64</v>
      </c>
      <c r="M48" s="66">
        <v>125</v>
      </c>
      <c r="N48" s="81">
        <f>N49/$M$48</f>
        <v>8.4371600000000005E-2</v>
      </c>
      <c r="O48" s="81">
        <f t="shared" ref="O48:Y48" si="28">O49/$M$48</f>
        <v>0.18990904</v>
      </c>
      <c r="P48" s="81">
        <f t="shared" si="28"/>
        <v>0.28130376000000001</v>
      </c>
      <c r="Q48" s="81">
        <f t="shared" si="28"/>
        <v>0.33061599999999997</v>
      </c>
      <c r="R48" s="81">
        <f t="shared" si="28"/>
        <v>0.43250127999999999</v>
      </c>
      <c r="S48" s="81">
        <f t="shared" si="28"/>
        <v>0.49314024000000001</v>
      </c>
      <c r="T48" s="81">
        <f t="shared" si="28"/>
        <v>0.58177424</v>
      </c>
      <c r="U48" s="81">
        <f t="shared" si="28"/>
        <v>0.68858680000000005</v>
      </c>
      <c r="V48" s="81">
        <f t="shared" si="28"/>
        <v>0.78217192000000002</v>
      </c>
      <c r="W48" s="81">
        <f t="shared" si="28"/>
        <v>0.91120288000000005</v>
      </c>
      <c r="X48" s="81">
        <f t="shared" si="28"/>
        <v>1.0200619200000001</v>
      </c>
      <c r="Y48" s="81">
        <f t="shared" si="28"/>
        <v>0</v>
      </c>
    </row>
    <row r="49" spans="1:25" s="22" customFormat="1" ht="13.5" thickBot="1" x14ac:dyDescent="0.25">
      <c r="A49" s="131"/>
      <c r="B49" s="132"/>
      <c r="C49" s="132"/>
      <c r="D49" s="133"/>
      <c r="E49" s="43" t="s">
        <v>6</v>
      </c>
      <c r="F49" s="44">
        <v>48</v>
      </c>
      <c r="G49" s="44">
        <v>76</v>
      </c>
      <c r="H49" s="44">
        <v>27.234300000000001</v>
      </c>
      <c r="I49" s="44">
        <v>75</v>
      </c>
      <c r="J49" s="44">
        <v>94.187939999999998</v>
      </c>
      <c r="K49" s="44">
        <v>66</v>
      </c>
      <c r="L49" s="97">
        <v>145.05000000000001</v>
      </c>
      <c r="M49" s="97"/>
      <c r="N49" s="82">
        <v>10.54645</v>
      </c>
      <c r="O49" s="82">
        <v>23.738630000000001</v>
      </c>
      <c r="P49" s="82">
        <v>35.162970000000001</v>
      </c>
      <c r="Q49" s="82">
        <v>41.326999999999998</v>
      </c>
      <c r="R49" s="82">
        <v>54.062660000000001</v>
      </c>
      <c r="S49" s="82">
        <v>61.642530000000001</v>
      </c>
      <c r="T49" s="82">
        <v>72.721779999999995</v>
      </c>
      <c r="U49" s="82">
        <v>86.073350000000005</v>
      </c>
      <c r="V49" s="82">
        <v>97.77149</v>
      </c>
      <c r="W49" s="82">
        <v>113.90036000000001</v>
      </c>
      <c r="X49" s="82">
        <v>127.50774</v>
      </c>
      <c r="Y49" s="82"/>
    </row>
    <row r="50" spans="1:25" s="8" customFormat="1" x14ac:dyDescent="0.2">
      <c r="A50" s="128" t="s">
        <v>16</v>
      </c>
      <c r="B50" s="129"/>
      <c r="C50" s="129"/>
      <c r="D50" s="130"/>
      <c r="E50" s="42" t="s">
        <v>7</v>
      </c>
      <c r="F50" s="37">
        <v>210</v>
      </c>
      <c r="G50" s="37">
        <v>170</v>
      </c>
      <c r="H50" s="37">
        <v>170</v>
      </c>
      <c r="I50" s="37">
        <v>170</v>
      </c>
      <c r="J50" s="37">
        <v>430</v>
      </c>
      <c r="K50" s="37">
        <v>1600</v>
      </c>
      <c r="L50" s="66">
        <v>1524</v>
      </c>
      <c r="M50" s="66">
        <v>250</v>
      </c>
      <c r="N50" s="81">
        <f>N51/$M$50</f>
        <v>0.12774164000000002</v>
      </c>
      <c r="O50" s="81">
        <f t="shared" ref="O50:Y50" si="29">O51/$M$50</f>
        <v>0.15751859999999998</v>
      </c>
      <c r="P50" s="81">
        <f t="shared" si="29"/>
        <v>0.17378779999999999</v>
      </c>
      <c r="Q50" s="81">
        <f t="shared" si="29"/>
        <v>0.209816</v>
      </c>
      <c r="R50" s="81">
        <f t="shared" si="29"/>
        <v>0.22135616</v>
      </c>
      <c r="S50" s="81">
        <f t="shared" si="29"/>
        <v>0.37492928000000003</v>
      </c>
      <c r="T50" s="81">
        <f t="shared" si="29"/>
        <v>0.41002087999999998</v>
      </c>
      <c r="U50" s="81">
        <f t="shared" si="29"/>
        <v>0.41998160000000001</v>
      </c>
      <c r="V50" s="81">
        <f t="shared" si="29"/>
        <v>0.44610327999999999</v>
      </c>
      <c r="W50" s="81">
        <f t="shared" si="29"/>
        <v>0.69976336000000006</v>
      </c>
      <c r="X50" s="81">
        <f t="shared" si="29"/>
        <v>0.93064247999999994</v>
      </c>
      <c r="Y50" s="81">
        <f t="shared" si="29"/>
        <v>0</v>
      </c>
    </row>
    <row r="51" spans="1:25" s="22" customFormat="1" ht="13.5" thickBot="1" x14ac:dyDescent="0.25">
      <c r="A51" s="131"/>
      <c r="B51" s="132"/>
      <c r="C51" s="132"/>
      <c r="D51" s="133"/>
      <c r="E51" s="43" t="s">
        <v>6</v>
      </c>
      <c r="F51" s="44">
        <v>106</v>
      </c>
      <c r="G51" s="44">
        <v>195</v>
      </c>
      <c r="H51" s="44">
        <v>263.8143</v>
      </c>
      <c r="I51" s="44">
        <v>256</v>
      </c>
      <c r="J51" s="44">
        <v>190.79435000000001</v>
      </c>
      <c r="K51" s="44">
        <v>2203</v>
      </c>
      <c r="L51" s="97">
        <v>439.18200000000002</v>
      </c>
      <c r="M51" s="97"/>
      <c r="N51" s="82">
        <v>31.935410000000001</v>
      </c>
      <c r="O51" s="82">
        <v>39.379649999999998</v>
      </c>
      <c r="P51" s="82">
        <v>43.446950000000001</v>
      </c>
      <c r="Q51" s="82">
        <v>52.454000000000001</v>
      </c>
      <c r="R51" s="82">
        <v>55.339039999999997</v>
      </c>
      <c r="S51" s="82">
        <v>93.732320000000001</v>
      </c>
      <c r="T51" s="82">
        <v>102.50521999999999</v>
      </c>
      <c r="U51" s="82">
        <v>104.9954</v>
      </c>
      <c r="V51" s="82">
        <v>111.52582</v>
      </c>
      <c r="W51" s="82">
        <v>174.94084000000001</v>
      </c>
      <c r="X51" s="82">
        <v>232.66061999999999</v>
      </c>
      <c r="Y51" s="82"/>
    </row>
    <row r="52" spans="1:25" s="8" customFormat="1" x14ac:dyDescent="0.2">
      <c r="A52" s="128" t="s">
        <v>3</v>
      </c>
      <c r="B52" s="129"/>
      <c r="C52" s="129"/>
      <c r="D52" s="130"/>
      <c r="E52" s="42" t="s">
        <v>7</v>
      </c>
      <c r="F52" s="37">
        <v>12902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66">
        <v>0</v>
      </c>
      <c r="M52" s="66">
        <v>0</v>
      </c>
      <c r="N52" s="81">
        <v>0</v>
      </c>
      <c r="O52" s="81">
        <v>0</v>
      </c>
      <c r="P52" s="81">
        <v>0</v>
      </c>
      <c r="Q52" s="81">
        <v>0</v>
      </c>
      <c r="R52" s="81">
        <v>0</v>
      </c>
      <c r="S52" s="81">
        <v>0</v>
      </c>
      <c r="T52" s="81">
        <v>0</v>
      </c>
      <c r="U52" s="81">
        <v>0</v>
      </c>
      <c r="V52" s="81">
        <v>0</v>
      </c>
      <c r="W52" s="81">
        <v>0</v>
      </c>
      <c r="X52" s="81">
        <v>0</v>
      </c>
      <c r="Y52" s="81">
        <v>0</v>
      </c>
    </row>
    <row r="53" spans="1:25" s="22" customFormat="1" ht="13.5" thickBot="1" x14ac:dyDescent="0.25">
      <c r="A53" s="131"/>
      <c r="B53" s="132"/>
      <c r="C53" s="132"/>
      <c r="D53" s="133"/>
      <c r="E53" s="43" t="s">
        <v>6</v>
      </c>
      <c r="F53" s="44">
        <v>12587</v>
      </c>
      <c r="G53" s="44">
        <v>0</v>
      </c>
      <c r="H53" s="44">
        <v>0</v>
      </c>
      <c r="I53" s="44">
        <v>0</v>
      </c>
      <c r="J53" s="44">
        <v>-0.53239999999999998</v>
      </c>
      <c r="K53" s="44">
        <v>-12</v>
      </c>
      <c r="L53" s="97">
        <v>-18.027999999999999</v>
      </c>
      <c r="M53" s="97"/>
      <c r="N53" s="82">
        <v>-32.139600000000002</v>
      </c>
      <c r="O53" s="82">
        <v>0</v>
      </c>
      <c r="P53" s="82">
        <v>0</v>
      </c>
      <c r="Q53" s="82">
        <v>-7.835</v>
      </c>
      <c r="R53" s="82">
        <v>-14.424239999999999</v>
      </c>
      <c r="S53" s="82">
        <v>-14.424239999999999</v>
      </c>
      <c r="T53" s="82">
        <v>-14.424239999999999</v>
      </c>
      <c r="U53" s="82">
        <v>-14.424239999999999</v>
      </c>
      <c r="V53" s="82">
        <v>-14.424239999999999</v>
      </c>
      <c r="W53" s="82">
        <v>-14.424239999999999</v>
      </c>
      <c r="X53" s="82">
        <v>-14.424239999999999</v>
      </c>
      <c r="Y53" s="82"/>
    </row>
    <row r="54" spans="1:25" s="8" customFormat="1" x14ac:dyDescent="0.2">
      <c r="A54" s="128" t="s">
        <v>54</v>
      </c>
      <c r="B54" s="129"/>
      <c r="C54" s="129"/>
      <c r="D54" s="130"/>
      <c r="E54" s="42" t="s">
        <v>7</v>
      </c>
      <c r="F54" s="37">
        <v>0</v>
      </c>
      <c r="G54" s="37">
        <v>17100</v>
      </c>
      <c r="H54" s="37">
        <v>25300</v>
      </c>
      <c r="I54" s="37">
        <v>23500</v>
      </c>
      <c r="J54" s="37">
        <v>22800</v>
      </c>
      <c r="K54" s="37">
        <v>24350</v>
      </c>
      <c r="L54" s="66">
        <f>6648+13152+5824</f>
        <v>25624</v>
      </c>
      <c r="M54" s="66">
        <f>6905+14250.706+5919</f>
        <v>27074.705999999998</v>
      </c>
      <c r="N54" s="81">
        <f>N55/$M$54</f>
        <v>8.1923332796300735E-2</v>
      </c>
      <c r="O54" s="81">
        <f t="shared" ref="O54:Y54" si="30">O55/$M$54</f>
        <v>0.16025160347078193</v>
      </c>
      <c r="P54" s="81">
        <f t="shared" si="30"/>
        <v>0.2441133946200561</v>
      </c>
      <c r="Q54" s="81">
        <f t="shared" si="30"/>
        <v>0.32549029341260438</v>
      </c>
      <c r="R54" s="81">
        <f t="shared" si="30"/>
        <v>0.40543675820524144</v>
      </c>
      <c r="S54" s="81">
        <f t="shared" si="30"/>
        <v>0.5107790448398587</v>
      </c>
      <c r="T54" s="81">
        <f t="shared" si="30"/>
        <v>0.59467346903046714</v>
      </c>
      <c r="U54" s="81">
        <f t="shared" si="30"/>
        <v>0.6913012425693561</v>
      </c>
      <c r="V54" s="81">
        <f t="shared" si="30"/>
        <v>0.834057603801866</v>
      </c>
      <c r="W54" s="81">
        <f t="shared" si="30"/>
        <v>1.1409526108981571</v>
      </c>
      <c r="X54" s="81">
        <f t="shared" si="30"/>
        <v>1.4144307986206757</v>
      </c>
      <c r="Y54" s="81">
        <f t="shared" si="30"/>
        <v>0</v>
      </c>
    </row>
    <row r="55" spans="1:25" s="22" customFormat="1" ht="13.5" thickBot="1" x14ac:dyDescent="0.25">
      <c r="A55" s="131"/>
      <c r="B55" s="132"/>
      <c r="C55" s="132"/>
      <c r="D55" s="133"/>
      <c r="E55" s="43" t="s">
        <v>6</v>
      </c>
      <c r="F55" s="44"/>
      <c r="G55" s="44">
        <v>19988</v>
      </c>
      <c r="H55" s="44">
        <v>24624.534</v>
      </c>
      <c r="I55" s="44">
        <v>23748</v>
      </c>
      <c r="J55" s="44">
        <v>24210.658369999997</v>
      </c>
      <c r="K55" s="44">
        <v>25599</v>
      </c>
      <c r="L55" s="97">
        <f>6626.177+13876.703+5955.428</f>
        <v>26458.307999999997</v>
      </c>
      <c r="M55" s="97"/>
      <c r="N55" s="82">
        <f>624.23823+1123.27675+470.53517</f>
        <v>2218.05015</v>
      </c>
      <c r="O55" s="82">
        <f>1210.80858+2237.40878+890.54769</f>
        <v>4338.76505</v>
      </c>
      <c r="P55" s="82">
        <f>1980.61971+3243.74427+1384.93441</f>
        <v>6609.2983899999999</v>
      </c>
      <c r="Q55" s="82">
        <f>2556.411+4451.17+1804.973</f>
        <v>8812.5540000000001</v>
      </c>
      <c r="R55" s="82">
        <f>3279.59023+5386.86326+2310.62754</f>
        <v>10977.081029999999</v>
      </c>
      <c r="S55" s="82">
        <f>4143.03528+6863.16101999999+2822.99617</f>
        <v>13829.192469999989</v>
      </c>
      <c r="T55" s="82">
        <f>4719.06468+8124.33736+3257.2073</f>
        <v>16100.609340000001</v>
      </c>
      <c r="U55" s="82">
        <f>5827.41831+9172.60703+3716.75256</f>
        <v>18716.777900000001</v>
      </c>
      <c r="V55" s="82">
        <f>7465.20119+10766.81506+4349.84816</f>
        <v>22581.864410000002</v>
      </c>
      <c r="W55" s="82">
        <f>13594.80861+12168.80208+5127.34581</f>
        <v>30890.9565</v>
      </c>
      <c r="X55" s="82">
        <f>19238.0131+13139.35392+5917.93101</f>
        <v>38295.298029999998</v>
      </c>
      <c r="Y55" s="82"/>
    </row>
    <row r="56" spans="1:25" s="8" customFormat="1" x14ac:dyDescent="0.2">
      <c r="A56" s="128" t="s">
        <v>18</v>
      </c>
      <c r="B56" s="129"/>
      <c r="C56" s="129"/>
      <c r="D56" s="130"/>
      <c r="E56" s="42" t="s">
        <v>7</v>
      </c>
      <c r="F56" s="37">
        <v>940</v>
      </c>
      <c r="G56" s="37">
        <v>1300</v>
      </c>
      <c r="H56" s="37">
        <v>1300</v>
      </c>
      <c r="I56" s="37">
        <v>2000</v>
      </c>
      <c r="J56" s="37">
        <v>2000</v>
      </c>
      <c r="K56" s="37">
        <v>2300</v>
      </c>
      <c r="L56" s="66">
        <v>1800</v>
      </c>
      <c r="M56" s="66">
        <v>1920</v>
      </c>
      <c r="N56" s="81">
        <f>N57/$M$56</f>
        <v>0.62258413541666668</v>
      </c>
      <c r="O56" s="81">
        <f t="shared" ref="O56:Y56" si="31">O57/$M$56</f>
        <v>0.62325228124999998</v>
      </c>
      <c r="P56" s="81">
        <f t="shared" si="31"/>
        <v>0.62488748437499997</v>
      </c>
      <c r="Q56" s="81">
        <f t="shared" si="31"/>
        <v>0.62735468750000001</v>
      </c>
      <c r="R56" s="81">
        <f t="shared" si="31"/>
        <v>0.63038504166666665</v>
      </c>
      <c r="S56" s="81">
        <f t="shared" si="31"/>
        <v>0.63421809375000004</v>
      </c>
      <c r="T56" s="81">
        <f t="shared" si="31"/>
        <v>0.63737127604166666</v>
      </c>
      <c r="U56" s="81">
        <f t="shared" si="31"/>
        <v>0.63789210937500007</v>
      </c>
      <c r="V56" s="81">
        <f t="shared" si="31"/>
        <v>0.9655104166666667</v>
      </c>
      <c r="W56" s="81">
        <f t="shared" si="31"/>
        <v>0.9655104166666667</v>
      </c>
      <c r="X56" s="81">
        <f t="shared" si="31"/>
        <v>0.96785479166666666</v>
      </c>
      <c r="Y56" s="81">
        <f t="shared" si="31"/>
        <v>0</v>
      </c>
    </row>
    <row r="57" spans="1:25" s="22" customFormat="1" ht="13.5" thickBot="1" x14ac:dyDescent="0.25">
      <c r="A57" s="146"/>
      <c r="B57" s="147"/>
      <c r="C57" s="147"/>
      <c r="D57" s="148"/>
      <c r="E57" s="45" t="s">
        <v>6</v>
      </c>
      <c r="F57" s="46">
        <v>1438</v>
      </c>
      <c r="G57" s="46">
        <v>1689</v>
      </c>
      <c r="H57" s="46">
        <v>1761.3996</v>
      </c>
      <c r="I57" s="46">
        <v>1607</v>
      </c>
      <c r="J57" s="46">
        <v>1674.28593</v>
      </c>
      <c r="K57" s="46">
        <v>1711</v>
      </c>
      <c r="L57" s="100">
        <v>1813.3979999999999</v>
      </c>
      <c r="M57" s="100"/>
      <c r="N57" s="85">
        <v>1195.3615400000001</v>
      </c>
      <c r="O57" s="85">
        <v>1196.64438</v>
      </c>
      <c r="P57" s="85">
        <v>1199.78397</v>
      </c>
      <c r="Q57" s="85">
        <v>1204.521</v>
      </c>
      <c r="R57" s="85">
        <v>1210.3392799999999</v>
      </c>
      <c r="S57" s="85">
        <v>1217.69874</v>
      </c>
      <c r="T57" s="85">
        <v>1223.7528500000001</v>
      </c>
      <c r="U57" s="85">
        <v>1224.7528500000001</v>
      </c>
      <c r="V57" s="85">
        <v>1853.78</v>
      </c>
      <c r="W57" s="85">
        <v>1853.78</v>
      </c>
      <c r="X57" s="85">
        <v>1858.2811999999999</v>
      </c>
      <c r="Y57" s="85"/>
    </row>
    <row r="58" spans="1:25" s="8" customFormat="1" x14ac:dyDescent="0.2">
      <c r="A58" s="128" t="s">
        <v>42</v>
      </c>
      <c r="B58" s="129"/>
      <c r="C58" s="129"/>
      <c r="D58" s="130"/>
      <c r="E58" s="42" t="s">
        <v>7</v>
      </c>
      <c r="F58" s="37">
        <v>80</v>
      </c>
      <c r="G58" s="37">
        <v>70</v>
      </c>
      <c r="H58" s="37">
        <v>100</v>
      </c>
      <c r="I58" s="37">
        <v>200</v>
      </c>
      <c r="J58" s="37">
        <v>735</v>
      </c>
      <c r="K58" s="37">
        <v>900</v>
      </c>
      <c r="L58" s="66">
        <v>860</v>
      </c>
      <c r="M58" s="66">
        <v>860</v>
      </c>
      <c r="N58" s="81">
        <f>N59/$M$58</f>
        <v>3.7395348837209297E-2</v>
      </c>
      <c r="O58" s="81">
        <f t="shared" ref="O58:Y58" si="32">O59/$M$58</f>
        <v>8.3426046511627897E-2</v>
      </c>
      <c r="P58" s="81">
        <f t="shared" si="32"/>
        <v>0.12530116279069767</v>
      </c>
      <c r="Q58" s="81">
        <f t="shared" si="32"/>
        <v>0.17947558139534883</v>
      </c>
      <c r="R58" s="81">
        <f t="shared" si="32"/>
        <v>0.17124303488372095</v>
      </c>
      <c r="S58" s="81">
        <f t="shared" si="32"/>
        <v>0.27252081395348837</v>
      </c>
      <c r="T58" s="81">
        <f t="shared" si="32"/>
        <v>0.5280648837209303</v>
      </c>
      <c r="U58" s="81">
        <f t="shared" si="32"/>
        <v>0.69782068604651171</v>
      </c>
      <c r="V58" s="81">
        <f t="shared" si="32"/>
        <v>0.78017649999999994</v>
      </c>
      <c r="W58" s="81">
        <f t="shared" si="32"/>
        <v>0.87531598837209301</v>
      </c>
      <c r="X58" s="81">
        <f t="shared" si="32"/>
        <v>0.92482529069767438</v>
      </c>
      <c r="Y58" s="81">
        <f t="shared" si="32"/>
        <v>0</v>
      </c>
    </row>
    <row r="59" spans="1:25" s="22" customFormat="1" ht="13.5" thickBot="1" x14ac:dyDescent="0.25">
      <c r="A59" s="131"/>
      <c r="B59" s="132"/>
      <c r="C59" s="132"/>
      <c r="D59" s="133"/>
      <c r="E59" s="43" t="s">
        <v>6</v>
      </c>
      <c r="F59" s="44">
        <v>37</v>
      </c>
      <c r="G59" s="44">
        <v>59</v>
      </c>
      <c r="H59" s="44">
        <v>524.37419999999997</v>
      </c>
      <c r="I59" s="44">
        <v>475</v>
      </c>
      <c r="J59" s="44">
        <v>655.05777999999998</v>
      </c>
      <c r="K59" s="44">
        <v>783</v>
      </c>
      <c r="L59" s="97">
        <v>919.90599999999995</v>
      </c>
      <c r="M59" s="97"/>
      <c r="N59" s="82">
        <v>32.159999999999997</v>
      </c>
      <c r="O59" s="82">
        <v>71.746399999999994</v>
      </c>
      <c r="P59" s="82">
        <v>107.759</v>
      </c>
      <c r="Q59" s="82">
        <v>154.34899999999999</v>
      </c>
      <c r="R59" s="82">
        <v>147.26901000000001</v>
      </c>
      <c r="S59" s="82">
        <v>234.36789999999999</v>
      </c>
      <c r="T59" s="82">
        <v>454.13580000000002</v>
      </c>
      <c r="U59" s="82">
        <v>600.12579000000005</v>
      </c>
      <c r="V59" s="82">
        <v>670.95178999999996</v>
      </c>
      <c r="W59" s="82">
        <v>752.77175</v>
      </c>
      <c r="X59" s="82">
        <v>795.34974999999997</v>
      </c>
      <c r="Y59" s="82"/>
    </row>
    <row r="60" spans="1:25" s="8" customFormat="1" ht="14.25" hidden="1" thickTop="1" thickBot="1" x14ac:dyDescent="0.25">
      <c r="A60" s="5" t="s">
        <v>33</v>
      </c>
      <c r="B60" s="6"/>
      <c r="C60" s="6"/>
      <c r="D60" s="7"/>
      <c r="E60" s="14" t="s">
        <v>7</v>
      </c>
      <c r="F60" s="60"/>
      <c r="G60" s="60"/>
      <c r="H60" s="60"/>
      <c r="I60" s="60"/>
      <c r="J60" s="60"/>
      <c r="K60" s="60"/>
      <c r="L60" s="60"/>
      <c r="M60" s="104"/>
      <c r="N60" s="83" t="e">
        <f>N61/G60</f>
        <v>#DIV/0!</v>
      </c>
      <c r="O60" s="83" t="e">
        <f>O61/G60</f>
        <v>#DIV/0!</v>
      </c>
      <c r="P60" s="83" t="e">
        <f>P61/G60</f>
        <v>#DIV/0!</v>
      </c>
      <c r="Q60" s="83" t="e">
        <f>Q61/G60</f>
        <v>#DIV/0!</v>
      </c>
      <c r="R60" s="83" t="e">
        <f>R61/G60</f>
        <v>#DIV/0!</v>
      </c>
      <c r="S60" s="83" t="e">
        <f>S61/G60</f>
        <v>#DIV/0!</v>
      </c>
      <c r="T60" s="83" t="e">
        <f>T61/G60</f>
        <v>#DIV/0!</v>
      </c>
      <c r="U60" s="83" t="e">
        <f>U61/G60</f>
        <v>#DIV/0!</v>
      </c>
      <c r="V60" s="83" t="e">
        <f>V61/G60</f>
        <v>#DIV/0!</v>
      </c>
      <c r="W60" s="83" t="e">
        <f>W61/G60</f>
        <v>#DIV/0!</v>
      </c>
      <c r="X60" s="83" t="e">
        <f>X61/G60</f>
        <v>#DIV/0!</v>
      </c>
      <c r="Y60" s="83" t="e">
        <f>Y61/G60</f>
        <v>#DIV/0!</v>
      </c>
    </row>
    <row r="61" spans="1:25" s="8" customFormat="1" ht="13.5" hidden="1" thickBot="1" x14ac:dyDescent="0.25">
      <c r="A61" s="3"/>
      <c r="B61" s="4"/>
      <c r="C61" s="4"/>
      <c r="D61" s="15"/>
      <c r="E61" s="20" t="s">
        <v>6</v>
      </c>
      <c r="F61" s="61"/>
      <c r="G61" s="61"/>
      <c r="H61" s="61"/>
      <c r="I61" s="61"/>
      <c r="J61" s="61"/>
      <c r="K61" s="61"/>
      <c r="L61" s="61"/>
      <c r="M61" s="105"/>
      <c r="N61" s="84">
        <v>89</v>
      </c>
      <c r="O61" s="84">
        <v>532</v>
      </c>
      <c r="P61" s="84">
        <v>935</v>
      </c>
      <c r="Q61" s="84">
        <v>1342</v>
      </c>
      <c r="R61" s="84">
        <v>1778</v>
      </c>
      <c r="S61" s="84">
        <v>2014</v>
      </c>
      <c r="T61" s="84">
        <v>2120</v>
      </c>
      <c r="U61" s="84">
        <v>2102</v>
      </c>
      <c r="V61" s="84">
        <v>1343</v>
      </c>
      <c r="W61" s="84">
        <v>1455</v>
      </c>
      <c r="X61" s="84">
        <v>2463</v>
      </c>
      <c r="Y61" s="84">
        <v>9920</v>
      </c>
    </row>
    <row r="62" spans="1:25" s="8" customFormat="1" x14ac:dyDescent="0.2">
      <c r="A62" s="128" t="s">
        <v>49</v>
      </c>
      <c r="B62" s="129"/>
      <c r="C62" s="129"/>
      <c r="D62" s="130"/>
      <c r="E62" s="42" t="s">
        <v>7</v>
      </c>
      <c r="F62" s="37">
        <v>700</v>
      </c>
      <c r="G62" s="37">
        <v>500</v>
      </c>
      <c r="H62" s="37">
        <v>596</v>
      </c>
      <c r="I62" s="37">
        <v>670</v>
      </c>
      <c r="J62" s="37">
        <v>2690</v>
      </c>
      <c r="K62" s="37">
        <v>611</v>
      </c>
      <c r="L62" s="66">
        <v>480</v>
      </c>
      <c r="M62" s="66">
        <v>510</v>
      </c>
      <c r="N62" s="81">
        <f>N63/$M$62</f>
        <v>4.9019607843137254E-2</v>
      </c>
      <c r="O62" s="81">
        <f t="shared" ref="O62:Y62" si="33">O63/$M$62</f>
        <v>0.28654943137254901</v>
      </c>
      <c r="P62" s="81">
        <f t="shared" si="33"/>
        <v>0.34653113725490198</v>
      </c>
      <c r="Q62" s="81">
        <f t="shared" si="33"/>
        <v>0.40249215686274509</v>
      </c>
      <c r="R62" s="81">
        <f t="shared" si="33"/>
        <v>0.57305041176470595</v>
      </c>
      <c r="S62" s="81">
        <f t="shared" si="33"/>
        <v>0.72374950980392161</v>
      </c>
      <c r="T62" s="81">
        <f t="shared" si="33"/>
        <v>0.84647301960784316</v>
      </c>
      <c r="U62" s="81">
        <f t="shared" si="33"/>
        <v>0.93933486274509803</v>
      </c>
      <c r="V62" s="81">
        <f t="shared" si="33"/>
        <v>1.0324014705882354</v>
      </c>
      <c r="W62" s="81">
        <f t="shared" si="33"/>
        <v>1.1758907647058823</v>
      </c>
      <c r="X62" s="81">
        <f t="shared" si="33"/>
        <v>1.5359316862745098</v>
      </c>
      <c r="Y62" s="81">
        <f t="shared" si="33"/>
        <v>0</v>
      </c>
    </row>
    <row r="63" spans="1:25" s="22" customFormat="1" ht="13.5" thickBot="1" x14ac:dyDescent="0.25">
      <c r="A63" s="131"/>
      <c r="B63" s="132"/>
      <c r="C63" s="132"/>
      <c r="D63" s="133"/>
      <c r="E63" s="43" t="s">
        <v>6</v>
      </c>
      <c r="F63" s="44">
        <v>557</v>
      </c>
      <c r="G63" s="44">
        <v>801</v>
      </c>
      <c r="H63" s="44">
        <v>451.4418</v>
      </c>
      <c r="I63" s="44">
        <v>443</v>
      </c>
      <c r="J63" s="44">
        <v>491.48545000000001</v>
      </c>
      <c r="K63" s="44">
        <v>333</v>
      </c>
      <c r="L63" s="97">
        <v>597.40899999999999</v>
      </c>
      <c r="M63" s="97"/>
      <c r="N63" s="82">
        <v>25</v>
      </c>
      <c r="O63" s="82">
        <v>146.14021</v>
      </c>
      <c r="P63" s="82">
        <v>176.73088000000001</v>
      </c>
      <c r="Q63" s="82">
        <v>205.27099999999999</v>
      </c>
      <c r="R63" s="82">
        <v>292.25571000000002</v>
      </c>
      <c r="S63" s="82">
        <v>369.11225000000002</v>
      </c>
      <c r="T63" s="82">
        <v>431.70123999999998</v>
      </c>
      <c r="U63" s="82">
        <v>479.06078000000002</v>
      </c>
      <c r="V63" s="82">
        <v>526.52475000000004</v>
      </c>
      <c r="W63" s="82">
        <v>599.70429000000001</v>
      </c>
      <c r="X63" s="82">
        <v>783.32515999999998</v>
      </c>
      <c r="Y63" s="82"/>
    </row>
    <row r="64" spans="1:25" s="8" customFormat="1" x14ac:dyDescent="0.2">
      <c r="A64" s="128" t="s">
        <v>50</v>
      </c>
      <c r="B64" s="129"/>
      <c r="C64" s="129"/>
      <c r="D64" s="130"/>
      <c r="E64" s="42" t="s">
        <v>7</v>
      </c>
      <c r="F64" s="37">
        <v>350</v>
      </c>
      <c r="G64" s="37">
        <v>350</v>
      </c>
      <c r="H64" s="37">
        <v>80</v>
      </c>
      <c r="I64" s="37">
        <v>80</v>
      </c>
      <c r="J64" s="37">
        <v>90</v>
      </c>
      <c r="K64" s="37">
        <v>205</v>
      </c>
      <c r="L64" s="66">
        <v>205</v>
      </c>
      <c r="M64" s="66">
        <v>200</v>
      </c>
      <c r="N64" s="81">
        <f>N65/$M$64</f>
        <v>0.14836389999999999</v>
      </c>
      <c r="O64" s="81">
        <f t="shared" ref="O64:Y64" si="34">O65/$M$64</f>
        <v>0.17292085000000001</v>
      </c>
      <c r="P64" s="81">
        <f t="shared" si="34"/>
        <v>0.2465917</v>
      </c>
      <c r="Q64" s="81">
        <f t="shared" si="34"/>
        <v>0.27114499999999997</v>
      </c>
      <c r="R64" s="81">
        <f t="shared" si="34"/>
        <v>0.36937645000000002</v>
      </c>
      <c r="S64" s="81">
        <f t="shared" si="34"/>
        <v>0.50151449999999997</v>
      </c>
      <c r="T64" s="81">
        <f t="shared" si="34"/>
        <v>0.55062840000000002</v>
      </c>
      <c r="U64" s="81">
        <f t="shared" si="34"/>
        <v>0.62429924999999997</v>
      </c>
      <c r="V64" s="81">
        <f t="shared" si="34"/>
        <v>0.76452844999999992</v>
      </c>
      <c r="W64" s="81">
        <f t="shared" si="34"/>
        <v>0.83848969999999989</v>
      </c>
      <c r="X64" s="81">
        <f t="shared" si="34"/>
        <v>0.96553970000000011</v>
      </c>
      <c r="Y64" s="81">
        <f t="shared" si="34"/>
        <v>0</v>
      </c>
    </row>
    <row r="65" spans="1:79" s="22" customFormat="1" ht="13.5" thickBot="1" x14ac:dyDescent="0.25">
      <c r="A65" s="131"/>
      <c r="B65" s="132"/>
      <c r="C65" s="132"/>
      <c r="D65" s="133"/>
      <c r="E65" s="43" t="s">
        <v>6</v>
      </c>
      <c r="F65" s="44">
        <v>245</v>
      </c>
      <c r="G65" s="44">
        <v>159</v>
      </c>
      <c r="H65" s="44">
        <v>38.531100000000002</v>
      </c>
      <c r="I65" s="44">
        <v>107</v>
      </c>
      <c r="J65" s="44">
        <v>100.09638</v>
      </c>
      <c r="K65" s="44">
        <v>214</v>
      </c>
      <c r="L65" s="97">
        <v>151.19399999999999</v>
      </c>
      <c r="M65" s="97"/>
      <c r="N65" s="82">
        <v>29.672779999999999</v>
      </c>
      <c r="O65" s="82">
        <v>34.58417</v>
      </c>
      <c r="P65" s="82">
        <v>49.318339999999999</v>
      </c>
      <c r="Q65" s="82">
        <v>54.228999999999999</v>
      </c>
      <c r="R65" s="82">
        <v>73.875290000000007</v>
      </c>
      <c r="S65" s="82">
        <v>100.30289999999999</v>
      </c>
      <c r="T65" s="82">
        <v>110.12568</v>
      </c>
      <c r="U65" s="82">
        <v>124.85984999999999</v>
      </c>
      <c r="V65" s="82">
        <v>152.90568999999999</v>
      </c>
      <c r="W65" s="82">
        <v>167.69793999999999</v>
      </c>
      <c r="X65" s="82">
        <v>193.10794000000001</v>
      </c>
      <c r="Y65" s="82"/>
    </row>
    <row r="66" spans="1:79" s="8" customFormat="1" x14ac:dyDescent="0.2">
      <c r="A66" s="128" t="s">
        <v>52</v>
      </c>
      <c r="B66" s="129"/>
      <c r="C66" s="129"/>
      <c r="D66" s="130"/>
      <c r="E66" s="42" t="s">
        <v>7</v>
      </c>
      <c r="F66" s="37">
        <v>3000</v>
      </c>
      <c r="G66" s="37">
        <v>13500</v>
      </c>
      <c r="H66" s="37">
        <v>6870</v>
      </c>
      <c r="I66" s="37">
        <v>7500</v>
      </c>
      <c r="J66" s="37">
        <v>8540</v>
      </c>
      <c r="K66" s="37">
        <v>30434</v>
      </c>
      <c r="L66" s="66">
        <v>9000</v>
      </c>
      <c r="M66" s="66">
        <v>13500</v>
      </c>
      <c r="N66" s="81">
        <f>N67/$M$66</f>
        <v>2.4962748148148152E-3</v>
      </c>
      <c r="O66" s="81">
        <f t="shared" ref="O66:Y66" si="35">O67/$M$66</f>
        <v>2.881759185185185E-2</v>
      </c>
      <c r="P66" s="81">
        <f t="shared" si="35"/>
        <v>8.3629127407407411E-2</v>
      </c>
      <c r="Q66" s="81">
        <f t="shared" si="35"/>
        <v>8.7471037037037028E-2</v>
      </c>
      <c r="R66" s="81">
        <f t="shared" si="35"/>
        <v>0.11138903703703704</v>
      </c>
      <c r="S66" s="81">
        <f t="shared" si="35"/>
        <v>0.17568597037037037</v>
      </c>
      <c r="T66" s="81">
        <f t="shared" si="35"/>
        <v>0.32767449037037039</v>
      </c>
      <c r="U66" s="81">
        <f t="shared" si="35"/>
        <v>0.51457985111111104</v>
      </c>
      <c r="V66" s="81">
        <f t="shared" si="35"/>
        <v>0.55751470888888888</v>
      </c>
      <c r="W66" s="81">
        <f t="shared" si="35"/>
        <v>0.61270085407407415</v>
      </c>
      <c r="X66" s="81">
        <f t="shared" si="35"/>
        <v>0.64495697777777783</v>
      </c>
      <c r="Y66" s="81">
        <f t="shared" si="35"/>
        <v>0</v>
      </c>
    </row>
    <row r="67" spans="1:79" s="22" customFormat="1" ht="13.5" thickBot="1" x14ac:dyDescent="0.25">
      <c r="A67" s="131"/>
      <c r="B67" s="132"/>
      <c r="C67" s="132"/>
      <c r="D67" s="133"/>
      <c r="E67" s="43" t="s">
        <v>6</v>
      </c>
      <c r="F67" s="44">
        <v>3801</v>
      </c>
      <c r="G67" s="44">
        <v>7527</v>
      </c>
      <c r="H67" s="44">
        <v>5672.8467000000001</v>
      </c>
      <c r="I67" s="44">
        <v>4322</v>
      </c>
      <c r="J67" s="44">
        <v>7109.32089</v>
      </c>
      <c r="K67" s="44">
        <v>11407</v>
      </c>
      <c r="L67" s="97">
        <v>5181.5320000000002</v>
      </c>
      <c r="M67" s="97"/>
      <c r="N67" s="82">
        <v>33.699710000000003</v>
      </c>
      <c r="O67" s="82">
        <v>389.03748999999999</v>
      </c>
      <c r="P67" s="82">
        <v>1128.9932200000001</v>
      </c>
      <c r="Q67" s="82">
        <v>1180.8589999999999</v>
      </c>
      <c r="R67" s="82">
        <v>1503.752</v>
      </c>
      <c r="S67" s="82">
        <v>2371.7606000000001</v>
      </c>
      <c r="T67" s="82">
        <v>4423.6056200000003</v>
      </c>
      <c r="U67" s="82">
        <v>6946.8279899999998</v>
      </c>
      <c r="V67" s="82">
        <v>7526.4485699999996</v>
      </c>
      <c r="W67" s="82">
        <v>8271.4615300000005</v>
      </c>
      <c r="X67" s="82">
        <v>8706.9192000000003</v>
      </c>
      <c r="Y67" s="82"/>
    </row>
    <row r="68" spans="1:79" s="8" customFormat="1" x14ac:dyDescent="0.2">
      <c r="A68" s="128" t="s">
        <v>41</v>
      </c>
      <c r="B68" s="129"/>
      <c r="C68" s="129"/>
      <c r="D68" s="130"/>
      <c r="E68" s="42" t="s">
        <v>7</v>
      </c>
      <c r="F68" s="37">
        <v>1105</v>
      </c>
      <c r="G68" s="37">
        <v>5000</v>
      </c>
      <c r="H68" s="37">
        <v>2152</v>
      </c>
      <c r="I68" s="37">
        <v>2300</v>
      </c>
      <c r="J68" s="37">
        <v>2050</v>
      </c>
      <c r="K68" s="37">
        <v>1937</v>
      </c>
      <c r="L68" s="66">
        <v>1500</v>
      </c>
      <c r="M68" s="66">
        <v>1000</v>
      </c>
      <c r="N68" s="81">
        <f>N69/$M$68</f>
        <v>2.852E-2</v>
      </c>
      <c r="O68" s="81">
        <f t="shared" ref="O68:Y68" si="36">O69/$M$68</f>
        <v>4.4479999999999999E-2</v>
      </c>
      <c r="P68" s="81">
        <f t="shared" si="36"/>
        <v>0.15703395000000001</v>
      </c>
      <c r="Q68" s="81">
        <f t="shared" si="36"/>
        <v>0.17572699999999999</v>
      </c>
      <c r="R68" s="81">
        <f t="shared" si="36"/>
        <v>0.17572765000000001</v>
      </c>
      <c r="S68" s="81">
        <f t="shared" si="36"/>
        <v>0.20760165</v>
      </c>
      <c r="T68" s="81">
        <f t="shared" si="36"/>
        <v>0.27893204999999999</v>
      </c>
      <c r="U68" s="81">
        <f t="shared" si="36"/>
        <v>0.49060255000000003</v>
      </c>
      <c r="V68" s="81">
        <f t="shared" si="36"/>
        <v>0.49806655</v>
      </c>
      <c r="W68" s="81">
        <f t="shared" si="36"/>
        <v>0.66774774000000003</v>
      </c>
      <c r="X68" s="81">
        <f t="shared" si="36"/>
        <v>0.76240607999999999</v>
      </c>
      <c r="Y68" s="81">
        <f t="shared" si="36"/>
        <v>0</v>
      </c>
    </row>
    <row r="69" spans="1:79" s="22" customFormat="1" ht="13.5" thickBot="1" x14ac:dyDescent="0.25">
      <c r="A69" s="131"/>
      <c r="B69" s="132"/>
      <c r="C69" s="132"/>
      <c r="D69" s="133"/>
      <c r="E69" s="43" t="s">
        <v>6</v>
      </c>
      <c r="F69" s="44">
        <v>660</v>
      </c>
      <c r="G69" s="44">
        <v>1300</v>
      </c>
      <c r="H69" s="44">
        <v>2289.3777</v>
      </c>
      <c r="I69" s="44">
        <v>1656</v>
      </c>
      <c r="J69" s="44">
        <v>1222.1398300000001</v>
      </c>
      <c r="K69" s="44">
        <v>1811</v>
      </c>
      <c r="L69" s="97">
        <v>739.40800000000002</v>
      </c>
      <c r="M69" s="97"/>
      <c r="N69" s="82">
        <v>28.52</v>
      </c>
      <c r="O69" s="82">
        <v>44.48</v>
      </c>
      <c r="P69" s="82">
        <v>157.03395</v>
      </c>
      <c r="Q69" s="82">
        <v>175.727</v>
      </c>
      <c r="R69" s="82">
        <v>175.72765000000001</v>
      </c>
      <c r="S69" s="82">
        <v>207.60165000000001</v>
      </c>
      <c r="T69" s="82">
        <v>278.93205</v>
      </c>
      <c r="U69" s="82">
        <v>490.60255000000001</v>
      </c>
      <c r="V69" s="82">
        <v>498.06655000000001</v>
      </c>
      <c r="W69" s="82">
        <v>667.74774000000002</v>
      </c>
      <c r="X69" s="82">
        <v>762.40607999999997</v>
      </c>
      <c r="Y69" s="82"/>
    </row>
    <row r="70" spans="1:79" s="8" customFormat="1" x14ac:dyDescent="0.2">
      <c r="A70" s="149" t="s">
        <v>43</v>
      </c>
      <c r="B70" s="150"/>
      <c r="C70" s="150"/>
      <c r="D70" s="151"/>
      <c r="E70" s="25" t="s">
        <v>7</v>
      </c>
      <c r="F70" s="38">
        <f t="shared" ref="F70:M70" si="37">F30+F38+F32+F34+F36+F40+F42+F68+F66+F58+F46+F48+F50+F54+F52+F56</f>
        <v>44877</v>
      </c>
      <c r="G70" s="38">
        <f t="shared" si="37"/>
        <v>63190</v>
      </c>
      <c r="H70" s="38">
        <f t="shared" si="37"/>
        <v>61114</v>
      </c>
      <c r="I70" s="38">
        <f t="shared" si="37"/>
        <v>61003</v>
      </c>
      <c r="J70" s="38">
        <f t="shared" si="37"/>
        <v>66673</v>
      </c>
      <c r="K70" s="38">
        <f t="shared" si="37"/>
        <v>92271</v>
      </c>
      <c r="L70" s="67">
        <f t="shared" si="37"/>
        <v>71618</v>
      </c>
      <c r="M70" s="67">
        <f t="shared" si="37"/>
        <v>74254.706000000006</v>
      </c>
      <c r="N70" s="80">
        <f>N71/$M$70</f>
        <v>7.7061732222062779E-2</v>
      </c>
      <c r="O70" s="80">
        <f t="shared" ref="O70:Y70" si="38">O71/$M$70</f>
        <v>0.14246318341089381</v>
      </c>
      <c r="P70" s="80">
        <f t="shared" si="38"/>
        <v>0.22041974780696053</v>
      </c>
      <c r="Q70" s="80">
        <f t="shared" si="38"/>
        <v>0.28029591821426103</v>
      </c>
      <c r="R70" s="80">
        <f t="shared" si="38"/>
        <v>0.34533508435142141</v>
      </c>
      <c r="S70" s="80">
        <f t="shared" si="38"/>
        <v>0.43734202058520016</v>
      </c>
      <c r="T70" s="80">
        <f t="shared" si="38"/>
        <v>0.53345184896429321</v>
      </c>
      <c r="U70" s="80">
        <f t="shared" si="38"/>
        <v>0.64117904082739186</v>
      </c>
      <c r="V70" s="80">
        <f t="shared" si="38"/>
        <v>0.74570962169050925</v>
      </c>
      <c r="W70" s="80">
        <f t="shared" si="38"/>
        <v>0.92520618114089626</v>
      </c>
      <c r="X70" s="80">
        <f t="shared" si="38"/>
        <v>1.0727503695186673</v>
      </c>
      <c r="Y70" s="80">
        <f t="shared" si="38"/>
        <v>0</v>
      </c>
      <c r="Z70" s="108"/>
    </row>
    <row r="71" spans="1:79" s="22" customFormat="1" ht="13.5" thickBot="1" x14ac:dyDescent="0.25">
      <c r="A71" s="121"/>
      <c r="B71" s="122"/>
      <c r="C71" s="122"/>
      <c r="D71" s="123"/>
      <c r="E71" s="40" t="s">
        <v>6</v>
      </c>
      <c r="F71" s="47">
        <f t="shared" ref="F71:Y71" si="39">F31+F39+F33+F35+F37+F41+F43+F69+F67+F59+F63+F65+F45+F47+F49+F51+F55+F53+F57</f>
        <v>48193</v>
      </c>
      <c r="G71" s="47">
        <f t="shared" si="39"/>
        <v>61051</v>
      </c>
      <c r="H71" s="47">
        <f t="shared" si="39"/>
        <v>62841.836299999995</v>
      </c>
      <c r="I71" s="47">
        <f t="shared" si="39"/>
        <v>63184</v>
      </c>
      <c r="J71" s="47">
        <f t="shared" si="39"/>
        <v>68740.465349999999</v>
      </c>
      <c r="K71" s="47">
        <f t="shared" si="39"/>
        <v>74925.81</v>
      </c>
      <c r="L71" s="69">
        <f t="shared" si="39"/>
        <v>67256.400000000009</v>
      </c>
      <c r="M71" s="69">
        <f t="shared" si="39"/>
        <v>0</v>
      </c>
      <c r="N71" s="35">
        <f t="shared" si="39"/>
        <v>5722.1962699999985</v>
      </c>
      <c r="O71" s="35">
        <f t="shared" si="39"/>
        <v>10578.561799999998</v>
      </c>
      <c r="P71" s="35">
        <f t="shared" si="39"/>
        <v>16367.20357</v>
      </c>
      <c r="Q71" s="35">
        <f>Q31+Q39+Q33+Q35+Q37+Q41+Q43+Q69+Q67+Q59+Q63+Q65+Q45+Q47+Q49+Q51+Q55+Q53+Q57</f>
        <v>20813.291000000001</v>
      </c>
      <c r="R71" s="35">
        <f t="shared" si="39"/>
        <v>25642.755160000001</v>
      </c>
      <c r="S71" s="35">
        <f t="shared" si="39"/>
        <v>32474.70315999999</v>
      </c>
      <c r="T71" s="35">
        <f t="shared" si="39"/>
        <v>39611.310209999996</v>
      </c>
      <c r="U71" s="35">
        <f t="shared" si="39"/>
        <v>47610.561169999986</v>
      </c>
      <c r="V71" s="35">
        <f t="shared" si="39"/>
        <v>55372.448719999993</v>
      </c>
      <c r="W71" s="35">
        <f t="shared" si="39"/>
        <v>68700.912970000005</v>
      </c>
      <c r="X71" s="35">
        <f t="shared" si="39"/>
        <v>79656.763300000006</v>
      </c>
      <c r="Y71" s="35">
        <f t="shared" si="39"/>
        <v>0</v>
      </c>
    </row>
    <row r="72" spans="1:79" s="8" customFormat="1" ht="13.5" thickBot="1" x14ac:dyDescent="0.25">
      <c r="A72" s="9"/>
      <c r="B72" s="9"/>
      <c r="F72" s="62"/>
      <c r="G72" s="62"/>
      <c r="H72" s="62"/>
      <c r="I72" s="62"/>
      <c r="J72" s="62"/>
      <c r="K72" s="62"/>
      <c r="L72" s="62"/>
      <c r="M72" s="62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1"/>
      <c r="AA72" s="1"/>
      <c r="AB72" s="1"/>
      <c r="AC72" s="1"/>
      <c r="AD72" s="1"/>
      <c r="AE72" s="1"/>
      <c r="AF72" s="1"/>
      <c r="AG72" s="1"/>
    </row>
    <row r="73" spans="1:79" s="1" customFormat="1" x14ac:dyDescent="0.2">
      <c r="A73" s="140" t="s">
        <v>44</v>
      </c>
      <c r="B73" s="141"/>
      <c r="C73" s="141"/>
      <c r="D73" s="142"/>
      <c r="E73" s="50" t="s">
        <v>7</v>
      </c>
      <c r="F73" s="37">
        <v>38500</v>
      </c>
      <c r="G73" s="37">
        <v>40000</v>
      </c>
      <c r="H73" s="37">
        <v>40500</v>
      </c>
      <c r="I73" s="37">
        <v>39871</v>
      </c>
      <c r="J73" s="37">
        <v>41100</v>
      </c>
      <c r="K73" s="37">
        <v>46750</v>
      </c>
      <c r="L73" s="66">
        <v>49000</v>
      </c>
      <c r="M73" s="66">
        <v>55700</v>
      </c>
      <c r="N73" s="86">
        <f>N74/$M$73</f>
        <v>7.5338857630161585E-2</v>
      </c>
      <c r="O73" s="86">
        <f t="shared" ref="O73:Y73" si="40">O74/$M$73</f>
        <v>0.15892410484739677</v>
      </c>
      <c r="P73" s="86">
        <f t="shared" si="40"/>
        <v>0.23869436912028724</v>
      </c>
      <c r="Q73" s="86">
        <f t="shared" si="40"/>
        <v>0.31618852782764811</v>
      </c>
      <c r="R73" s="86">
        <f t="shared" si="40"/>
        <v>0.39865447109515256</v>
      </c>
      <c r="S73" s="86">
        <f t="shared" si="40"/>
        <v>0.48180574039497309</v>
      </c>
      <c r="T73" s="86">
        <f t="shared" si="40"/>
        <v>0.56222689712746854</v>
      </c>
      <c r="U73" s="86">
        <f t="shared" si="40"/>
        <v>0.64233701113105934</v>
      </c>
      <c r="V73" s="86">
        <f t="shared" si="40"/>
        <v>0.72566253590664276</v>
      </c>
      <c r="W73" s="86">
        <f t="shared" si="40"/>
        <v>0.80783717630161589</v>
      </c>
      <c r="X73" s="86">
        <f t="shared" si="40"/>
        <v>0.88495778922800716</v>
      </c>
      <c r="Y73" s="86">
        <f t="shared" si="40"/>
        <v>0</v>
      </c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</row>
    <row r="74" spans="1:79" s="49" customFormat="1" ht="13.5" thickBot="1" x14ac:dyDescent="0.25">
      <c r="A74" s="152"/>
      <c r="B74" s="153"/>
      <c r="C74" s="153"/>
      <c r="D74" s="154"/>
      <c r="E74" s="51" t="s">
        <v>6</v>
      </c>
      <c r="F74" s="44">
        <v>39846</v>
      </c>
      <c r="G74" s="44">
        <v>37693</v>
      </c>
      <c r="H74" s="44">
        <v>38797.184000000001</v>
      </c>
      <c r="I74" s="44">
        <v>39556</v>
      </c>
      <c r="J74" s="44">
        <v>40931.802000000003</v>
      </c>
      <c r="K74" s="44">
        <v>44541</v>
      </c>
      <c r="L74" s="97">
        <v>47797.521999999997</v>
      </c>
      <c r="M74" s="97"/>
      <c r="N74" s="87">
        <v>4196.3743700000005</v>
      </c>
      <c r="O74" s="87">
        <v>8852.0726400000003</v>
      </c>
      <c r="P74" s="87">
        <v>13295.27636</v>
      </c>
      <c r="Q74" s="87">
        <v>17611.701000000001</v>
      </c>
      <c r="R74" s="87">
        <v>22205.054039999999</v>
      </c>
      <c r="S74" s="87">
        <v>26836.579740000001</v>
      </c>
      <c r="T74" s="87">
        <v>31316.03817</v>
      </c>
      <c r="U74" s="87">
        <v>35778.171520000004</v>
      </c>
      <c r="V74" s="87">
        <v>40419.403250000003</v>
      </c>
      <c r="W74" s="87">
        <v>44996.530720000002</v>
      </c>
      <c r="X74" s="87">
        <v>49292.148860000001</v>
      </c>
      <c r="Y74" s="87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</row>
    <row r="75" spans="1:79" s="1" customFormat="1" x14ac:dyDescent="0.2">
      <c r="A75" s="140" t="s">
        <v>61</v>
      </c>
      <c r="B75" s="141"/>
      <c r="C75" s="141"/>
      <c r="D75" s="142"/>
      <c r="E75" s="50" t="s">
        <v>7</v>
      </c>
      <c r="F75" s="37">
        <v>0</v>
      </c>
      <c r="G75" s="37">
        <v>0</v>
      </c>
      <c r="H75" s="37">
        <v>0</v>
      </c>
      <c r="I75" s="37">
        <v>1500</v>
      </c>
      <c r="J75" s="37">
        <v>2100</v>
      </c>
      <c r="K75" s="37">
        <v>1300</v>
      </c>
      <c r="L75" s="101">
        <v>1500</v>
      </c>
      <c r="M75" s="101">
        <v>2200</v>
      </c>
      <c r="N75" s="86">
        <f>N76/$M$75</f>
        <v>8.5383250000000008E-2</v>
      </c>
      <c r="O75" s="86">
        <f t="shared" ref="O75:Y75" si="41">O76/$M$75</f>
        <v>0.12220827272727273</v>
      </c>
      <c r="P75" s="86">
        <f t="shared" si="41"/>
        <v>0.17257887272727274</v>
      </c>
      <c r="Q75" s="86">
        <f t="shared" si="41"/>
        <v>0.2600827272727273</v>
      </c>
      <c r="R75" s="86">
        <f t="shared" si="41"/>
        <v>0.38426769090909091</v>
      </c>
      <c r="S75" s="86">
        <f t="shared" si="41"/>
        <v>0.51825151363636368</v>
      </c>
      <c r="T75" s="86">
        <f t="shared" si="41"/>
        <v>0.63226828636363641</v>
      </c>
      <c r="U75" s="86">
        <f t="shared" si="41"/>
        <v>0.74708286363636367</v>
      </c>
      <c r="V75" s="86">
        <f t="shared" si="41"/>
        <v>0.86244620909090908</v>
      </c>
      <c r="W75" s="86">
        <f t="shared" si="41"/>
        <v>1.0818181</v>
      </c>
      <c r="X75" s="86">
        <f t="shared" si="41"/>
        <v>1.3798052272727273</v>
      </c>
      <c r="Y75" s="86">
        <f t="shared" si="41"/>
        <v>0</v>
      </c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</row>
    <row r="76" spans="1:79" s="49" customFormat="1" ht="13.5" thickBot="1" x14ac:dyDescent="0.25">
      <c r="A76" s="143"/>
      <c r="B76" s="144"/>
      <c r="C76" s="144"/>
      <c r="D76" s="145"/>
      <c r="E76" s="52" t="s">
        <v>6</v>
      </c>
      <c r="F76" s="46">
        <v>0</v>
      </c>
      <c r="G76" s="46">
        <v>0</v>
      </c>
      <c r="H76" s="46">
        <v>0</v>
      </c>
      <c r="I76" s="46">
        <v>1537.3869999999999</v>
      </c>
      <c r="J76" s="46">
        <v>1306.1559999999999</v>
      </c>
      <c r="K76" s="46">
        <v>2720</v>
      </c>
      <c r="L76" s="100">
        <v>3594.299</v>
      </c>
      <c r="M76" s="100"/>
      <c r="N76" s="88">
        <v>187.84315000000001</v>
      </c>
      <c r="O76" s="88">
        <v>268.85820000000001</v>
      </c>
      <c r="P76" s="88">
        <v>379.67352</v>
      </c>
      <c r="Q76" s="88">
        <v>572.18200000000002</v>
      </c>
      <c r="R76" s="88">
        <v>845.38891999999998</v>
      </c>
      <c r="S76" s="88">
        <v>1140.1533300000001</v>
      </c>
      <c r="T76" s="88">
        <v>1390.9902300000001</v>
      </c>
      <c r="U76" s="88">
        <v>1643.5823</v>
      </c>
      <c r="V76" s="88">
        <v>1897.38166</v>
      </c>
      <c r="W76" s="88">
        <v>2379.99982</v>
      </c>
      <c r="X76" s="88">
        <v>3035.5715</v>
      </c>
      <c r="Y76" s="88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</row>
    <row r="77" spans="1:79" s="1" customFormat="1" x14ac:dyDescent="0.2">
      <c r="A77" s="140" t="s">
        <v>58</v>
      </c>
      <c r="B77" s="141"/>
      <c r="C77" s="141"/>
      <c r="D77" s="142"/>
      <c r="E77" s="50" t="s">
        <v>7</v>
      </c>
      <c r="F77" s="37">
        <v>670</v>
      </c>
      <c r="G77" s="37">
        <v>550</v>
      </c>
      <c r="H77" s="37">
        <v>600</v>
      </c>
      <c r="I77" s="37">
        <v>600</v>
      </c>
      <c r="J77" s="37">
        <v>600</v>
      </c>
      <c r="K77" s="37">
        <v>600</v>
      </c>
      <c r="L77" s="101">
        <v>50</v>
      </c>
      <c r="M77" s="101">
        <v>0</v>
      </c>
      <c r="N77" s="86">
        <f>IF(M77,+N77/M77,0)</f>
        <v>0</v>
      </c>
      <c r="O77" s="86">
        <f t="shared" ref="O77:Y77" si="42">IF(N77,+O77/N77,0)</f>
        <v>0</v>
      </c>
      <c r="P77" s="86">
        <f t="shared" si="42"/>
        <v>0</v>
      </c>
      <c r="Q77" s="86">
        <f t="shared" si="42"/>
        <v>0</v>
      </c>
      <c r="R77" s="86">
        <f t="shared" si="42"/>
        <v>0</v>
      </c>
      <c r="S77" s="86">
        <f t="shared" si="42"/>
        <v>0</v>
      </c>
      <c r="T77" s="86">
        <f t="shared" si="42"/>
        <v>0</v>
      </c>
      <c r="U77" s="86">
        <f t="shared" si="42"/>
        <v>0</v>
      </c>
      <c r="V77" s="86">
        <f t="shared" si="42"/>
        <v>0</v>
      </c>
      <c r="W77" s="86">
        <f t="shared" si="42"/>
        <v>0</v>
      </c>
      <c r="X77" s="86">
        <f t="shared" si="42"/>
        <v>0</v>
      </c>
      <c r="Y77" s="86">
        <f t="shared" si="42"/>
        <v>0</v>
      </c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</row>
    <row r="78" spans="1:79" s="49" customFormat="1" ht="13.5" thickBot="1" x14ac:dyDescent="0.25">
      <c r="A78" s="143"/>
      <c r="B78" s="144"/>
      <c r="C78" s="144"/>
      <c r="D78" s="145"/>
      <c r="E78" s="52" t="s">
        <v>6</v>
      </c>
      <c r="F78" s="46">
        <v>570</v>
      </c>
      <c r="G78" s="46">
        <v>524</v>
      </c>
      <c r="H78" s="46">
        <v>663.31399999999996</v>
      </c>
      <c r="I78" s="46">
        <v>620</v>
      </c>
      <c r="J78" s="46">
        <v>414.05</v>
      </c>
      <c r="K78" s="46">
        <v>38</v>
      </c>
      <c r="L78" s="100">
        <v>0</v>
      </c>
      <c r="M78" s="100"/>
      <c r="N78" s="88">
        <v>0</v>
      </c>
      <c r="O78" s="88">
        <v>0</v>
      </c>
      <c r="P78" s="88">
        <v>0</v>
      </c>
      <c r="Q78" s="88">
        <v>0</v>
      </c>
      <c r="R78" s="88">
        <v>0</v>
      </c>
      <c r="S78" s="88">
        <v>0</v>
      </c>
      <c r="T78" s="88">
        <v>0</v>
      </c>
      <c r="U78" s="88">
        <v>0</v>
      </c>
      <c r="V78" s="88">
        <v>0</v>
      </c>
      <c r="W78" s="88">
        <v>0</v>
      </c>
      <c r="X78" s="88">
        <v>0</v>
      </c>
      <c r="Y78" s="88">
        <v>0</v>
      </c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</row>
    <row r="79" spans="1:79" s="1" customFormat="1" x14ac:dyDescent="0.2">
      <c r="A79" s="140" t="s">
        <v>57</v>
      </c>
      <c r="B79" s="141"/>
      <c r="C79" s="141"/>
      <c r="D79" s="142"/>
      <c r="E79" s="50" t="s">
        <v>7</v>
      </c>
      <c r="F79" s="37">
        <v>5800</v>
      </c>
      <c r="G79" s="37">
        <v>5900</v>
      </c>
      <c r="H79" s="37">
        <v>746</v>
      </c>
      <c r="I79" s="37">
        <v>350</v>
      </c>
      <c r="J79" s="37">
        <v>330</v>
      </c>
      <c r="K79" s="37">
        <v>330</v>
      </c>
      <c r="L79" s="101">
        <v>1830</v>
      </c>
      <c r="M79" s="101">
        <v>1830</v>
      </c>
      <c r="N79" s="86">
        <f>N80/$M$79</f>
        <v>3.4710382513661203E-3</v>
      </c>
      <c r="O79" s="86">
        <f t="shared" ref="O79:Y79" si="43">O80/$M$79</f>
        <v>1.8612841530054648E-2</v>
      </c>
      <c r="P79" s="86">
        <f t="shared" si="43"/>
        <v>3.3522950819672132E-2</v>
      </c>
      <c r="Q79" s="86">
        <f t="shared" si="43"/>
        <v>4.7275956284153008E-2</v>
      </c>
      <c r="R79" s="86">
        <f t="shared" si="43"/>
        <v>6.1723224043715851E-2</v>
      </c>
      <c r="S79" s="86">
        <f t="shared" si="43"/>
        <v>8.899781420765028E-2</v>
      </c>
      <c r="T79" s="86">
        <f t="shared" si="43"/>
        <v>9.2237704918032778E-2</v>
      </c>
      <c r="U79" s="86">
        <f t="shared" si="43"/>
        <v>0.11604098360655737</v>
      </c>
      <c r="V79" s="86">
        <f t="shared" si="43"/>
        <v>0.11904945355191257</v>
      </c>
      <c r="W79" s="86">
        <f t="shared" si="43"/>
        <v>0.1376622950819672</v>
      </c>
      <c r="X79" s="86">
        <f t="shared" si="43"/>
        <v>0.1404393442622951</v>
      </c>
      <c r="Y79" s="86">
        <f t="shared" si="43"/>
        <v>0</v>
      </c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</row>
    <row r="80" spans="1:79" s="49" customFormat="1" ht="13.5" thickBot="1" x14ac:dyDescent="0.25">
      <c r="A80" s="152"/>
      <c r="B80" s="153"/>
      <c r="C80" s="153"/>
      <c r="D80" s="154"/>
      <c r="E80" s="51" t="s">
        <v>6</v>
      </c>
      <c r="F80" s="44">
        <v>5851</v>
      </c>
      <c r="G80" s="44">
        <v>5864</v>
      </c>
      <c r="H80" s="44">
        <v>1250.0707</v>
      </c>
      <c r="I80" s="44">
        <v>313</v>
      </c>
      <c r="J80" s="44">
        <v>315.142</v>
      </c>
      <c r="K80" s="44">
        <v>324</v>
      </c>
      <c r="L80" s="97">
        <v>336.74400000000003</v>
      </c>
      <c r="M80" s="97"/>
      <c r="N80" s="87">
        <v>6.3520000000000003</v>
      </c>
      <c r="O80" s="87">
        <v>34.061500000000002</v>
      </c>
      <c r="P80" s="87">
        <v>61.347000000000001</v>
      </c>
      <c r="Q80" s="87">
        <v>86.515000000000001</v>
      </c>
      <c r="R80" s="87">
        <v>112.95350000000001</v>
      </c>
      <c r="S80" s="87">
        <v>162.86600000000001</v>
      </c>
      <c r="T80" s="87">
        <v>168.79499999999999</v>
      </c>
      <c r="U80" s="87">
        <v>212.35499999999999</v>
      </c>
      <c r="V80" s="87">
        <v>217.8605</v>
      </c>
      <c r="W80" s="87">
        <v>251.922</v>
      </c>
      <c r="X80" s="87">
        <v>257.00400000000002</v>
      </c>
      <c r="Y80" s="87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</row>
    <row r="81" spans="1:79" s="8" customFormat="1" x14ac:dyDescent="0.2">
      <c r="A81" s="149" t="s">
        <v>45</v>
      </c>
      <c r="B81" s="150"/>
      <c r="C81" s="150"/>
      <c r="D81" s="155"/>
      <c r="E81" s="25" t="s">
        <v>7</v>
      </c>
      <c r="F81" s="38">
        <f t="shared" ref="F81:M82" si="44">F73+F79+F77+F75</f>
        <v>44970</v>
      </c>
      <c r="G81" s="38">
        <f t="shared" si="44"/>
        <v>46450</v>
      </c>
      <c r="H81" s="38">
        <f t="shared" si="44"/>
        <v>41846</v>
      </c>
      <c r="I81" s="38">
        <f t="shared" si="44"/>
        <v>42321</v>
      </c>
      <c r="J81" s="38">
        <f t="shared" si="44"/>
        <v>44130</v>
      </c>
      <c r="K81" s="38">
        <f t="shared" si="44"/>
        <v>48980</v>
      </c>
      <c r="L81" s="67">
        <f t="shared" si="44"/>
        <v>52380</v>
      </c>
      <c r="M81" s="67">
        <f t="shared" si="44"/>
        <v>59730</v>
      </c>
      <c r="N81" s="80">
        <f>N82/$M$81</f>
        <v>7.3506939896199566E-2</v>
      </c>
      <c r="O81" s="80">
        <f t="shared" ref="O81:Y81" si="45">O82/$M$81</f>
        <v>0.15327293386907753</v>
      </c>
      <c r="P81" s="80">
        <f t="shared" si="45"/>
        <v>0.22997316055583458</v>
      </c>
      <c r="Q81" s="80">
        <f t="shared" si="45"/>
        <v>0.30588310731625651</v>
      </c>
      <c r="R81" s="80">
        <f t="shared" si="45"/>
        <v>0.38780171538590325</v>
      </c>
      <c r="S81" s="80">
        <f t="shared" si="45"/>
        <v>0.47111332780847154</v>
      </c>
      <c r="T81" s="80">
        <f t="shared" si="45"/>
        <v>0.55040722250125562</v>
      </c>
      <c r="U81" s="80">
        <f t="shared" si="45"/>
        <v>0.63007046408839795</v>
      </c>
      <c r="V81" s="80">
        <f t="shared" si="45"/>
        <v>0.71211527557341381</v>
      </c>
      <c r="W81" s="80">
        <f t="shared" si="45"/>
        <v>0.79739582353925997</v>
      </c>
      <c r="X81" s="80">
        <f t="shared" si="45"/>
        <v>0.88037375456219658</v>
      </c>
      <c r="Y81" s="80">
        <f t="shared" si="45"/>
        <v>0</v>
      </c>
    </row>
    <row r="82" spans="1:79" s="22" customFormat="1" ht="13.5" thickBot="1" x14ac:dyDescent="0.25">
      <c r="A82" s="121"/>
      <c r="B82" s="122"/>
      <c r="C82" s="122"/>
      <c r="D82" s="156"/>
      <c r="E82" s="40" t="s">
        <v>6</v>
      </c>
      <c r="F82" s="39">
        <f t="shared" si="44"/>
        <v>46267</v>
      </c>
      <c r="G82" s="39">
        <f t="shared" si="44"/>
        <v>44081</v>
      </c>
      <c r="H82" s="39">
        <f t="shared" si="44"/>
        <v>40710.568699999996</v>
      </c>
      <c r="I82" s="39">
        <f t="shared" si="44"/>
        <v>42026.387000000002</v>
      </c>
      <c r="J82" s="39">
        <f t="shared" si="44"/>
        <v>42967.150000000009</v>
      </c>
      <c r="K82" s="39">
        <f t="shared" si="44"/>
        <v>47623</v>
      </c>
      <c r="L82" s="68">
        <f t="shared" si="44"/>
        <v>51728.564999999995</v>
      </c>
      <c r="M82" s="68">
        <f t="shared" si="44"/>
        <v>0</v>
      </c>
      <c r="N82" s="35">
        <f t="shared" ref="N82:Y82" si="46">N74+N80+N78+N76</f>
        <v>4390.56952</v>
      </c>
      <c r="O82" s="35">
        <f t="shared" si="46"/>
        <v>9154.9923400000007</v>
      </c>
      <c r="P82" s="35">
        <f t="shared" si="46"/>
        <v>13736.29688</v>
      </c>
      <c r="Q82" s="35">
        <f>Q74+Q80+Q78+Q76</f>
        <v>18270.398000000001</v>
      </c>
      <c r="R82" s="35">
        <f t="shared" si="46"/>
        <v>23163.39646</v>
      </c>
      <c r="S82" s="35">
        <f t="shared" si="46"/>
        <v>28139.599070000004</v>
      </c>
      <c r="T82" s="35">
        <f t="shared" si="46"/>
        <v>32875.823400000001</v>
      </c>
      <c r="U82" s="35">
        <f t="shared" si="46"/>
        <v>37634.108820000009</v>
      </c>
      <c r="V82" s="35">
        <f t="shared" si="46"/>
        <v>42534.645410000005</v>
      </c>
      <c r="W82" s="35">
        <f t="shared" si="46"/>
        <v>47628.452539999998</v>
      </c>
      <c r="X82" s="35">
        <f t="shared" si="46"/>
        <v>52584.72436</v>
      </c>
      <c r="Y82" s="35">
        <f t="shared" si="46"/>
        <v>0</v>
      </c>
    </row>
    <row r="83" spans="1:79" s="8" customFormat="1" ht="13.5" thickBot="1" x14ac:dyDescent="0.25">
      <c r="A83" s="1"/>
      <c r="B83" s="1"/>
      <c r="C83" s="1"/>
      <c r="D83" s="1"/>
      <c r="E83" s="1"/>
      <c r="F83" s="49"/>
      <c r="G83" s="49"/>
      <c r="H83" s="49"/>
      <c r="I83" s="49"/>
      <c r="J83" s="49"/>
      <c r="K83" s="49"/>
      <c r="L83" s="49"/>
      <c r="M83" s="4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79" s="8" customFormat="1" x14ac:dyDescent="0.2">
      <c r="A84" s="157" t="s">
        <v>11</v>
      </c>
      <c r="B84" s="158"/>
      <c r="C84" s="158"/>
      <c r="D84" s="159"/>
      <c r="E84" s="54" t="s">
        <v>7</v>
      </c>
      <c r="F84" s="37">
        <v>1450</v>
      </c>
      <c r="G84" s="37">
        <v>1400</v>
      </c>
      <c r="H84" s="37">
        <v>1400</v>
      </c>
      <c r="I84" s="37">
        <v>1200</v>
      </c>
      <c r="J84" s="37">
        <v>1200</v>
      </c>
      <c r="K84" s="37">
        <v>1250</v>
      </c>
      <c r="L84" s="66">
        <v>1200</v>
      </c>
      <c r="M84" s="66">
        <v>0</v>
      </c>
      <c r="N84" s="89">
        <f>IF(M84,+N84/M84,0)</f>
        <v>0</v>
      </c>
      <c r="O84" s="89">
        <f t="shared" ref="O84:Y84" si="47">IF(N84,+O84/N84,0)</f>
        <v>0</v>
      </c>
      <c r="P84" s="89">
        <f t="shared" si="47"/>
        <v>0</v>
      </c>
      <c r="Q84" s="89">
        <f t="shared" si="47"/>
        <v>0</v>
      </c>
      <c r="R84" s="89">
        <f t="shared" si="47"/>
        <v>0</v>
      </c>
      <c r="S84" s="89">
        <f t="shared" si="47"/>
        <v>0</v>
      </c>
      <c r="T84" s="89">
        <f t="shared" si="47"/>
        <v>0</v>
      </c>
      <c r="U84" s="89">
        <f t="shared" si="47"/>
        <v>0</v>
      </c>
      <c r="V84" s="89">
        <f t="shared" si="47"/>
        <v>0</v>
      </c>
      <c r="W84" s="89">
        <f t="shared" si="47"/>
        <v>0</v>
      </c>
      <c r="X84" s="89">
        <f t="shared" si="47"/>
        <v>0</v>
      </c>
      <c r="Y84" s="89">
        <f t="shared" si="47"/>
        <v>0</v>
      </c>
    </row>
    <row r="85" spans="1:79" s="22" customFormat="1" ht="13.5" thickBot="1" x14ac:dyDescent="0.25">
      <c r="A85" s="160"/>
      <c r="B85" s="161"/>
      <c r="C85" s="161"/>
      <c r="D85" s="162"/>
      <c r="E85" s="55" t="s">
        <v>6</v>
      </c>
      <c r="F85" s="44">
        <v>1380</v>
      </c>
      <c r="G85" s="44">
        <v>1169</v>
      </c>
      <c r="H85" s="44">
        <v>1139.3315</v>
      </c>
      <c r="I85" s="44">
        <v>1202</v>
      </c>
      <c r="J85" s="44">
        <v>1178.4190000000001</v>
      </c>
      <c r="K85" s="44">
        <v>1190</v>
      </c>
      <c r="L85" s="97">
        <v>296.07299999999998</v>
      </c>
      <c r="M85" s="97"/>
      <c r="N85" s="90">
        <v>0</v>
      </c>
      <c r="O85" s="90">
        <v>0</v>
      </c>
      <c r="P85" s="90">
        <v>0</v>
      </c>
      <c r="Q85" s="90">
        <v>0</v>
      </c>
      <c r="R85" s="90">
        <v>0</v>
      </c>
      <c r="S85" s="90">
        <v>0</v>
      </c>
      <c r="T85" s="90">
        <v>0</v>
      </c>
      <c r="U85" s="90">
        <v>0</v>
      </c>
      <c r="V85" s="90">
        <v>0</v>
      </c>
      <c r="W85" s="90">
        <v>0</v>
      </c>
      <c r="X85" s="90">
        <v>0</v>
      </c>
      <c r="Y85" s="90">
        <v>0</v>
      </c>
    </row>
    <row r="86" spans="1:79" s="8" customFormat="1" ht="13.5" hidden="1" thickBot="1" x14ac:dyDescent="0.25">
      <c r="A86" s="16" t="s">
        <v>34</v>
      </c>
      <c r="B86" s="17"/>
      <c r="C86" s="17"/>
      <c r="D86" s="18"/>
      <c r="E86" s="53" t="s">
        <v>7</v>
      </c>
      <c r="F86" s="63"/>
      <c r="G86" s="63"/>
      <c r="H86" s="63"/>
      <c r="I86" s="63"/>
      <c r="J86" s="63"/>
      <c r="K86" s="63"/>
      <c r="L86" s="102"/>
      <c r="M86" s="106"/>
      <c r="N86" s="91" t="e">
        <f>N87/G86</f>
        <v>#DIV/0!</v>
      </c>
      <c r="O86" s="91" t="e">
        <f>O87/G86</f>
        <v>#DIV/0!</v>
      </c>
      <c r="P86" s="91" t="e">
        <f>P87/G86</f>
        <v>#DIV/0!</v>
      </c>
      <c r="Q86" s="91" t="e">
        <f>Q87/G86</f>
        <v>#DIV/0!</v>
      </c>
      <c r="R86" s="91" t="e">
        <f>R87/G86</f>
        <v>#DIV/0!</v>
      </c>
      <c r="S86" s="91" t="e">
        <f>S87/G86</f>
        <v>#DIV/0!</v>
      </c>
      <c r="T86" s="91" t="e">
        <f>T87/G86</f>
        <v>#DIV/0!</v>
      </c>
      <c r="U86" s="91" t="e">
        <f>U87/G86</f>
        <v>#DIV/0!</v>
      </c>
      <c r="V86" s="91" t="e">
        <f>V87/G86</f>
        <v>#DIV/0!</v>
      </c>
      <c r="W86" s="91" t="e">
        <f>W87/G86</f>
        <v>#DIV/0!</v>
      </c>
      <c r="X86" s="91" t="e">
        <f>X87/G86</f>
        <v>#DIV/0!</v>
      </c>
      <c r="Y86" s="91" t="e">
        <f>Y87/G86</f>
        <v>#DIV/0!</v>
      </c>
    </row>
    <row r="87" spans="1:79" s="8" customFormat="1" ht="13.5" hidden="1" thickBot="1" x14ac:dyDescent="0.25">
      <c r="A87" s="16"/>
      <c r="B87" s="17"/>
      <c r="C87" s="17"/>
      <c r="D87" s="18"/>
      <c r="E87" s="19" t="s">
        <v>6</v>
      </c>
      <c r="F87" s="64"/>
      <c r="G87" s="64"/>
      <c r="H87" s="64"/>
      <c r="I87" s="64"/>
      <c r="J87" s="64"/>
      <c r="K87" s="64"/>
      <c r="L87" s="103"/>
      <c r="M87" s="107"/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92">
        <v>0</v>
      </c>
      <c r="T87" s="92">
        <v>0</v>
      </c>
      <c r="U87" s="92">
        <v>0</v>
      </c>
      <c r="V87" s="92">
        <v>0</v>
      </c>
      <c r="W87" s="92">
        <v>0</v>
      </c>
      <c r="X87" s="92">
        <v>0</v>
      </c>
      <c r="Y87" s="92">
        <v>0</v>
      </c>
    </row>
    <row r="88" spans="1:79" s="8" customFormat="1" x14ac:dyDescent="0.2">
      <c r="A88" s="157" t="s">
        <v>46</v>
      </c>
      <c r="B88" s="158"/>
      <c r="C88" s="158"/>
      <c r="D88" s="159"/>
      <c r="E88" s="54" t="s">
        <v>7</v>
      </c>
      <c r="F88" s="37">
        <v>250</v>
      </c>
      <c r="G88" s="37">
        <v>250</v>
      </c>
      <c r="H88" s="37">
        <v>200</v>
      </c>
      <c r="I88" s="37">
        <v>350</v>
      </c>
      <c r="J88" s="37">
        <v>300</v>
      </c>
      <c r="K88" s="37">
        <v>300</v>
      </c>
      <c r="L88" s="101">
        <v>300</v>
      </c>
      <c r="M88" s="101">
        <v>150</v>
      </c>
      <c r="N88" s="89">
        <f>N89/$M$88</f>
        <v>3.4952666666666667E-2</v>
      </c>
      <c r="O88" s="89">
        <f t="shared" ref="O88:Y88" si="48">O89/$M$88</f>
        <v>6.4259999999999998E-2</v>
      </c>
      <c r="P88" s="89">
        <f t="shared" si="48"/>
        <v>0.11447719999999999</v>
      </c>
      <c r="Q88" s="89">
        <f t="shared" si="48"/>
        <v>0.13838</v>
      </c>
      <c r="R88" s="89">
        <f t="shared" si="48"/>
        <v>0.14931286666666668</v>
      </c>
      <c r="S88" s="89">
        <f t="shared" si="48"/>
        <v>0.19705780000000001</v>
      </c>
      <c r="T88" s="89">
        <f t="shared" si="48"/>
        <v>0.24706299999999998</v>
      </c>
      <c r="U88" s="89">
        <f t="shared" si="48"/>
        <v>0.27094986666666665</v>
      </c>
      <c r="V88" s="89">
        <f t="shared" si="48"/>
        <v>0.31390060000000003</v>
      </c>
      <c r="W88" s="89">
        <f t="shared" si="48"/>
        <v>0.33661553333333333</v>
      </c>
      <c r="X88" s="89">
        <f t="shared" si="48"/>
        <v>0.3535452</v>
      </c>
      <c r="Y88" s="89">
        <f t="shared" si="48"/>
        <v>0</v>
      </c>
    </row>
    <row r="89" spans="1:79" s="22" customFormat="1" ht="13.5" thickBot="1" x14ac:dyDescent="0.25">
      <c r="A89" s="163"/>
      <c r="B89" s="164"/>
      <c r="C89" s="164"/>
      <c r="D89" s="165"/>
      <c r="E89" s="56" t="s">
        <v>6</v>
      </c>
      <c r="F89" s="46">
        <v>144</v>
      </c>
      <c r="G89" s="46">
        <v>171</v>
      </c>
      <c r="H89" s="46">
        <v>314.4101</v>
      </c>
      <c r="I89" s="46">
        <v>251</v>
      </c>
      <c r="J89" s="46">
        <v>316.20666999999997</v>
      </c>
      <c r="K89" s="46">
        <v>307</v>
      </c>
      <c r="L89" s="100">
        <v>100.161</v>
      </c>
      <c r="M89" s="100"/>
      <c r="N89" s="93">
        <v>5.2428999999999997</v>
      </c>
      <c r="O89" s="93">
        <v>9.6389999999999993</v>
      </c>
      <c r="P89" s="93">
        <v>17.171579999999999</v>
      </c>
      <c r="Q89" s="93">
        <v>20.757000000000001</v>
      </c>
      <c r="R89" s="93">
        <v>22.396930000000001</v>
      </c>
      <c r="S89" s="93">
        <v>29.558669999999999</v>
      </c>
      <c r="T89" s="93">
        <v>37.059449999999998</v>
      </c>
      <c r="U89" s="93">
        <v>40.642479999999999</v>
      </c>
      <c r="V89" s="93">
        <v>47.085090000000001</v>
      </c>
      <c r="W89" s="93">
        <v>50.492330000000003</v>
      </c>
      <c r="X89" s="93">
        <v>53.031779999999998</v>
      </c>
      <c r="Y89" s="93"/>
    </row>
    <row r="90" spans="1:79" s="8" customFormat="1" x14ac:dyDescent="0.2">
      <c r="A90" s="157" t="s">
        <v>63</v>
      </c>
      <c r="B90" s="158"/>
      <c r="C90" s="158"/>
      <c r="D90" s="159"/>
      <c r="E90" s="54" t="s">
        <v>7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101">
        <v>0</v>
      </c>
      <c r="M90" s="101">
        <v>38500</v>
      </c>
      <c r="N90" s="89">
        <f>N91/$M$90</f>
        <v>8.7328251948051952E-2</v>
      </c>
      <c r="O90" s="89">
        <f t="shared" ref="O90:Y90" si="49">O91/$M$90</f>
        <v>0.16861613818181817</v>
      </c>
      <c r="P90" s="89">
        <f t="shared" si="49"/>
        <v>0.24636386623376624</v>
      </c>
      <c r="Q90" s="89">
        <f t="shared" si="49"/>
        <v>0.31781846753246756</v>
      </c>
      <c r="R90" s="89">
        <f t="shared" si="49"/>
        <v>0.39720592285714285</v>
      </c>
      <c r="S90" s="89">
        <f t="shared" si="49"/>
        <v>0.49344508961038963</v>
      </c>
      <c r="T90" s="89">
        <f t="shared" si="49"/>
        <v>0.58308937688311679</v>
      </c>
      <c r="U90" s="89">
        <f t="shared" si="49"/>
        <v>0.66873805948051945</v>
      </c>
      <c r="V90" s="89">
        <f t="shared" si="49"/>
        <v>0.76549616077922078</v>
      </c>
      <c r="W90" s="89">
        <f t="shared" si="49"/>
        <v>0.86119891116883118</v>
      </c>
      <c r="X90" s="89">
        <f t="shared" si="49"/>
        <v>0.94908431532467541</v>
      </c>
      <c r="Y90" s="89">
        <f t="shared" si="49"/>
        <v>0</v>
      </c>
    </row>
    <row r="91" spans="1:79" s="22" customFormat="1" ht="13.5" thickBot="1" x14ac:dyDescent="0.25">
      <c r="A91" s="163"/>
      <c r="B91" s="164"/>
      <c r="C91" s="164"/>
      <c r="D91" s="165"/>
      <c r="E91" s="56" t="s">
        <v>6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100">
        <v>22003.819</v>
      </c>
      <c r="M91" s="100"/>
      <c r="N91" s="93">
        <v>3362.1377000000002</v>
      </c>
      <c r="O91" s="93">
        <v>6491.7213199999997</v>
      </c>
      <c r="P91" s="93">
        <v>9485.0088500000002</v>
      </c>
      <c r="Q91" s="93">
        <v>12236.011</v>
      </c>
      <c r="R91" s="93">
        <v>15292.428029999999</v>
      </c>
      <c r="S91" s="93">
        <v>18997.63595</v>
      </c>
      <c r="T91" s="93">
        <v>22448.941009999999</v>
      </c>
      <c r="U91" s="93">
        <v>25746.415290000001</v>
      </c>
      <c r="V91" s="93">
        <v>29471.602190000001</v>
      </c>
      <c r="W91" s="93">
        <v>33156.158080000001</v>
      </c>
      <c r="X91" s="93">
        <v>36539.746140000003</v>
      </c>
      <c r="Y91" s="93"/>
    </row>
    <row r="92" spans="1:79" s="22" customFormat="1" x14ac:dyDescent="0.2">
      <c r="A92" s="149" t="s">
        <v>47</v>
      </c>
      <c r="B92" s="150"/>
      <c r="C92" s="150"/>
      <c r="D92" s="155"/>
      <c r="E92" s="25" t="s">
        <v>7</v>
      </c>
      <c r="F92" s="38">
        <f>F84+F88+F90</f>
        <v>1700</v>
      </c>
      <c r="G92" s="38">
        <f t="shared" ref="G92:M92" si="50">G84+G88+G90</f>
        <v>1650</v>
      </c>
      <c r="H92" s="38">
        <f t="shared" si="50"/>
        <v>1600</v>
      </c>
      <c r="I92" s="38">
        <f t="shared" si="50"/>
        <v>1550</v>
      </c>
      <c r="J92" s="38">
        <f t="shared" si="50"/>
        <v>1500</v>
      </c>
      <c r="K92" s="38">
        <f t="shared" si="50"/>
        <v>1550</v>
      </c>
      <c r="L92" s="38">
        <f t="shared" si="50"/>
        <v>1500</v>
      </c>
      <c r="M92" s="38">
        <f t="shared" si="50"/>
        <v>38650</v>
      </c>
      <c r="N92" s="80">
        <f>N93/$M$92</f>
        <v>8.7124983182406218E-2</v>
      </c>
      <c r="O92" s="80">
        <f t="shared" ref="O92:Y92" si="51">O93/$M$92</f>
        <v>0.16821113376455368</v>
      </c>
      <c r="P92" s="80">
        <f t="shared" si="51"/>
        <v>0.24585201630012937</v>
      </c>
      <c r="Q92" s="80">
        <f t="shared" si="51"/>
        <v>0.31712206985769731</v>
      </c>
      <c r="R92" s="80">
        <f t="shared" si="51"/>
        <v>0.39624385407503232</v>
      </c>
      <c r="S92" s="80">
        <f t="shared" si="51"/>
        <v>0.49229481552393267</v>
      </c>
      <c r="T92" s="80">
        <f t="shared" si="51"/>
        <v>0.58178526416558862</v>
      </c>
      <c r="U92" s="80">
        <f t="shared" si="51"/>
        <v>0.6671942501940491</v>
      </c>
      <c r="V92" s="80">
        <f t="shared" si="51"/>
        <v>0.76374352600258733</v>
      </c>
      <c r="W92" s="80">
        <f t="shared" si="51"/>
        <v>0.85916301190168176</v>
      </c>
      <c r="X92" s="80">
        <f t="shared" si="51"/>
        <v>0.94677303803363522</v>
      </c>
      <c r="Y92" s="80">
        <f t="shared" si="51"/>
        <v>0</v>
      </c>
    </row>
    <row r="93" spans="1:79" s="22" customFormat="1" ht="13.5" thickBot="1" x14ac:dyDescent="0.25">
      <c r="A93" s="121"/>
      <c r="B93" s="122"/>
      <c r="C93" s="122"/>
      <c r="D93" s="156"/>
      <c r="E93" s="40" t="s">
        <v>6</v>
      </c>
      <c r="F93" s="39">
        <f>F85+F89+F91</f>
        <v>1524</v>
      </c>
      <c r="G93" s="39">
        <f t="shared" ref="G93:M93" si="52">G85+G89+G91</f>
        <v>1340</v>
      </c>
      <c r="H93" s="39">
        <f t="shared" si="52"/>
        <v>1453.7416000000001</v>
      </c>
      <c r="I93" s="39">
        <f t="shared" si="52"/>
        <v>1453</v>
      </c>
      <c r="J93" s="39">
        <f t="shared" si="52"/>
        <v>1494.6256700000001</v>
      </c>
      <c r="K93" s="39">
        <f t="shared" si="52"/>
        <v>1497</v>
      </c>
      <c r="L93" s="39">
        <f t="shared" si="52"/>
        <v>22400.053</v>
      </c>
      <c r="M93" s="39">
        <f t="shared" si="52"/>
        <v>0</v>
      </c>
      <c r="N93" s="35">
        <f>N85+N89+N91</f>
        <v>3367.3806000000004</v>
      </c>
      <c r="O93" s="35">
        <f t="shared" ref="O93:Y93" si="53">O85+O89+O91</f>
        <v>6501.3603199999998</v>
      </c>
      <c r="P93" s="35">
        <f t="shared" si="53"/>
        <v>9502.1804300000003</v>
      </c>
      <c r="Q93" s="35">
        <f>Q85+Q89+Q91</f>
        <v>12256.768</v>
      </c>
      <c r="R93" s="35">
        <f t="shared" si="53"/>
        <v>15314.82496</v>
      </c>
      <c r="S93" s="35">
        <f t="shared" si="53"/>
        <v>19027.194619999998</v>
      </c>
      <c r="T93" s="35">
        <f t="shared" si="53"/>
        <v>22486.000459999999</v>
      </c>
      <c r="U93" s="35">
        <f t="shared" si="53"/>
        <v>25787.057769999999</v>
      </c>
      <c r="V93" s="35">
        <f t="shared" si="53"/>
        <v>29518.687280000002</v>
      </c>
      <c r="W93" s="35">
        <f t="shared" si="53"/>
        <v>33206.650410000002</v>
      </c>
      <c r="X93" s="35">
        <f t="shared" si="53"/>
        <v>36592.77792</v>
      </c>
      <c r="Y93" s="35">
        <f t="shared" si="53"/>
        <v>0</v>
      </c>
    </row>
    <row r="94" spans="1:79" s="1" customFormat="1" ht="13.5" thickBot="1" x14ac:dyDescent="0.25">
      <c r="B94" s="48"/>
      <c r="F94" s="65"/>
      <c r="G94" s="65"/>
      <c r="H94" s="65"/>
      <c r="I94" s="65"/>
      <c r="J94" s="65"/>
      <c r="K94" s="65"/>
      <c r="L94" s="65"/>
      <c r="M94" s="6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</row>
    <row r="95" spans="1:79" s="12" customFormat="1" x14ac:dyDescent="0.2">
      <c r="A95" s="166" t="s">
        <v>48</v>
      </c>
      <c r="B95" s="167"/>
      <c r="C95" s="167"/>
      <c r="D95" s="168"/>
      <c r="E95" s="23" t="s">
        <v>7</v>
      </c>
      <c r="F95" s="37">
        <f>F6+F27+F70+F81+F92</f>
        <v>100104</v>
      </c>
      <c r="G95" s="37">
        <f t="shared" ref="G95:M95" si="54">G6+G27+G70+G81+G92</f>
        <v>120275</v>
      </c>
      <c r="H95" s="37">
        <f t="shared" si="54"/>
        <v>114060</v>
      </c>
      <c r="I95" s="37">
        <f t="shared" si="54"/>
        <v>112829</v>
      </c>
      <c r="J95" s="37">
        <f t="shared" si="54"/>
        <v>118833</v>
      </c>
      <c r="K95" s="37">
        <f t="shared" si="54"/>
        <v>150356</v>
      </c>
      <c r="L95" s="37">
        <f t="shared" si="54"/>
        <v>133098</v>
      </c>
      <c r="M95" s="37">
        <f t="shared" si="54"/>
        <v>181009.70600000001</v>
      </c>
      <c r="N95" s="94">
        <f>N96/$M$95</f>
        <v>7.9065614415173943E-2</v>
      </c>
      <c r="O95" s="94">
        <f t="shared" ref="O95:Y95" si="55">O96/$M$95</f>
        <v>0.15245969771366844</v>
      </c>
      <c r="P95" s="94">
        <f t="shared" si="55"/>
        <v>0.22944920826510817</v>
      </c>
      <c r="Q95" s="94">
        <f t="shared" si="55"/>
        <v>0.29845568060311639</v>
      </c>
      <c r="R95" s="94">
        <f t="shared" si="55"/>
        <v>0.37177604039641937</v>
      </c>
      <c r="S95" s="94">
        <f t="shared" si="55"/>
        <v>0.46029887319965035</v>
      </c>
      <c r="T95" s="94">
        <f t="shared" si="55"/>
        <v>0.54963534452677354</v>
      </c>
      <c r="U95" s="94">
        <f t="shared" si="55"/>
        <v>0.64055216978254192</v>
      </c>
      <c r="V95" s="94">
        <f t="shared" si="55"/>
        <v>0.73464411814469233</v>
      </c>
      <c r="W95" s="94">
        <f t="shared" si="55"/>
        <v>0.86060813390857616</v>
      </c>
      <c r="X95" s="94">
        <f t="shared" si="55"/>
        <v>0.97045718813553561</v>
      </c>
      <c r="Y95" s="94">
        <f t="shared" si="55"/>
        <v>0</v>
      </c>
    </row>
    <row r="96" spans="1:79" s="57" customFormat="1" ht="13.5" thickBot="1" x14ac:dyDescent="0.25">
      <c r="A96" s="169"/>
      <c r="B96" s="170"/>
      <c r="C96" s="170"/>
      <c r="D96" s="171"/>
      <c r="E96" s="59" t="s">
        <v>6</v>
      </c>
      <c r="F96" s="58">
        <f>F7+F28+F71+F82+F93</f>
        <v>103648</v>
      </c>
      <c r="G96" s="58">
        <f t="shared" ref="G96:M96" si="56">G7+G28+G71+G82+G93</f>
        <v>114478</v>
      </c>
      <c r="H96" s="58">
        <f t="shared" si="56"/>
        <v>112197.38159999998</v>
      </c>
      <c r="I96" s="58">
        <f t="shared" si="56"/>
        <v>113485.387</v>
      </c>
      <c r="J96" s="58">
        <f t="shared" si="56"/>
        <v>120422.12733</v>
      </c>
      <c r="K96" s="58">
        <f t="shared" si="56"/>
        <v>131890.34599999999</v>
      </c>
      <c r="L96" s="58">
        <f t="shared" si="56"/>
        <v>149419.72399999999</v>
      </c>
      <c r="M96" s="58">
        <f t="shared" si="56"/>
        <v>0</v>
      </c>
      <c r="N96" s="95">
        <f>N7+N28+N71+N82+N93</f>
        <v>14311.643619999999</v>
      </c>
      <c r="O96" s="95">
        <f t="shared" ref="O96:Y96" si="57">O7+O28+O71+O82+O93</f>
        <v>27596.685059999996</v>
      </c>
      <c r="P96" s="95">
        <f t="shared" si="57"/>
        <v>41532.533730000003</v>
      </c>
      <c r="Q96" s="95">
        <f>Q7+Q28+Q71+Q82+Q93</f>
        <v>54023.375</v>
      </c>
      <c r="R96" s="95">
        <f t="shared" si="57"/>
        <v>67295.071769999995</v>
      </c>
      <c r="S96" s="95">
        <f t="shared" si="57"/>
        <v>83318.563709999988</v>
      </c>
      <c r="T96" s="95">
        <f t="shared" si="57"/>
        <v>99489.332119999992</v>
      </c>
      <c r="U96" s="95">
        <f t="shared" si="57"/>
        <v>115946.15992999999</v>
      </c>
      <c r="V96" s="95">
        <f t="shared" si="57"/>
        <v>132977.71584000002</v>
      </c>
      <c r="W96" s="95">
        <f t="shared" si="57"/>
        <v>155778.4253</v>
      </c>
      <c r="X96" s="95">
        <f t="shared" si="57"/>
        <v>175662.17030999999</v>
      </c>
      <c r="Y96" s="95">
        <f t="shared" si="57"/>
        <v>0</v>
      </c>
    </row>
    <row r="97" spans="1:79" x14ac:dyDescent="0.2"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</row>
    <row r="98" spans="1:79" x14ac:dyDescent="0.2">
      <c r="A98" s="9"/>
      <c r="B98" s="9"/>
      <c r="C98" s="9"/>
      <c r="D98" s="9"/>
      <c r="E98" s="8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</row>
    <row r="99" spans="1:79" x14ac:dyDescent="0.2">
      <c r="A99" s="9"/>
      <c r="B99" s="8"/>
      <c r="C99" s="8"/>
      <c r="D99" s="8"/>
      <c r="E99" s="8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</row>
    <row r="100" spans="1:79" x14ac:dyDescent="0.2">
      <c r="A100" s="8"/>
      <c r="B100" s="8"/>
      <c r="C100" s="8"/>
      <c r="D100" s="8"/>
      <c r="E100" s="8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</row>
    <row r="101" spans="1:79" x14ac:dyDescent="0.2">
      <c r="A101" s="8"/>
      <c r="B101" s="8"/>
      <c r="C101" s="8"/>
      <c r="D101" s="8"/>
      <c r="E101" s="8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</row>
    <row r="102" spans="1:79" x14ac:dyDescent="0.2"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</row>
    <row r="103" spans="1:79" x14ac:dyDescent="0.2"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</row>
  </sheetData>
  <mergeCells count="44">
    <mergeCell ref="A81:D82"/>
    <mergeCell ref="A84:D85"/>
    <mergeCell ref="A88:D89"/>
    <mergeCell ref="A90:D91"/>
    <mergeCell ref="A95:D96"/>
    <mergeCell ref="A92:D93"/>
    <mergeCell ref="A75:D76"/>
    <mergeCell ref="A56:D57"/>
    <mergeCell ref="A70:D71"/>
    <mergeCell ref="A73:D74"/>
    <mergeCell ref="A79:D80"/>
    <mergeCell ref="A77:D78"/>
    <mergeCell ref="A68:D69"/>
    <mergeCell ref="A66:D67"/>
    <mergeCell ref="A58:D59"/>
    <mergeCell ref="A62:D63"/>
    <mergeCell ref="A64:D65"/>
    <mergeCell ref="A52:D53"/>
    <mergeCell ref="A42:D43"/>
    <mergeCell ref="A44:D45"/>
    <mergeCell ref="A46:D47"/>
    <mergeCell ref="A48:D49"/>
    <mergeCell ref="A50:D51"/>
    <mergeCell ref="A54:D55"/>
    <mergeCell ref="A40:D41"/>
    <mergeCell ref="A25:D26"/>
    <mergeCell ref="A27:D28"/>
    <mergeCell ref="A2:D3"/>
    <mergeCell ref="A13:D14"/>
    <mergeCell ref="A15:D16"/>
    <mergeCell ref="A23:D24"/>
    <mergeCell ref="A17:D18"/>
    <mergeCell ref="A19:D20"/>
    <mergeCell ref="A21:D22"/>
    <mergeCell ref="A30:D31"/>
    <mergeCell ref="A38:D39"/>
    <mergeCell ref="A32:D33"/>
    <mergeCell ref="A34:D35"/>
    <mergeCell ref="A36:D37"/>
    <mergeCell ref="A1:D1"/>
    <mergeCell ref="A4:D5"/>
    <mergeCell ref="A6:D7"/>
    <mergeCell ref="A9:D10"/>
    <mergeCell ref="A11:D12"/>
  </mergeCells>
  <phoneticPr fontId="11" type="noConversion"/>
  <pageMargins left="0.70866141732283472" right="0.70866141732283472" top="0.78740157480314965" bottom="0.78740157480314965" header="0.31496062992125984" footer="0.31496062992125984"/>
  <pageSetup paperSize="8" scale="6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Hospodaření 2020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Uživatel systému Windows</cp:lastModifiedBy>
  <cp:lastPrinted>2020-04-16T09:16:26Z</cp:lastPrinted>
  <dcterms:created xsi:type="dcterms:W3CDTF">2006-11-02T10:16:44Z</dcterms:created>
  <dcterms:modified xsi:type="dcterms:W3CDTF">2020-12-17T09:04:29Z</dcterms:modified>
</cp:coreProperties>
</file>