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abulky\2021\"/>
    </mc:Choice>
  </mc:AlternateContent>
  <xr:revisionPtr revIDLastSave="0" documentId="13_ncr:1_{5BDC273D-D01A-430B-B228-A92B7C7CB0D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Hospodaření 2021" sheetId="5" r:id="rId1"/>
  </sheets>
  <calcPr calcId="191029"/>
</workbook>
</file>

<file path=xl/calcChain.xml><?xml version="1.0" encoding="utf-8"?>
<calcChain xmlns="http://schemas.openxmlformats.org/spreadsheetml/2006/main">
  <c r="X51" i="5" l="1"/>
  <c r="X37" i="5"/>
  <c r="W51" i="5" l="1"/>
  <c r="W37" i="5"/>
  <c r="V51" i="5" l="1"/>
  <c r="V37" i="5"/>
  <c r="U51" i="5" l="1"/>
  <c r="U65" i="5" s="1"/>
  <c r="U37" i="5"/>
  <c r="P65" i="5"/>
  <c r="Q65" i="5"/>
  <c r="R65" i="5"/>
  <c r="S65" i="5"/>
  <c r="T65" i="5"/>
  <c r="V65" i="5"/>
  <c r="W65" i="5"/>
  <c r="X65" i="5"/>
  <c r="Y65" i="5"/>
  <c r="Z65" i="5"/>
  <c r="O65" i="5"/>
  <c r="K65" i="5"/>
  <c r="L65" i="5"/>
  <c r="M65" i="5"/>
  <c r="N65" i="5"/>
  <c r="K64" i="5"/>
  <c r="L64" i="5"/>
  <c r="M64" i="5"/>
  <c r="N64" i="5"/>
  <c r="J65" i="5"/>
  <c r="J64" i="5"/>
  <c r="T51" i="5" l="1"/>
  <c r="T37" i="5"/>
  <c r="S51" i="5" l="1"/>
  <c r="S37" i="5"/>
  <c r="R51" i="5" l="1"/>
  <c r="R37" i="5"/>
  <c r="Q51" i="5"/>
  <c r="Q37" i="5"/>
  <c r="P51" i="5"/>
  <c r="P37" i="5"/>
  <c r="O51" i="5" l="1"/>
  <c r="O37" i="5"/>
  <c r="N87" i="5" l="1"/>
  <c r="N86" i="5"/>
  <c r="N76" i="5"/>
  <c r="N75" i="5"/>
  <c r="P38" i="5"/>
  <c r="Q38" i="5"/>
  <c r="R38" i="5"/>
  <c r="S38" i="5"/>
  <c r="T38" i="5"/>
  <c r="U38" i="5"/>
  <c r="V38" i="5"/>
  <c r="W38" i="5"/>
  <c r="X38" i="5"/>
  <c r="Y38" i="5"/>
  <c r="Z38" i="5"/>
  <c r="O38" i="5"/>
  <c r="N28" i="5" l="1"/>
  <c r="N90" i="5" s="1"/>
  <c r="N27" i="5"/>
  <c r="N6" i="5"/>
  <c r="N89" i="5" l="1"/>
  <c r="P84" i="5"/>
  <c r="Q84" i="5"/>
  <c r="R84" i="5"/>
  <c r="S84" i="5"/>
  <c r="T84" i="5"/>
  <c r="U84" i="5"/>
  <c r="V84" i="5"/>
  <c r="W84" i="5"/>
  <c r="X84" i="5"/>
  <c r="Y84" i="5"/>
  <c r="Z84" i="5"/>
  <c r="O84" i="5"/>
  <c r="P82" i="5"/>
  <c r="Q82" i="5"/>
  <c r="R82" i="5"/>
  <c r="S82" i="5"/>
  <c r="T82" i="5"/>
  <c r="U82" i="5"/>
  <c r="V82" i="5"/>
  <c r="W82" i="5"/>
  <c r="X82" i="5"/>
  <c r="Y82" i="5"/>
  <c r="Z82" i="5"/>
  <c r="O82" i="5"/>
  <c r="P73" i="5"/>
  <c r="Q73" i="5"/>
  <c r="R73" i="5"/>
  <c r="S73" i="5"/>
  <c r="T73" i="5"/>
  <c r="U73" i="5"/>
  <c r="V73" i="5"/>
  <c r="W73" i="5"/>
  <c r="X73" i="5"/>
  <c r="Y73" i="5"/>
  <c r="Z73" i="5"/>
  <c r="O73" i="5"/>
  <c r="P69" i="5"/>
  <c r="Q69" i="5"/>
  <c r="R69" i="5"/>
  <c r="S69" i="5"/>
  <c r="T69" i="5"/>
  <c r="U69" i="5"/>
  <c r="V69" i="5"/>
  <c r="W69" i="5"/>
  <c r="X69" i="5"/>
  <c r="Y69" i="5"/>
  <c r="Z69" i="5"/>
  <c r="O69" i="5"/>
  <c r="P67" i="5"/>
  <c r="Q67" i="5"/>
  <c r="R67" i="5"/>
  <c r="S67" i="5"/>
  <c r="T67" i="5"/>
  <c r="U67" i="5"/>
  <c r="V67" i="5"/>
  <c r="W67" i="5"/>
  <c r="X67" i="5"/>
  <c r="Y67" i="5"/>
  <c r="Z67" i="5"/>
  <c r="O67" i="5"/>
  <c r="P62" i="5"/>
  <c r="Q62" i="5"/>
  <c r="R62" i="5"/>
  <c r="S62" i="5"/>
  <c r="T62" i="5"/>
  <c r="U62" i="5"/>
  <c r="V62" i="5"/>
  <c r="W62" i="5"/>
  <c r="X62" i="5"/>
  <c r="Y62" i="5"/>
  <c r="Z62" i="5"/>
  <c r="O62" i="5"/>
  <c r="P60" i="5"/>
  <c r="Q60" i="5"/>
  <c r="R60" i="5"/>
  <c r="S60" i="5"/>
  <c r="T60" i="5"/>
  <c r="U60" i="5"/>
  <c r="V60" i="5"/>
  <c r="W60" i="5"/>
  <c r="X60" i="5"/>
  <c r="Y60" i="5"/>
  <c r="Z60" i="5"/>
  <c r="O60" i="5"/>
  <c r="P58" i="5"/>
  <c r="Q58" i="5"/>
  <c r="R58" i="5"/>
  <c r="S58" i="5"/>
  <c r="T58" i="5"/>
  <c r="U58" i="5"/>
  <c r="V58" i="5"/>
  <c r="W58" i="5"/>
  <c r="X58" i="5"/>
  <c r="Y58" i="5"/>
  <c r="Z58" i="5"/>
  <c r="O58" i="5"/>
  <c r="P56" i="5" l="1"/>
  <c r="Q56" i="5"/>
  <c r="R56" i="5"/>
  <c r="S56" i="5"/>
  <c r="T56" i="5"/>
  <c r="U56" i="5"/>
  <c r="V56" i="5"/>
  <c r="W56" i="5"/>
  <c r="X56" i="5"/>
  <c r="Y56" i="5"/>
  <c r="Z56" i="5"/>
  <c r="O56" i="5"/>
  <c r="P52" i="5"/>
  <c r="Q52" i="5"/>
  <c r="R52" i="5"/>
  <c r="S52" i="5"/>
  <c r="T52" i="5"/>
  <c r="U52" i="5"/>
  <c r="V52" i="5"/>
  <c r="W52" i="5"/>
  <c r="X52" i="5"/>
  <c r="Y52" i="5"/>
  <c r="Z52" i="5"/>
  <c r="O52" i="5"/>
  <c r="P50" i="5"/>
  <c r="Q50" i="5"/>
  <c r="R50" i="5"/>
  <c r="S50" i="5"/>
  <c r="T50" i="5"/>
  <c r="U50" i="5"/>
  <c r="V50" i="5"/>
  <c r="W50" i="5"/>
  <c r="X50" i="5"/>
  <c r="Y50" i="5"/>
  <c r="Z50" i="5"/>
  <c r="O50" i="5"/>
  <c r="P46" i="5" l="1"/>
  <c r="Q46" i="5"/>
  <c r="R46" i="5"/>
  <c r="S46" i="5"/>
  <c r="T46" i="5"/>
  <c r="U46" i="5"/>
  <c r="V46" i="5"/>
  <c r="W46" i="5"/>
  <c r="X46" i="5"/>
  <c r="Y46" i="5"/>
  <c r="Z46" i="5"/>
  <c r="O46" i="5"/>
  <c r="P44" i="5"/>
  <c r="Q44" i="5"/>
  <c r="R44" i="5"/>
  <c r="S44" i="5"/>
  <c r="T44" i="5"/>
  <c r="U44" i="5"/>
  <c r="V44" i="5"/>
  <c r="W44" i="5"/>
  <c r="X44" i="5"/>
  <c r="Y44" i="5"/>
  <c r="Z44" i="5"/>
  <c r="O44" i="5"/>
  <c r="P42" i="5"/>
  <c r="Q42" i="5"/>
  <c r="R42" i="5"/>
  <c r="S42" i="5"/>
  <c r="T42" i="5"/>
  <c r="U42" i="5"/>
  <c r="V42" i="5"/>
  <c r="W42" i="5"/>
  <c r="X42" i="5"/>
  <c r="Y42" i="5"/>
  <c r="Z42" i="5"/>
  <c r="O42" i="5"/>
  <c r="P36" i="5"/>
  <c r="Q36" i="5"/>
  <c r="R36" i="5"/>
  <c r="S36" i="5"/>
  <c r="T36" i="5"/>
  <c r="U36" i="5"/>
  <c r="V36" i="5"/>
  <c r="W36" i="5"/>
  <c r="X36" i="5"/>
  <c r="Y36" i="5"/>
  <c r="Z36" i="5"/>
  <c r="O36" i="5"/>
  <c r="P34" i="5"/>
  <c r="Q34" i="5"/>
  <c r="R34" i="5"/>
  <c r="S34" i="5"/>
  <c r="T34" i="5"/>
  <c r="U34" i="5"/>
  <c r="V34" i="5"/>
  <c r="W34" i="5"/>
  <c r="X34" i="5"/>
  <c r="Y34" i="5"/>
  <c r="Z34" i="5"/>
  <c r="O34" i="5"/>
  <c r="P32" i="5"/>
  <c r="Q32" i="5"/>
  <c r="R32" i="5"/>
  <c r="S32" i="5"/>
  <c r="T32" i="5"/>
  <c r="U32" i="5"/>
  <c r="V32" i="5"/>
  <c r="W32" i="5"/>
  <c r="X32" i="5"/>
  <c r="Y32" i="5"/>
  <c r="Z32" i="5"/>
  <c r="O32" i="5"/>
  <c r="P30" i="5"/>
  <c r="Q30" i="5"/>
  <c r="R30" i="5"/>
  <c r="S30" i="5"/>
  <c r="T30" i="5"/>
  <c r="U30" i="5"/>
  <c r="V30" i="5"/>
  <c r="W30" i="5"/>
  <c r="X30" i="5"/>
  <c r="Y30" i="5"/>
  <c r="Z30" i="5"/>
  <c r="O30" i="5"/>
  <c r="P25" i="5"/>
  <c r="Q25" i="5"/>
  <c r="R25" i="5"/>
  <c r="S25" i="5"/>
  <c r="T25" i="5"/>
  <c r="U25" i="5"/>
  <c r="V25" i="5"/>
  <c r="W25" i="5"/>
  <c r="X25" i="5"/>
  <c r="Y25" i="5"/>
  <c r="Z25" i="5"/>
  <c r="O25" i="5"/>
  <c r="P23" i="5"/>
  <c r="Q23" i="5"/>
  <c r="R23" i="5"/>
  <c r="S23" i="5"/>
  <c r="T23" i="5"/>
  <c r="U23" i="5"/>
  <c r="V23" i="5"/>
  <c r="W23" i="5"/>
  <c r="X23" i="5"/>
  <c r="Y23" i="5"/>
  <c r="Z23" i="5"/>
  <c r="O23" i="5"/>
  <c r="P21" i="5"/>
  <c r="Q21" i="5"/>
  <c r="R21" i="5"/>
  <c r="S21" i="5"/>
  <c r="T21" i="5"/>
  <c r="U21" i="5"/>
  <c r="V21" i="5"/>
  <c r="W21" i="5"/>
  <c r="X21" i="5"/>
  <c r="Y21" i="5"/>
  <c r="Z21" i="5"/>
  <c r="O21" i="5"/>
  <c r="P19" i="5"/>
  <c r="Q19" i="5"/>
  <c r="R19" i="5"/>
  <c r="S19" i="5"/>
  <c r="T19" i="5"/>
  <c r="U19" i="5"/>
  <c r="V19" i="5"/>
  <c r="W19" i="5"/>
  <c r="X19" i="5"/>
  <c r="Y19" i="5"/>
  <c r="Z19" i="5"/>
  <c r="O19" i="5"/>
  <c r="P17" i="5"/>
  <c r="Q17" i="5"/>
  <c r="R17" i="5"/>
  <c r="S17" i="5"/>
  <c r="T17" i="5"/>
  <c r="U17" i="5"/>
  <c r="V17" i="5"/>
  <c r="W17" i="5"/>
  <c r="X17" i="5"/>
  <c r="Y17" i="5"/>
  <c r="Z17" i="5"/>
  <c r="O17" i="5"/>
  <c r="P15" i="5" l="1"/>
  <c r="Q15" i="5"/>
  <c r="R15" i="5"/>
  <c r="S15" i="5"/>
  <c r="T15" i="5"/>
  <c r="U15" i="5"/>
  <c r="V15" i="5"/>
  <c r="W15" i="5"/>
  <c r="X15" i="5"/>
  <c r="Y15" i="5"/>
  <c r="Z15" i="5"/>
  <c r="O15" i="5"/>
  <c r="P11" i="5"/>
  <c r="Q11" i="5"/>
  <c r="R11" i="5"/>
  <c r="S11" i="5"/>
  <c r="T11" i="5"/>
  <c r="U11" i="5"/>
  <c r="V11" i="5"/>
  <c r="W11" i="5"/>
  <c r="X11" i="5"/>
  <c r="Y11" i="5"/>
  <c r="Z11" i="5"/>
  <c r="O11" i="5"/>
  <c r="P9" i="5"/>
  <c r="Q9" i="5"/>
  <c r="R9" i="5"/>
  <c r="S9" i="5"/>
  <c r="T9" i="5"/>
  <c r="U9" i="5"/>
  <c r="V9" i="5"/>
  <c r="W9" i="5"/>
  <c r="X9" i="5"/>
  <c r="Y9" i="5"/>
  <c r="Z9" i="5"/>
  <c r="O9" i="5"/>
  <c r="P4" i="5"/>
  <c r="Q4" i="5"/>
  <c r="R4" i="5"/>
  <c r="S4" i="5"/>
  <c r="T4" i="5"/>
  <c r="U4" i="5"/>
  <c r="V4" i="5"/>
  <c r="W4" i="5"/>
  <c r="X4" i="5"/>
  <c r="Y4" i="5"/>
  <c r="Z4" i="5"/>
  <c r="O4" i="5"/>
  <c r="P2" i="5"/>
  <c r="Q2" i="5"/>
  <c r="R2" i="5"/>
  <c r="S2" i="5"/>
  <c r="T2" i="5"/>
  <c r="U2" i="5"/>
  <c r="V2" i="5"/>
  <c r="W2" i="5"/>
  <c r="X2" i="5"/>
  <c r="Y2" i="5"/>
  <c r="Z2" i="5"/>
  <c r="O2" i="5"/>
  <c r="M28" i="5" l="1"/>
  <c r="R87" i="5" l="1"/>
  <c r="R86" i="5" s="1"/>
  <c r="R76" i="5"/>
  <c r="R75" i="5" s="1"/>
  <c r="R28" i="5"/>
  <c r="R27" i="5" s="1"/>
  <c r="R64" i="5" l="1"/>
  <c r="O78" i="5"/>
  <c r="P78" i="5" s="1"/>
  <c r="Q78" i="5" s="1"/>
  <c r="R78" i="5" s="1"/>
  <c r="S78" i="5" s="1"/>
  <c r="T78" i="5" s="1"/>
  <c r="U78" i="5" s="1"/>
  <c r="V78" i="5" s="1"/>
  <c r="W78" i="5" s="1"/>
  <c r="X78" i="5" s="1"/>
  <c r="Y78" i="5" s="1"/>
  <c r="Z78" i="5" s="1"/>
  <c r="P64" i="5" l="1"/>
  <c r="Q64" i="5"/>
  <c r="S64" i="5"/>
  <c r="T64" i="5"/>
  <c r="U64" i="5"/>
  <c r="V64" i="5"/>
  <c r="W64" i="5"/>
  <c r="X64" i="5"/>
  <c r="Y64" i="5"/>
  <c r="Z64" i="5"/>
  <c r="M50" i="5"/>
  <c r="M36" i="5" l="1"/>
  <c r="M87" i="5" l="1"/>
  <c r="M86" i="5"/>
  <c r="M76" i="5"/>
  <c r="M75" i="5"/>
  <c r="M27" i="5"/>
  <c r="M7" i="5"/>
  <c r="M6" i="5"/>
  <c r="M90" i="5" l="1"/>
  <c r="M89" i="5"/>
  <c r="L51" i="5" l="1"/>
  <c r="L37" i="5"/>
  <c r="P87" i="5" l="1"/>
  <c r="P86" i="5" s="1"/>
  <c r="Q87" i="5"/>
  <c r="Q86" i="5" s="1"/>
  <c r="S87" i="5"/>
  <c r="S86" i="5" s="1"/>
  <c r="T87" i="5"/>
  <c r="T86" i="5" s="1"/>
  <c r="U87" i="5"/>
  <c r="U86" i="5" s="1"/>
  <c r="V87" i="5"/>
  <c r="V86" i="5" s="1"/>
  <c r="W87" i="5"/>
  <c r="W86" i="5" s="1"/>
  <c r="X87" i="5"/>
  <c r="X86" i="5" s="1"/>
  <c r="Y87" i="5"/>
  <c r="Y86" i="5" s="1"/>
  <c r="Z87" i="5"/>
  <c r="Z86" i="5" s="1"/>
  <c r="O87" i="5"/>
  <c r="O86" i="5" s="1"/>
  <c r="G87" i="5"/>
  <c r="H87" i="5"/>
  <c r="I87" i="5"/>
  <c r="J87" i="5"/>
  <c r="K87" i="5"/>
  <c r="L87" i="5"/>
  <c r="F87" i="5"/>
  <c r="G86" i="5"/>
  <c r="H86" i="5"/>
  <c r="I86" i="5"/>
  <c r="J86" i="5"/>
  <c r="K86" i="5"/>
  <c r="L86" i="5"/>
  <c r="F86" i="5"/>
  <c r="L50" i="5" l="1"/>
  <c r="L36" i="5"/>
  <c r="L7" i="5"/>
  <c r="G75" i="5" l="1"/>
  <c r="H75" i="5"/>
  <c r="I75" i="5"/>
  <c r="J75" i="5"/>
  <c r="K75" i="5"/>
  <c r="L75" i="5"/>
  <c r="G76" i="5"/>
  <c r="H76" i="5"/>
  <c r="I76" i="5"/>
  <c r="J76" i="5"/>
  <c r="K76" i="5"/>
  <c r="L76" i="5"/>
  <c r="G64" i="5"/>
  <c r="I64" i="5"/>
  <c r="H65" i="5"/>
  <c r="I65" i="5"/>
  <c r="G27" i="5"/>
  <c r="H27" i="5"/>
  <c r="I27" i="5"/>
  <c r="J27" i="5"/>
  <c r="K27" i="5"/>
  <c r="L27" i="5"/>
  <c r="G28" i="5"/>
  <c r="H28" i="5"/>
  <c r="I28" i="5"/>
  <c r="J28" i="5"/>
  <c r="K28" i="5"/>
  <c r="L28" i="5"/>
  <c r="G6" i="5"/>
  <c r="H6" i="5"/>
  <c r="I6" i="5"/>
  <c r="J6" i="5"/>
  <c r="K6" i="5"/>
  <c r="L6" i="5"/>
  <c r="G7" i="5"/>
  <c r="H7" i="5"/>
  <c r="I7" i="5"/>
  <c r="J7" i="5"/>
  <c r="K7" i="5"/>
  <c r="I90" i="5" l="1"/>
  <c r="G89" i="5"/>
  <c r="K89" i="5"/>
  <c r="H90" i="5"/>
  <c r="L90" i="5"/>
  <c r="I89" i="5"/>
  <c r="J90" i="5"/>
  <c r="L89" i="5"/>
  <c r="J89" i="5"/>
  <c r="K90" i="5"/>
  <c r="P76" i="5"/>
  <c r="P75" i="5" s="1"/>
  <c r="Q76" i="5"/>
  <c r="Q75" i="5" s="1"/>
  <c r="S76" i="5"/>
  <c r="S75" i="5" s="1"/>
  <c r="T76" i="5"/>
  <c r="T75" i="5" s="1"/>
  <c r="U76" i="5"/>
  <c r="U75" i="5" s="1"/>
  <c r="V76" i="5"/>
  <c r="V75" i="5" s="1"/>
  <c r="W76" i="5"/>
  <c r="W75" i="5" s="1"/>
  <c r="X76" i="5"/>
  <c r="X75" i="5" s="1"/>
  <c r="Y76" i="5"/>
  <c r="Y75" i="5" s="1"/>
  <c r="Z76" i="5"/>
  <c r="Z75" i="5" s="1"/>
  <c r="O76" i="5"/>
  <c r="O75" i="5" s="1"/>
  <c r="F75" i="5"/>
  <c r="F76" i="5"/>
  <c r="F27" i="5"/>
  <c r="F28" i="5"/>
  <c r="P28" i="5"/>
  <c r="P27" i="5" s="1"/>
  <c r="Q28" i="5"/>
  <c r="Q27" i="5" s="1"/>
  <c r="S28" i="5"/>
  <c r="S27" i="5" s="1"/>
  <c r="T28" i="5"/>
  <c r="T27" i="5" s="1"/>
  <c r="U28" i="5"/>
  <c r="U27" i="5" s="1"/>
  <c r="V28" i="5"/>
  <c r="V27" i="5" s="1"/>
  <c r="W28" i="5"/>
  <c r="W27" i="5" s="1"/>
  <c r="X28" i="5"/>
  <c r="X27" i="5" s="1"/>
  <c r="Y28" i="5"/>
  <c r="Y27" i="5" s="1"/>
  <c r="Z28" i="5"/>
  <c r="Z27" i="5" s="1"/>
  <c r="O28" i="5"/>
  <c r="O27" i="5" s="1"/>
  <c r="G65" i="5" l="1"/>
  <c r="G90" i="5" s="1"/>
  <c r="F65" i="5"/>
  <c r="F64" i="5"/>
  <c r="F7" i="5"/>
  <c r="F6" i="5"/>
  <c r="X7" i="5"/>
  <c r="Y7" i="5"/>
  <c r="Z7" i="5"/>
  <c r="O64" i="5"/>
  <c r="Z80" i="5"/>
  <c r="Y80" i="5"/>
  <c r="X80" i="5"/>
  <c r="W80" i="5"/>
  <c r="V80" i="5"/>
  <c r="U80" i="5"/>
  <c r="T80" i="5"/>
  <c r="S80" i="5"/>
  <c r="R80" i="5"/>
  <c r="Q80" i="5"/>
  <c r="P80" i="5"/>
  <c r="O80" i="5"/>
  <c r="W7" i="5"/>
  <c r="V7" i="5"/>
  <c r="T7" i="5"/>
  <c r="S7" i="5"/>
  <c r="R7" i="5"/>
  <c r="R6" i="5" s="1"/>
  <c r="Q7" i="5"/>
  <c r="P7" i="5"/>
  <c r="O7" i="5"/>
  <c r="O6" i="5" s="1"/>
  <c r="Q54" i="5"/>
  <c r="S54" i="5"/>
  <c r="T54" i="5"/>
  <c r="U54" i="5"/>
  <c r="V54" i="5"/>
  <c r="W54" i="5"/>
  <c r="X54" i="5"/>
  <c r="Y54" i="5"/>
  <c r="Z54" i="5"/>
  <c r="R54" i="5"/>
  <c r="P54" i="5"/>
  <c r="O54" i="5"/>
  <c r="W90" i="5" l="1"/>
  <c r="W89" i="5" s="1"/>
  <c r="W6" i="5"/>
  <c r="U90" i="5"/>
  <c r="U89" i="5" s="1"/>
  <c r="U6" i="5"/>
  <c r="Z90" i="5"/>
  <c r="Z89" i="5" s="1"/>
  <c r="Z6" i="5"/>
  <c r="V90" i="5"/>
  <c r="V89" i="5" s="1"/>
  <c r="V6" i="5"/>
  <c r="Y90" i="5"/>
  <c r="Y89" i="5" s="1"/>
  <c r="Y6" i="5"/>
  <c r="X90" i="5"/>
  <c r="X89" i="5" s="1"/>
  <c r="X6" i="5"/>
  <c r="T90" i="5"/>
  <c r="T89" i="5" s="1"/>
  <c r="T6" i="5"/>
  <c r="S90" i="5"/>
  <c r="S89" i="5" s="1"/>
  <c r="S6" i="5"/>
  <c r="Q90" i="5"/>
  <c r="Q89" i="5" s="1"/>
  <c r="Q6" i="5"/>
  <c r="P90" i="5"/>
  <c r="P89" i="5" s="1"/>
  <c r="P6" i="5"/>
  <c r="R90" i="5"/>
  <c r="R89" i="5" s="1"/>
  <c r="F89" i="5"/>
  <c r="F90" i="5"/>
  <c r="O90" i="5"/>
  <c r="O89" i="5" s="1"/>
  <c r="H64" i="5"/>
  <c r="H89" i="5" s="1"/>
  <c r="O71" i="5"/>
  <c r="P71" i="5" s="1"/>
  <c r="Q71" i="5" s="1"/>
  <c r="R71" i="5" s="1"/>
  <c r="S71" i="5" s="1"/>
  <c r="T71" i="5" s="1"/>
  <c r="U71" i="5" s="1"/>
  <c r="V71" i="5" s="1"/>
  <c r="W71" i="5" s="1"/>
  <c r="X71" i="5" s="1"/>
  <c r="Y71" i="5" s="1"/>
  <c r="Z71" i="5" s="1"/>
</calcChain>
</file>

<file path=xl/sharedStrings.xml><?xml version="1.0" encoding="utf-8"?>
<sst xmlns="http://schemas.openxmlformats.org/spreadsheetml/2006/main" count="143" uniqueCount="61">
  <si>
    <t>účet</t>
  </si>
  <si>
    <t>501 17 002 drogistické zboží</t>
  </si>
  <si>
    <t>501 19 002 prádlo pacientů</t>
  </si>
  <si>
    <t>501 19 099 netkaný textil</t>
  </si>
  <si>
    <t>518 07 411 stravné dodavatelsky</t>
  </si>
  <si>
    <t>skut.</t>
  </si>
  <si>
    <t>pl.</t>
  </si>
  <si>
    <t>501 12 002 motorová nafta</t>
  </si>
  <si>
    <t>501 12 003 oleje a mazadla</t>
  </si>
  <si>
    <t>501 16 010 nápoje-horké provozy</t>
  </si>
  <si>
    <t>501 17 006 prášky pro prádelnu</t>
  </si>
  <si>
    <t>501 17 011 obaly pro sterilizaci</t>
  </si>
  <si>
    <t>501 18 007 ND-doprava</t>
  </si>
  <si>
    <t>501 19 077 prádlo OOPP</t>
  </si>
  <si>
    <t>501 19 090 OOP pacient+doprovod</t>
  </si>
  <si>
    <t>501 19 092 lůžkoviny</t>
  </si>
  <si>
    <t>511 02 027 opravy vozového parku</t>
  </si>
  <si>
    <t>538 01 006 dálniční známky</t>
  </si>
  <si>
    <t>549 11 003 pojištění vozidel</t>
  </si>
  <si>
    <t>I. 8,33</t>
  </si>
  <si>
    <t>II. 16,67</t>
  </si>
  <si>
    <t>III. 25</t>
  </si>
  <si>
    <t>IV. 33,33</t>
  </si>
  <si>
    <t>V. 41,66</t>
  </si>
  <si>
    <t>VI. 50</t>
  </si>
  <si>
    <t>VII. 58,31</t>
  </si>
  <si>
    <t>VIII. 66,64</t>
  </si>
  <si>
    <t>IX. 74,97</t>
  </si>
  <si>
    <t>X. 83,3</t>
  </si>
  <si>
    <t>XI. 91,63</t>
  </si>
  <si>
    <t>XII. 99,96</t>
  </si>
  <si>
    <t>501 19 003 DDHM zdr lék nást.,příst.</t>
  </si>
  <si>
    <t>599 02 000 údržba ZVIT</t>
  </si>
  <si>
    <t>CELKEM STRAV</t>
  </si>
  <si>
    <t>501 12 001 aut. benzín</t>
  </si>
  <si>
    <t>518 08 011 revize sml.servis doprava</t>
  </si>
  <si>
    <t>CELKEM DOPR</t>
  </si>
  <si>
    <t xml:space="preserve">501 17 004 tiskopisy a kanc.potřeby </t>
  </si>
  <si>
    <t>501 18 001 ND-ostatní (všeob.sklad)</t>
  </si>
  <si>
    <t>558 06 001 DDHM ostatní (do 40000,-)</t>
  </si>
  <si>
    <t>558 02 001 kuchyň.zařízení a nádobí</t>
  </si>
  <si>
    <t>CELKEM VSEOB</t>
  </si>
  <si>
    <t>518 06 001 MW-DIAS úklid</t>
  </si>
  <si>
    <t>CELKEM OSL</t>
  </si>
  <si>
    <t>501 17 007 údržb.mat. ost.sklady</t>
  </si>
  <si>
    <t>CELKEM PRAD</t>
  </si>
  <si>
    <t>CELKEM PRÚ</t>
  </si>
  <si>
    <t>558 02 002 DDHM ost.prov.technika</t>
  </si>
  <si>
    <t>558 02 003 kancel.technika</t>
  </si>
  <si>
    <t>558 05 002 nábytek</t>
  </si>
  <si>
    <t>1785</t>
  </si>
  <si>
    <t>501 19 100-102 jednoráz.pom.a mater.</t>
  </si>
  <si>
    <t>1821</t>
  </si>
  <si>
    <t>Všeobecný materiál</t>
  </si>
  <si>
    <t>518 74 002 služby (ostraha)</t>
  </si>
  <si>
    <t>518 06 003 úklid (ostatní)</t>
  </si>
  <si>
    <t>pl./skut.</t>
  </si>
  <si>
    <t>501 12 004 plyn (CNG)</t>
  </si>
  <si>
    <t>518 06 002 úklid - více práce</t>
  </si>
  <si>
    <t>501 17 020 - 025 všeobecný materiál</t>
  </si>
  <si>
    <t>518 06 007 praní prádla (RENATEX)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</si>
</sst>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Border="1"/>
    <xf numFmtId="17" fontId="3" fillId="0" borderId="0" xfId="0" applyNumberFormat="1" applyFont="1" applyBorder="1"/>
    <xf numFmtId="0" fontId="0" fillId="3" borderId="1" xfId="0" applyFill="1" applyBorder="1"/>
    <xf numFmtId="0" fontId="0" fillId="3" borderId="0" xfId="0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5" fillId="3" borderId="3" xfId="0" applyFont="1" applyFill="1" applyBorder="1"/>
    <xf numFmtId="0" fontId="0" fillId="0" borderId="0" xfId="0" applyFill="1" applyBorder="1"/>
    <xf numFmtId="0" fontId="5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0" fillId="0" borderId="0" xfId="0" applyFill="1"/>
    <xf numFmtId="0" fontId="8" fillId="0" borderId="0" xfId="0" applyNumberFormat="1" applyFont="1" applyFill="1" applyBorder="1"/>
    <xf numFmtId="0" fontId="0" fillId="3" borderId="2" xfId="0" applyFill="1" applyBorder="1"/>
    <xf numFmtId="0" fontId="0" fillId="3" borderId="10" xfId="0" applyFill="1" applyBorder="1"/>
    <xf numFmtId="0" fontId="5" fillId="8" borderId="1" xfId="0" applyFont="1" applyFill="1" applyBorder="1"/>
    <xf numFmtId="0" fontId="5" fillId="8" borderId="0" xfId="0" applyFont="1" applyFill="1" applyBorder="1"/>
    <xf numFmtId="0" fontId="5" fillId="8" borderId="10" xfId="0" applyFont="1" applyFill="1" applyBorder="1"/>
    <xf numFmtId="0" fontId="0" fillId="8" borderId="7" xfId="0" applyFill="1" applyBorder="1"/>
    <xf numFmtId="0" fontId="0" fillId="3" borderId="7" xfId="0" applyFill="1" applyBorder="1"/>
    <xf numFmtId="3" fontId="0" fillId="5" borderId="20" xfId="0" applyNumberFormat="1" applyFill="1" applyBorder="1"/>
    <xf numFmtId="3" fontId="0" fillId="0" borderId="0" xfId="0" applyNumberFormat="1" applyFill="1" applyBorder="1"/>
    <xf numFmtId="0" fontId="0" fillId="4" borderId="30" xfId="0" applyFill="1" applyBorder="1"/>
    <xf numFmtId="0" fontId="0" fillId="4" borderId="25" xfId="0" applyFill="1" applyBorder="1"/>
    <xf numFmtId="0" fontId="0" fillId="6" borderId="30" xfId="0" applyFill="1" applyBorder="1"/>
    <xf numFmtId="0" fontId="4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30" xfId="0" applyFill="1" applyBorder="1"/>
    <xf numFmtId="0" fontId="0" fillId="6" borderId="24" xfId="0" applyFill="1" applyBorder="1"/>
    <xf numFmtId="0" fontId="2" fillId="2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3" fontId="4" fillId="2" borderId="30" xfId="0" applyNumberFormat="1" applyFont="1" applyFill="1" applyBorder="1"/>
    <xf numFmtId="3" fontId="4" fillId="2" borderId="20" xfId="0" applyNumberFormat="1" applyFont="1" applyFill="1" applyBorder="1"/>
    <xf numFmtId="3" fontId="4" fillId="6" borderId="20" xfId="0" applyNumberFormat="1" applyFont="1" applyFill="1" applyBorder="1"/>
    <xf numFmtId="3" fontId="4" fillId="0" borderId="0" xfId="0" applyNumberFormat="1" applyFont="1" applyFill="1" applyBorder="1"/>
    <xf numFmtId="3" fontId="8" fillId="2" borderId="30" xfId="0" applyNumberFormat="1" applyFont="1" applyFill="1" applyBorder="1"/>
    <xf numFmtId="3" fontId="8" fillId="6" borderId="30" xfId="0" applyNumberFormat="1" applyFont="1" applyFill="1" applyBorder="1"/>
    <xf numFmtId="3" fontId="8" fillId="6" borderId="20" xfId="0" applyNumberFormat="1" applyFont="1" applyFill="1" applyBorder="1"/>
    <xf numFmtId="3" fontId="0" fillId="6" borderId="20" xfId="0" applyNumberFormat="1" applyFill="1" applyBorder="1"/>
    <xf numFmtId="3" fontId="0" fillId="4" borderId="19" xfId="0" applyNumberFormat="1" applyFill="1" applyBorder="1"/>
    <xf numFmtId="0" fontId="0" fillId="3" borderId="30" xfId="0" applyFill="1" applyBorder="1"/>
    <xf numFmtId="3" fontId="0" fillId="3" borderId="20" xfId="0" applyNumberFormat="1" applyFill="1" applyBorder="1"/>
    <xf numFmtId="3" fontId="8" fillId="2" borderId="20" xfId="0" applyNumberFormat="1" applyFont="1" applyFill="1" applyBorder="1"/>
    <xf numFmtId="3" fontId="8" fillId="2" borderId="23" xfId="0" applyNumberFormat="1" applyFont="1" applyFill="1" applyBorder="1"/>
    <xf numFmtId="3" fontId="8" fillId="6" borderId="20" xfId="0" applyNumberFormat="1" applyFont="1" applyFill="1" applyBorder="1" applyAlignment="1">
      <alignment horizontal="right"/>
    </xf>
    <xf numFmtId="0" fontId="5" fillId="0" borderId="0" xfId="0" applyFont="1" applyBorder="1"/>
    <xf numFmtId="3" fontId="0" fillId="0" borderId="0" xfId="0" applyNumberFormat="1" applyBorder="1"/>
    <xf numFmtId="0" fontId="1" fillId="7" borderId="30" xfId="0" applyFont="1" applyFill="1" applyBorder="1"/>
    <xf numFmtId="3" fontId="0" fillId="7" borderId="20" xfId="0" applyNumberFormat="1" applyFill="1" applyBorder="1"/>
    <xf numFmtId="3" fontId="0" fillId="7" borderId="23" xfId="0" applyNumberFormat="1" applyFill="1" applyBorder="1"/>
    <xf numFmtId="0" fontId="0" fillId="8" borderId="8" xfId="0" applyFill="1" applyBorder="1"/>
    <xf numFmtId="0" fontId="1" fillId="8" borderId="30" xfId="0" applyFont="1" applyFill="1" applyBorder="1"/>
    <xf numFmtId="3" fontId="0" fillId="8" borderId="20" xfId="0" applyNumberFormat="1" applyFill="1" applyBorder="1"/>
    <xf numFmtId="3" fontId="0" fillId="8" borderId="23" xfId="0" applyNumberFormat="1" applyFill="1" applyBorder="1"/>
    <xf numFmtId="3" fontId="0" fillId="0" borderId="0" xfId="0" applyNumberFormat="1" applyFill="1"/>
    <xf numFmtId="3" fontId="8" fillId="2" borderId="20" xfId="0" applyNumberFormat="1" applyFont="1" applyFill="1" applyBorder="1" applyAlignment="1">
      <alignment horizontal="right"/>
    </xf>
    <xf numFmtId="3" fontId="0" fillId="4" borderId="20" xfId="0" applyNumberFormat="1" applyFill="1" applyBorder="1"/>
    <xf numFmtId="3" fontId="8" fillId="2" borderId="9" xfId="0" applyNumberFormat="1" applyFont="1" applyFill="1" applyBorder="1"/>
    <xf numFmtId="3" fontId="8" fillId="2" borderId="6" xfId="0" applyNumberFormat="1" applyFont="1" applyFill="1" applyBorder="1"/>
    <xf numFmtId="3" fontId="8" fillId="0" borderId="0" xfId="0" applyNumberFormat="1" applyFont="1" applyFill="1" applyBorder="1"/>
    <xf numFmtId="3" fontId="8" fillId="2" borderId="8" xfId="0" applyNumberFormat="1" applyFont="1" applyFill="1" applyBorder="1"/>
    <xf numFmtId="3" fontId="8" fillId="2" borderId="7" xfId="0" applyNumberFormat="1" applyFont="1" applyFill="1" applyBorder="1"/>
    <xf numFmtId="3" fontId="9" fillId="0" borderId="0" xfId="0" applyNumberFormat="1" applyFont="1" applyFill="1" applyBorder="1"/>
    <xf numFmtId="3" fontId="8" fillId="2" borderId="25" xfId="0" applyNumberFormat="1" applyFont="1" applyFill="1" applyBorder="1"/>
    <xf numFmtId="3" fontId="8" fillId="6" borderId="25" xfId="0" applyNumberFormat="1" applyFont="1" applyFill="1" applyBorder="1"/>
    <xf numFmtId="3" fontId="8" fillId="6" borderId="19" xfId="0" applyNumberFormat="1" applyFont="1" applyFill="1" applyBorder="1"/>
    <xf numFmtId="3" fontId="4" fillId="6" borderId="30" xfId="0" applyNumberFormat="1" applyFont="1" applyFill="1" applyBorder="1"/>
    <xf numFmtId="17" fontId="2" fillId="0" borderId="13" xfId="0" applyNumberFormat="1" applyFont="1" applyBorder="1" applyAlignment="1">
      <alignment horizontal="center"/>
    </xf>
    <xf numFmtId="164" fontId="8" fillId="5" borderId="30" xfId="0" applyNumberFormat="1" applyFont="1" applyFill="1" applyBorder="1"/>
    <xf numFmtId="3" fontId="4" fillId="5" borderId="20" xfId="0" applyNumberFormat="1" applyFont="1" applyFill="1" applyBorder="1"/>
    <xf numFmtId="164" fontId="4" fillId="5" borderId="30" xfId="0" applyNumberFormat="1" applyFont="1" applyFill="1" applyBorder="1"/>
    <xf numFmtId="3" fontId="8" fillId="5" borderId="20" xfId="0" applyNumberFormat="1" applyFont="1" applyFill="1" applyBorder="1"/>
    <xf numFmtId="164" fontId="4" fillId="6" borderId="24" xfId="0" applyNumberFormat="1" applyFont="1" applyFill="1" applyBorder="1"/>
    <xf numFmtId="164" fontId="4" fillId="4" borderId="30" xfId="0" applyNumberFormat="1" applyFont="1" applyFill="1" applyBorder="1"/>
    <xf numFmtId="3" fontId="8" fillId="4" borderId="20" xfId="0" applyNumberFormat="1" applyFont="1" applyFill="1" applyBorder="1"/>
    <xf numFmtId="3" fontId="8" fillId="4" borderId="22" xfId="0" applyNumberFormat="1" applyFont="1" applyFill="1" applyBorder="1"/>
    <xf numFmtId="164" fontId="4" fillId="6" borderId="30" xfId="0" applyNumberFormat="1" applyFont="1" applyFill="1" applyBorder="1"/>
    <xf numFmtId="164" fontId="4" fillId="3" borderId="30" xfId="0" applyNumberFormat="1" applyFont="1" applyFill="1" applyBorder="1"/>
    <xf numFmtId="3" fontId="4" fillId="3" borderId="20" xfId="0" applyNumberFormat="1" applyFont="1" applyFill="1" applyBorder="1"/>
    <xf numFmtId="164" fontId="4" fillId="3" borderId="21" xfId="0" applyNumberFormat="1" applyFont="1" applyFill="1" applyBorder="1"/>
    <xf numFmtId="0" fontId="4" fillId="3" borderId="23" xfId="0" applyNumberFormat="1" applyFont="1" applyFill="1" applyBorder="1"/>
    <xf numFmtId="164" fontId="4" fillId="7" borderId="30" xfId="0" applyNumberFormat="1" applyFont="1" applyFill="1" applyBorder="1"/>
    <xf numFmtId="3" fontId="4" fillId="7" borderId="20" xfId="0" applyNumberFormat="1" applyFont="1" applyFill="1" applyBorder="1"/>
    <xf numFmtId="3" fontId="4" fillId="7" borderId="23" xfId="0" applyNumberFormat="1" applyFont="1" applyFill="1" applyBorder="1"/>
    <xf numFmtId="164" fontId="4" fillId="8" borderId="30" xfId="0" applyNumberFormat="1" applyFont="1" applyFill="1" applyBorder="1"/>
    <xf numFmtId="3" fontId="4" fillId="8" borderId="20" xfId="0" applyNumberFormat="1" applyFont="1" applyFill="1" applyBorder="1"/>
    <xf numFmtId="164" fontId="4" fillId="8" borderId="24" xfId="0" applyNumberFormat="1" applyFont="1" applyFill="1" applyBorder="1"/>
    <xf numFmtId="0" fontId="4" fillId="8" borderId="23" xfId="0" applyNumberFormat="1" applyFont="1" applyFill="1" applyBorder="1"/>
    <xf numFmtId="3" fontId="4" fillId="8" borderId="23" xfId="0" applyNumberFormat="1" applyFont="1" applyFill="1" applyBorder="1"/>
    <xf numFmtId="164" fontId="1" fillId="4" borderId="30" xfId="0" applyNumberFormat="1" applyFont="1" applyFill="1" applyBorder="1"/>
    <xf numFmtId="3" fontId="10" fillId="4" borderId="20" xfId="0" applyNumberFormat="1" applyFont="1" applyFill="1" applyBorder="1"/>
    <xf numFmtId="3" fontId="4" fillId="9" borderId="30" xfId="0" applyNumberFormat="1" applyFont="1" applyFill="1" applyBorder="1"/>
    <xf numFmtId="3" fontId="4" fillId="9" borderId="20" xfId="0" applyNumberFormat="1" applyFont="1" applyFill="1" applyBorder="1"/>
    <xf numFmtId="3" fontId="8" fillId="9" borderId="20" xfId="0" applyNumberFormat="1" applyFont="1" applyFill="1" applyBorder="1"/>
    <xf numFmtId="3" fontId="8" fillId="9" borderId="22" xfId="0" applyNumberFormat="1" applyFont="1" applyFill="1" applyBorder="1"/>
    <xf numFmtId="3" fontId="4" fillId="9" borderId="23" xfId="0" applyNumberFormat="1" applyFont="1" applyFill="1" applyBorder="1"/>
    <xf numFmtId="3" fontId="8" fillId="9" borderId="25" xfId="0" applyNumberFormat="1" applyFont="1" applyFill="1" applyBorder="1"/>
    <xf numFmtId="3" fontId="8" fillId="9" borderId="9" xfId="0" applyNumberFormat="1" applyFont="1" applyFill="1" applyBorder="1"/>
    <xf numFmtId="3" fontId="8" fillId="9" borderId="6" xfId="0" applyNumberFormat="1" applyFont="1" applyFill="1" applyBorder="1"/>
    <xf numFmtId="3" fontId="8" fillId="9" borderId="43" xfId="0" applyNumberFormat="1" applyFont="1" applyFill="1" applyBorder="1"/>
    <xf numFmtId="3" fontId="8" fillId="9" borderId="44" xfId="0" applyNumberFormat="1" applyFont="1" applyFill="1" applyBorder="1"/>
    <xf numFmtId="164" fontId="4" fillId="0" borderId="45" xfId="0" applyNumberFormat="1" applyFont="1" applyFill="1" applyBorder="1"/>
    <xf numFmtId="164" fontId="4" fillId="10" borderId="30" xfId="0" applyNumberFormat="1" applyFont="1" applyFill="1" applyBorder="1"/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5" borderId="33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left" vertical="center"/>
    </xf>
    <xf numFmtId="0" fontId="2" fillId="5" borderId="31" xfId="0" applyFont="1" applyFill="1" applyBorder="1" applyAlignment="1">
      <alignment horizontal="left" vertical="center"/>
    </xf>
    <xf numFmtId="0" fontId="2" fillId="5" borderId="34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5" fillId="6" borderId="38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42" xfId="0" applyFont="1" applyFill="1" applyBorder="1" applyAlignment="1">
      <alignment horizontal="left" vertical="center"/>
    </xf>
    <xf numFmtId="0" fontId="5" fillId="6" borderId="34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5" fillId="7" borderId="26" xfId="0" applyFont="1" applyFill="1" applyBorder="1" applyAlignment="1">
      <alignment horizontal="left" vertical="center"/>
    </xf>
    <xf numFmtId="0" fontId="5" fillId="7" borderId="27" xfId="0" applyFont="1" applyFill="1" applyBorder="1" applyAlignment="1">
      <alignment horizontal="left" vertical="center"/>
    </xf>
    <xf numFmtId="0" fontId="5" fillId="7" borderId="35" xfId="0" applyFont="1" applyFill="1" applyBorder="1" applyAlignment="1">
      <alignment horizontal="left" vertical="center"/>
    </xf>
    <xf numFmtId="0" fontId="5" fillId="7" borderId="36" xfId="0" applyFont="1" applyFill="1" applyBorder="1" applyAlignment="1">
      <alignment horizontal="left" vertical="center"/>
    </xf>
    <xf numFmtId="0" fontId="5" fillId="7" borderId="37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26" xfId="0" applyFont="1" applyFill="1" applyBorder="1" applyAlignment="1">
      <alignment horizontal="left" vertical="center"/>
    </xf>
    <xf numFmtId="0" fontId="5" fillId="6" borderId="31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5" fillId="6" borderId="27" xfId="0" applyFont="1" applyFill="1" applyBorder="1" applyAlignment="1">
      <alignment horizontal="left" vertical="center"/>
    </xf>
    <xf numFmtId="0" fontId="5" fillId="6" borderId="29" xfId="0" applyFont="1" applyFill="1" applyBorder="1" applyAlignment="1">
      <alignment horizontal="left" vertical="center"/>
    </xf>
    <xf numFmtId="0" fontId="5" fillId="8" borderId="33" xfId="0" applyFont="1" applyFill="1" applyBorder="1" applyAlignment="1">
      <alignment horizontal="left" vertical="center"/>
    </xf>
    <xf numFmtId="0" fontId="5" fillId="8" borderId="26" xfId="0" applyFont="1" applyFill="1" applyBorder="1" applyAlignment="1">
      <alignment horizontal="left" vertical="center"/>
    </xf>
    <xf numFmtId="0" fontId="5" fillId="8" borderId="27" xfId="0" applyFont="1" applyFill="1" applyBorder="1" applyAlignment="1">
      <alignment horizontal="left" vertical="center"/>
    </xf>
    <xf numFmtId="0" fontId="5" fillId="8" borderId="34" xfId="0" applyFont="1" applyFill="1" applyBorder="1" applyAlignment="1">
      <alignment horizontal="left" vertical="center"/>
    </xf>
    <xf numFmtId="0" fontId="5" fillId="8" borderId="28" xfId="0" applyFont="1" applyFill="1" applyBorder="1" applyAlignment="1">
      <alignment horizontal="left" vertical="center"/>
    </xf>
    <xf numFmtId="0" fontId="5" fillId="8" borderId="29" xfId="0" applyFont="1" applyFill="1" applyBorder="1" applyAlignment="1">
      <alignment horizontal="left" vertical="center"/>
    </xf>
    <xf numFmtId="0" fontId="5" fillId="8" borderId="35" xfId="0" applyFont="1" applyFill="1" applyBorder="1" applyAlignment="1">
      <alignment horizontal="left" vertical="center"/>
    </xf>
    <xf numFmtId="0" fontId="5" fillId="8" borderId="36" xfId="0" applyFont="1" applyFill="1" applyBorder="1" applyAlignment="1">
      <alignment horizontal="left" vertical="center"/>
    </xf>
    <xf numFmtId="0" fontId="5" fillId="8" borderId="37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2" fillId="4" borderId="28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7"/>
  <sheetViews>
    <sheetView tabSelected="1" zoomScaleNormal="100" workbookViewId="0">
      <pane xSplit="5" ySplit="1" topLeftCell="J14" activePane="bottomRight" state="frozen"/>
      <selection pane="topRight" activeCell="F1" sqref="F1"/>
      <selection pane="bottomLeft" activeCell="A2" sqref="A2"/>
      <selection pane="bottomRight" activeCell="X86" sqref="X86"/>
    </sheetView>
  </sheetViews>
  <sheetFormatPr defaultRowHeight="12.75" x14ac:dyDescent="0.2"/>
  <cols>
    <col min="4" max="5" width="9.140625" customWidth="1"/>
    <col min="6" max="9" width="9.140625" hidden="1" customWidth="1"/>
    <col min="10" max="14" width="9.140625" customWidth="1"/>
    <col min="15" max="15" width="10.28515625" customWidth="1"/>
    <col min="16" max="21" width="9.140625" customWidth="1"/>
    <col min="22" max="22" width="9.7109375" customWidth="1"/>
    <col min="23" max="26" width="9.140625" customWidth="1"/>
  </cols>
  <sheetData>
    <row r="1" spans="1:134" s="28" customFormat="1" ht="13.5" thickBot="1" x14ac:dyDescent="0.25">
      <c r="A1" s="105" t="s">
        <v>0</v>
      </c>
      <c r="B1" s="106"/>
      <c r="C1" s="106"/>
      <c r="D1" s="107"/>
      <c r="E1" s="32" t="s">
        <v>56</v>
      </c>
      <c r="F1" s="31">
        <v>2013</v>
      </c>
      <c r="G1" s="31">
        <v>2014</v>
      </c>
      <c r="H1" s="31">
        <v>2015</v>
      </c>
      <c r="I1" s="31">
        <v>2016</v>
      </c>
      <c r="J1" s="31">
        <v>2017</v>
      </c>
      <c r="K1" s="31">
        <v>2018</v>
      </c>
      <c r="L1" s="31">
        <v>2019</v>
      </c>
      <c r="M1" s="31">
        <v>2020</v>
      </c>
      <c r="N1" s="31">
        <v>2021</v>
      </c>
      <c r="O1" s="69" t="s">
        <v>19</v>
      </c>
      <c r="P1" s="69" t="s">
        <v>20</v>
      </c>
      <c r="Q1" s="69" t="s">
        <v>21</v>
      </c>
      <c r="R1" s="69" t="s">
        <v>22</v>
      </c>
      <c r="S1" s="69" t="s">
        <v>23</v>
      </c>
      <c r="T1" s="69" t="s">
        <v>24</v>
      </c>
      <c r="U1" s="69" t="s">
        <v>25</v>
      </c>
      <c r="V1" s="69" t="s">
        <v>26</v>
      </c>
      <c r="W1" s="69" t="s">
        <v>27</v>
      </c>
      <c r="X1" s="69" t="s">
        <v>28</v>
      </c>
      <c r="Y1" s="69" t="s">
        <v>29</v>
      </c>
      <c r="Z1" s="69" t="s">
        <v>30</v>
      </c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</row>
    <row r="2" spans="1:134" s="1" customFormat="1" x14ac:dyDescent="0.2">
      <c r="A2" s="108" t="s">
        <v>9</v>
      </c>
      <c r="B2" s="109"/>
      <c r="C2" s="109"/>
      <c r="D2" s="110"/>
      <c r="E2" s="29" t="s">
        <v>6</v>
      </c>
      <c r="F2" s="33">
        <v>150</v>
      </c>
      <c r="G2" s="33">
        <v>150</v>
      </c>
      <c r="H2" s="33">
        <v>90</v>
      </c>
      <c r="I2" s="33">
        <v>90</v>
      </c>
      <c r="J2" s="33">
        <v>80</v>
      </c>
      <c r="K2" s="33">
        <v>45</v>
      </c>
      <c r="L2" s="33">
        <v>45</v>
      </c>
      <c r="M2" s="33">
        <v>30</v>
      </c>
      <c r="N2" s="33">
        <v>30</v>
      </c>
      <c r="O2" s="70">
        <f>O3/$N$2</f>
        <v>0.12272</v>
      </c>
      <c r="P2" s="70">
        <f t="shared" ref="P2:Z2" si="0">P3/$N$2</f>
        <v>0.41451433333333332</v>
      </c>
      <c r="Q2" s="70">
        <f t="shared" si="0"/>
        <v>0.59011433333333341</v>
      </c>
      <c r="R2" s="70">
        <f t="shared" si="0"/>
        <v>0.66326966666666665</v>
      </c>
      <c r="S2" s="70">
        <f t="shared" si="0"/>
        <v>0.6690516666666666</v>
      </c>
      <c r="T2" s="70">
        <f t="shared" si="0"/>
        <v>0.86165100000000006</v>
      </c>
      <c r="U2" s="70">
        <f t="shared" si="0"/>
        <v>0.98781600000000003</v>
      </c>
      <c r="V2" s="70">
        <f t="shared" si="0"/>
        <v>1.0910706666666667</v>
      </c>
      <c r="W2" s="70">
        <f t="shared" si="0"/>
        <v>1.1875873333333333</v>
      </c>
      <c r="X2" s="70">
        <f t="shared" si="0"/>
        <v>1.2864076666666666</v>
      </c>
      <c r="Y2" s="70">
        <f t="shared" si="0"/>
        <v>0</v>
      </c>
      <c r="Z2" s="70">
        <f t="shared" si="0"/>
        <v>0</v>
      </c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</row>
    <row r="3" spans="1:134" s="22" customFormat="1" ht="13.5" thickBot="1" x14ac:dyDescent="0.25">
      <c r="A3" s="111"/>
      <c r="B3" s="112"/>
      <c r="C3" s="112"/>
      <c r="D3" s="113"/>
      <c r="E3" s="21" t="s">
        <v>5</v>
      </c>
      <c r="F3" s="34">
        <v>142</v>
      </c>
      <c r="G3" s="34">
        <v>118</v>
      </c>
      <c r="H3" s="34">
        <v>77.559299999999993</v>
      </c>
      <c r="I3" s="34">
        <v>61</v>
      </c>
      <c r="J3" s="34">
        <v>40.952399999999997</v>
      </c>
      <c r="K3" s="34">
        <v>40.991999999999997</v>
      </c>
      <c r="L3" s="94">
        <v>20.058</v>
      </c>
      <c r="M3" s="94">
        <v>42.261920000000003</v>
      </c>
      <c r="N3" s="94"/>
      <c r="O3" s="71">
        <v>3.6816</v>
      </c>
      <c r="P3" s="71">
        <v>12.43543</v>
      </c>
      <c r="Q3" s="71">
        <v>17.703430000000001</v>
      </c>
      <c r="R3" s="71">
        <v>19.89809</v>
      </c>
      <c r="S3" s="71">
        <v>20.071549999999998</v>
      </c>
      <c r="T3" s="71">
        <v>25.849530000000001</v>
      </c>
      <c r="U3" s="71">
        <v>29.63448</v>
      </c>
      <c r="V3" s="71">
        <v>32.732120000000002</v>
      </c>
      <c r="W3" s="71">
        <v>35.62762</v>
      </c>
      <c r="X3" s="71">
        <v>38.592230000000001</v>
      </c>
      <c r="Y3" s="71"/>
      <c r="Z3" s="71"/>
    </row>
    <row r="4" spans="1:134" s="8" customFormat="1" x14ac:dyDescent="0.2">
      <c r="A4" s="108" t="s">
        <v>4</v>
      </c>
      <c r="B4" s="109"/>
      <c r="C4" s="109"/>
      <c r="D4" s="110"/>
      <c r="E4" s="29" t="s">
        <v>6</v>
      </c>
      <c r="F4" s="33">
        <v>307</v>
      </c>
      <c r="G4" s="33">
        <v>350</v>
      </c>
      <c r="H4" s="33">
        <v>290</v>
      </c>
      <c r="I4" s="33">
        <v>255</v>
      </c>
      <c r="J4" s="33">
        <v>260</v>
      </c>
      <c r="K4" s="33">
        <v>300</v>
      </c>
      <c r="L4" s="93">
        <v>300</v>
      </c>
      <c r="M4" s="93">
        <v>320</v>
      </c>
      <c r="N4" s="93">
        <v>330</v>
      </c>
      <c r="O4" s="72">
        <f>O5/$N$4</f>
        <v>8.9393939393939401E-2</v>
      </c>
      <c r="P4" s="72">
        <f t="shared" ref="P4:Z4" si="1">P5/$N$4</f>
        <v>0.18057575757575758</v>
      </c>
      <c r="Q4" s="72">
        <f t="shared" si="1"/>
        <v>0.28914848484848482</v>
      </c>
      <c r="R4" s="72">
        <f t="shared" si="1"/>
        <v>0.38845730303030301</v>
      </c>
      <c r="S4" s="72">
        <f t="shared" si="1"/>
        <v>0.49946833333333329</v>
      </c>
      <c r="T4" s="72">
        <f t="shared" si="1"/>
        <v>0.61811848484848486</v>
      </c>
      <c r="U4" s="72">
        <f t="shared" si="1"/>
        <v>0.63939121212121208</v>
      </c>
      <c r="V4" s="72">
        <f t="shared" si="1"/>
        <v>0.67011848484848491</v>
      </c>
      <c r="W4" s="72">
        <f t="shared" si="1"/>
        <v>0.78375484848484844</v>
      </c>
      <c r="X4" s="72">
        <f t="shared" si="1"/>
        <v>0.89284575757575757</v>
      </c>
      <c r="Y4" s="72">
        <f t="shared" si="1"/>
        <v>0</v>
      </c>
      <c r="Z4" s="72">
        <f t="shared" si="1"/>
        <v>0</v>
      </c>
    </row>
    <row r="5" spans="1:134" s="22" customFormat="1" ht="13.5" thickBot="1" x14ac:dyDescent="0.25">
      <c r="A5" s="111"/>
      <c r="B5" s="112"/>
      <c r="C5" s="112"/>
      <c r="D5" s="113"/>
      <c r="E5" s="21" t="s">
        <v>5</v>
      </c>
      <c r="F5" s="34">
        <v>294</v>
      </c>
      <c r="G5" s="34">
        <v>269</v>
      </c>
      <c r="H5" s="34">
        <v>260.82</v>
      </c>
      <c r="I5" s="34">
        <v>261</v>
      </c>
      <c r="J5" s="34">
        <v>296.18401</v>
      </c>
      <c r="K5" s="34">
        <v>314.99200000000002</v>
      </c>
      <c r="L5" s="95">
        <v>327.14800000000002</v>
      </c>
      <c r="M5" s="95">
        <v>281.47897</v>
      </c>
      <c r="N5" s="95"/>
      <c r="O5" s="73">
        <v>29.5</v>
      </c>
      <c r="P5" s="73">
        <v>59.59</v>
      </c>
      <c r="Q5" s="73">
        <v>95.418999999999997</v>
      </c>
      <c r="R5" s="73">
        <v>128.19091</v>
      </c>
      <c r="S5" s="73">
        <v>164.82454999999999</v>
      </c>
      <c r="T5" s="73">
        <v>203.97909999999999</v>
      </c>
      <c r="U5" s="73">
        <v>210.9991</v>
      </c>
      <c r="V5" s="73">
        <v>221.13910000000001</v>
      </c>
      <c r="W5" s="73">
        <v>258.63909999999998</v>
      </c>
      <c r="X5" s="73">
        <v>294.63909999999998</v>
      </c>
      <c r="Y5" s="73"/>
      <c r="Z5" s="73"/>
    </row>
    <row r="6" spans="1:134" s="8" customFormat="1" x14ac:dyDescent="0.2">
      <c r="A6" s="114" t="s">
        <v>33</v>
      </c>
      <c r="B6" s="115"/>
      <c r="C6" s="115"/>
      <c r="D6" s="116"/>
      <c r="E6" s="30" t="s">
        <v>6</v>
      </c>
      <c r="F6" s="68">
        <f t="shared" ref="F6:F7" si="2">F2+F4</f>
        <v>457</v>
      </c>
      <c r="G6" s="68">
        <f t="shared" ref="G6:N6" si="3">G2+G4</f>
        <v>500</v>
      </c>
      <c r="H6" s="68">
        <f t="shared" si="3"/>
        <v>380</v>
      </c>
      <c r="I6" s="68">
        <f t="shared" si="3"/>
        <v>345</v>
      </c>
      <c r="J6" s="68">
        <f t="shared" si="3"/>
        <v>340</v>
      </c>
      <c r="K6" s="68">
        <f t="shared" si="3"/>
        <v>345</v>
      </c>
      <c r="L6" s="68">
        <f t="shared" si="3"/>
        <v>345</v>
      </c>
      <c r="M6" s="68">
        <f t="shared" si="3"/>
        <v>350</v>
      </c>
      <c r="N6" s="68">
        <f t="shared" si="3"/>
        <v>360</v>
      </c>
      <c r="O6" s="74">
        <f>O7/$N$6</f>
        <v>9.217111111111112E-2</v>
      </c>
      <c r="P6" s="74">
        <f t="shared" ref="P6:Z6" si="4">P7/$N$6</f>
        <v>0.2000706388888889</v>
      </c>
      <c r="Q6" s="74">
        <f t="shared" si="4"/>
        <v>0.31422897222222218</v>
      </c>
      <c r="R6" s="74">
        <f t="shared" si="4"/>
        <v>0.41135833333333333</v>
      </c>
      <c r="S6" s="74">
        <f t="shared" si="4"/>
        <v>0.51360027777777773</v>
      </c>
      <c r="T6" s="74">
        <f t="shared" si="4"/>
        <v>0.63841286111111106</v>
      </c>
      <c r="U6" s="74">
        <f t="shared" si="4"/>
        <v>0.58610861111111112</v>
      </c>
      <c r="V6" s="74">
        <f t="shared" si="4"/>
        <v>0.70519783333333341</v>
      </c>
      <c r="W6" s="74">
        <f t="shared" si="4"/>
        <v>0.81740755555555544</v>
      </c>
      <c r="X6" s="74">
        <f t="shared" si="4"/>
        <v>0.92564258333333327</v>
      </c>
      <c r="Y6" s="74">
        <f t="shared" si="4"/>
        <v>0</v>
      </c>
      <c r="Z6" s="74">
        <f t="shared" si="4"/>
        <v>0</v>
      </c>
    </row>
    <row r="7" spans="1:134" s="22" customFormat="1" ht="13.5" thickBot="1" x14ac:dyDescent="0.25">
      <c r="A7" s="117"/>
      <c r="B7" s="118"/>
      <c r="C7" s="118"/>
      <c r="D7" s="119"/>
      <c r="E7" s="40" t="s">
        <v>5</v>
      </c>
      <c r="F7" s="35">
        <f t="shared" si="2"/>
        <v>436</v>
      </c>
      <c r="G7" s="35">
        <f t="shared" ref="G7:M7" si="5">G3+G5</f>
        <v>387</v>
      </c>
      <c r="H7" s="35">
        <f t="shared" si="5"/>
        <v>338.3793</v>
      </c>
      <c r="I7" s="35">
        <f t="shared" si="5"/>
        <v>322</v>
      </c>
      <c r="J7" s="35">
        <f t="shared" si="5"/>
        <v>337.13641000000001</v>
      </c>
      <c r="K7" s="35">
        <f t="shared" si="5"/>
        <v>355.98400000000004</v>
      </c>
      <c r="L7" s="35">
        <f t="shared" si="5"/>
        <v>347.20600000000002</v>
      </c>
      <c r="M7" s="35">
        <f t="shared" si="5"/>
        <v>323.74089000000004</v>
      </c>
      <c r="N7" s="35"/>
      <c r="O7" s="39">
        <f>O3+O5</f>
        <v>33.181600000000003</v>
      </c>
      <c r="P7" s="39">
        <f>P3+P5</f>
        <v>72.02543</v>
      </c>
      <c r="Q7" s="39">
        <f>Q3+Q5</f>
        <v>113.12242999999999</v>
      </c>
      <c r="R7" s="39">
        <f t="shared" ref="R7:Z7" si="6">R3+R5</f>
        <v>148.089</v>
      </c>
      <c r="S7" s="39">
        <f t="shared" si="6"/>
        <v>184.89609999999999</v>
      </c>
      <c r="T7" s="39">
        <f t="shared" si="6"/>
        <v>229.82862999999998</v>
      </c>
      <c r="U7" s="39">
        <v>210.9991</v>
      </c>
      <c r="V7" s="39">
        <f t="shared" si="6"/>
        <v>253.87122000000002</v>
      </c>
      <c r="W7" s="39">
        <f t="shared" si="6"/>
        <v>294.26671999999996</v>
      </c>
      <c r="X7" s="39">
        <f t="shared" si="6"/>
        <v>333.23132999999996</v>
      </c>
      <c r="Y7" s="39">
        <f t="shared" si="6"/>
        <v>0</v>
      </c>
      <c r="Z7" s="39">
        <f t="shared" si="6"/>
        <v>0</v>
      </c>
    </row>
    <row r="8" spans="1:134" s="8" customFormat="1" ht="13.5" thickBot="1" x14ac:dyDescent="0.25">
      <c r="A8" s="9"/>
      <c r="F8" s="36"/>
      <c r="G8" s="36"/>
      <c r="H8" s="36"/>
      <c r="I8" s="36"/>
      <c r="J8" s="36"/>
      <c r="K8" s="36"/>
      <c r="L8" s="36"/>
      <c r="M8" s="36"/>
      <c r="N8" s="36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134" s="8" customFormat="1" x14ac:dyDescent="0.2">
      <c r="A9" s="120" t="s">
        <v>34</v>
      </c>
      <c r="B9" s="121"/>
      <c r="C9" s="121"/>
      <c r="D9" s="121"/>
      <c r="E9" s="24" t="s">
        <v>6</v>
      </c>
      <c r="F9" s="37">
        <v>750</v>
      </c>
      <c r="G9" s="37">
        <v>1000</v>
      </c>
      <c r="H9" s="37">
        <v>750</v>
      </c>
      <c r="I9" s="37">
        <v>620</v>
      </c>
      <c r="J9" s="37">
        <v>500</v>
      </c>
      <c r="K9" s="37">
        <v>550</v>
      </c>
      <c r="L9" s="37">
        <v>550</v>
      </c>
      <c r="M9" s="37">
        <v>550</v>
      </c>
      <c r="N9" s="37">
        <v>480</v>
      </c>
      <c r="O9" s="75">
        <f>O10/$N$9</f>
        <v>5.6737916666666673E-2</v>
      </c>
      <c r="P9" s="75">
        <f t="shared" ref="P9:Z9" si="7">P10/$N$9</f>
        <v>0.11162447916666667</v>
      </c>
      <c r="Q9" s="75">
        <f t="shared" si="7"/>
        <v>0.18034629166666666</v>
      </c>
      <c r="R9" s="75">
        <f t="shared" si="7"/>
        <v>0.23367170833333334</v>
      </c>
      <c r="S9" s="75">
        <f t="shared" si="7"/>
        <v>0.31254983333333336</v>
      </c>
      <c r="T9" s="75">
        <f t="shared" si="7"/>
        <v>0.40096956250000004</v>
      </c>
      <c r="U9" s="75">
        <f t="shared" si="7"/>
        <v>0.45966666666666661</v>
      </c>
      <c r="V9" s="75">
        <f t="shared" si="7"/>
        <v>0.52663810416666668</v>
      </c>
      <c r="W9" s="75">
        <f t="shared" si="7"/>
        <v>0.6033602916666666</v>
      </c>
      <c r="X9" s="75">
        <f t="shared" si="7"/>
        <v>0.67454766666666666</v>
      </c>
      <c r="Y9" s="75">
        <f t="shared" si="7"/>
        <v>0</v>
      </c>
      <c r="Z9" s="75">
        <f t="shared" si="7"/>
        <v>0</v>
      </c>
    </row>
    <row r="10" spans="1:134" s="22" customFormat="1" ht="13.5" thickBot="1" x14ac:dyDescent="0.25">
      <c r="A10" s="122"/>
      <c r="B10" s="123"/>
      <c r="C10" s="123"/>
      <c r="D10" s="123"/>
      <c r="E10" s="41" t="s">
        <v>5</v>
      </c>
      <c r="F10" s="34">
        <v>929</v>
      </c>
      <c r="G10" s="34">
        <v>604</v>
      </c>
      <c r="H10" s="34">
        <v>465.08049999999997</v>
      </c>
      <c r="I10" s="34">
        <v>425</v>
      </c>
      <c r="J10" s="34">
        <v>516.16247999999996</v>
      </c>
      <c r="K10" s="34">
        <v>477.15</v>
      </c>
      <c r="L10" s="95">
        <v>462.85300000000001</v>
      </c>
      <c r="M10" s="95">
        <v>290.08321999999998</v>
      </c>
      <c r="N10" s="95"/>
      <c r="O10" s="76">
        <v>27.234200000000001</v>
      </c>
      <c r="P10" s="76">
        <v>53.579749999999997</v>
      </c>
      <c r="Q10" s="76">
        <v>86.566220000000001</v>
      </c>
      <c r="R10" s="76">
        <v>112.16242</v>
      </c>
      <c r="S10" s="76">
        <v>150.02392</v>
      </c>
      <c r="T10" s="76">
        <v>192.46539000000001</v>
      </c>
      <c r="U10" s="76">
        <v>220.64</v>
      </c>
      <c r="V10" s="76">
        <v>252.78629000000001</v>
      </c>
      <c r="W10" s="76">
        <v>289.61293999999998</v>
      </c>
      <c r="X10" s="76">
        <v>323.78287999999998</v>
      </c>
      <c r="Y10" s="76"/>
      <c r="Z10" s="76"/>
    </row>
    <row r="11" spans="1:134" s="8" customFormat="1" x14ac:dyDescent="0.2">
      <c r="A11" s="120" t="s">
        <v>7</v>
      </c>
      <c r="B11" s="121"/>
      <c r="C11" s="121"/>
      <c r="D11" s="121"/>
      <c r="E11" s="24" t="s">
        <v>6</v>
      </c>
      <c r="F11" s="37">
        <v>4000</v>
      </c>
      <c r="G11" s="37">
        <v>3100</v>
      </c>
      <c r="H11" s="37">
        <v>3460</v>
      </c>
      <c r="I11" s="37">
        <v>3000</v>
      </c>
      <c r="J11" s="37">
        <v>2500</v>
      </c>
      <c r="K11" s="37">
        <v>2400</v>
      </c>
      <c r="L11" s="37">
        <v>2300</v>
      </c>
      <c r="M11" s="37">
        <v>2500</v>
      </c>
      <c r="N11" s="37">
        <v>2600</v>
      </c>
      <c r="O11" s="75">
        <f>O12/$N$11</f>
        <v>6.1126730769230767E-2</v>
      </c>
      <c r="P11" s="75">
        <f t="shared" ref="P11:Z11" si="8">P12/$N$11</f>
        <v>0.12204215384615384</v>
      </c>
      <c r="Q11" s="75">
        <f t="shared" si="8"/>
        <v>0.1915089653846154</v>
      </c>
      <c r="R11" s="75">
        <f t="shared" si="8"/>
        <v>0.25734992692307695</v>
      </c>
      <c r="S11" s="75">
        <f t="shared" si="8"/>
        <v>0.32925746538461537</v>
      </c>
      <c r="T11" s="75">
        <f t="shared" si="8"/>
        <v>0.41205531153846159</v>
      </c>
      <c r="U11" s="75">
        <f t="shared" si="8"/>
        <v>0.48753923461538462</v>
      </c>
      <c r="V11" s="75">
        <f t="shared" si="8"/>
        <v>0.56350288846153851</v>
      </c>
      <c r="W11" s="75">
        <f t="shared" si="8"/>
        <v>0.63626384999999996</v>
      </c>
      <c r="X11" s="75">
        <f t="shared" si="8"/>
        <v>0.70630419230769237</v>
      </c>
      <c r="Y11" s="75">
        <f t="shared" si="8"/>
        <v>0</v>
      </c>
      <c r="Z11" s="75">
        <f t="shared" si="8"/>
        <v>0</v>
      </c>
    </row>
    <row r="12" spans="1:134" s="22" customFormat="1" ht="13.5" thickBot="1" x14ac:dyDescent="0.25">
      <c r="A12" s="122"/>
      <c r="B12" s="123"/>
      <c r="C12" s="123"/>
      <c r="D12" s="123"/>
      <c r="E12" s="41" t="s">
        <v>5</v>
      </c>
      <c r="F12" s="34">
        <v>2807</v>
      </c>
      <c r="G12" s="34">
        <v>2775</v>
      </c>
      <c r="H12" s="34">
        <v>2443.1441</v>
      </c>
      <c r="I12" s="34">
        <v>2102</v>
      </c>
      <c r="J12" s="34">
        <v>2140.8692500000002</v>
      </c>
      <c r="K12" s="34">
        <v>2322.0929999999998</v>
      </c>
      <c r="L12" s="95">
        <v>2550.6379999999999</v>
      </c>
      <c r="M12" s="95">
        <v>2235.9048400000001</v>
      </c>
      <c r="N12" s="95"/>
      <c r="O12" s="76">
        <v>158.92949999999999</v>
      </c>
      <c r="P12" s="76">
        <v>317.30959999999999</v>
      </c>
      <c r="Q12" s="76">
        <v>497.92331000000001</v>
      </c>
      <c r="R12" s="76">
        <v>669.10981000000004</v>
      </c>
      <c r="S12" s="76">
        <v>856.06940999999995</v>
      </c>
      <c r="T12" s="76">
        <v>1071.3438100000001</v>
      </c>
      <c r="U12" s="76">
        <v>1267.6020100000001</v>
      </c>
      <c r="V12" s="76">
        <v>1465.10751</v>
      </c>
      <c r="W12" s="76">
        <v>1654.28601</v>
      </c>
      <c r="X12" s="76">
        <v>1836.3909000000001</v>
      </c>
      <c r="Y12" s="76"/>
      <c r="Z12" s="76"/>
    </row>
    <row r="13" spans="1:134" s="8" customFormat="1" x14ac:dyDescent="0.2">
      <c r="A13" s="120" t="s">
        <v>8</v>
      </c>
      <c r="B13" s="121"/>
      <c r="C13" s="121"/>
      <c r="D13" s="121"/>
      <c r="E13" s="24" t="s">
        <v>6</v>
      </c>
      <c r="F13" s="37">
        <v>10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</row>
    <row r="14" spans="1:134" s="22" customFormat="1" ht="13.5" thickBot="1" x14ac:dyDescent="0.25">
      <c r="A14" s="122"/>
      <c r="B14" s="123"/>
      <c r="C14" s="123"/>
      <c r="D14" s="123"/>
      <c r="E14" s="41" t="s">
        <v>5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1.9970000000000001</v>
      </c>
      <c r="L14" s="95">
        <v>0</v>
      </c>
      <c r="M14" s="95">
        <v>0</v>
      </c>
      <c r="N14" s="95"/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0</v>
      </c>
    </row>
    <row r="15" spans="1:134" s="22" customFormat="1" x14ac:dyDescent="0.2">
      <c r="A15" s="120" t="s">
        <v>57</v>
      </c>
      <c r="B15" s="121"/>
      <c r="C15" s="121"/>
      <c r="D15" s="134"/>
      <c r="E15" s="24" t="s">
        <v>6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150</v>
      </c>
      <c r="L15" s="37">
        <v>190</v>
      </c>
      <c r="M15" s="37">
        <v>200</v>
      </c>
      <c r="N15" s="37">
        <v>180</v>
      </c>
      <c r="O15" s="75">
        <f>O16/$N$15</f>
        <v>0.10152777777777777</v>
      </c>
      <c r="P15" s="75">
        <f t="shared" ref="P15:Z15" si="9">P16/$N$15</f>
        <v>0.19097666666666666</v>
      </c>
      <c r="Q15" s="75">
        <f t="shared" si="9"/>
        <v>0.28187000000000001</v>
      </c>
      <c r="R15" s="75">
        <f t="shared" si="9"/>
        <v>0.35995333333333335</v>
      </c>
      <c r="S15" s="75">
        <f t="shared" si="9"/>
        <v>0.43375000000000002</v>
      </c>
      <c r="T15" s="75">
        <f t="shared" si="9"/>
        <v>0.50302611111111117</v>
      </c>
      <c r="U15" s="75">
        <f t="shared" si="9"/>
        <v>0.5641288888888889</v>
      </c>
      <c r="V15" s="75">
        <f t="shared" si="9"/>
        <v>0.63549444444444447</v>
      </c>
      <c r="W15" s="75">
        <f t="shared" si="9"/>
        <v>0.69639833333333334</v>
      </c>
      <c r="X15" s="75">
        <f t="shared" si="9"/>
        <v>0.77180516666666665</v>
      </c>
      <c r="Y15" s="75">
        <f t="shared" si="9"/>
        <v>0</v>
      </c>
      <c r="Z15" s="75">
        <f t="shared" si="9"/>
        <v>0</v>
      </c>
    </row>
    <row r="16" spans="1:134" s="22" customFormat="1" ht="13.5" thickBot="1" x14ac:dyDescent="0.25">
      <c r="A16" s="122"/>
      <c r="B16" s="123"/>
      <c r="C16" s="123"/>
      <c r="D16" s="135"/>
      <c r="E16" s="41" t="s">
        <v>5</v>
      </c>
      <c r="F16" s="34">
        <v>0</v>
      </c>
      <c r="G16" s="34">
        <v>0</v>
      </c>
      <c r="H16" s="34">
        <v>0</v>
      </c>
      <c r="I16" s="34">
        <v>0</v>
      </c>
      <c r="J16" s="34">
        <v>145.31582</v>
      </c>
      <c r="K16" s="34">
        <v>172.45500000000001</v>
      </c>
      <c r="L16" s="96">
        <v>168.18299999999999</v>
      </c>
      <c r="M16" s="96">
        <v>160.85266999999999</v>
      </c>
      <c r="N16" s="96"/>
      <c r="O16" s="77">
        <v>18.274999999999999</v>
      </c>
      <c r="P16" s="77">
        <v>34.375799999999998</v>
      </c>
      <c r="Q16" s="77">
        <v>50.736600000000003</v>
      </c>
      <c r="R16" s="77">
        <v>64.791600000000003</v>
      </c>
      <c r="S16" s="77">
        <v>78.075000000000003</v>
      </c>
      <c r="T16" s="77">
        <v>90.544700000000006</v>
      </c>
      <c r="U16" s="77">
        <v>101.5432</v>
      </c>
      <c r="V16" s="77">
        <v>114.389</v>
      </c>
      <c r="W16" s="77">
        <v>125.35169999999999</v>
      </c>
      <c r="X16" s="77">
        <v>138.92492999999999</v>
      </c>
      <c r="Y16" s="77"/>
      <c r="Z16" s="77"/>
    </row>
    <row r="17" spans="1:26" s="8" customFormat="1" x14ac:dyDescent="0.2">
      <c r="A17" s="120" t="s">
        <v>12</v>
      </c>
      <c r="B17" s="121"/>
      <c r="C17" s="121"/>
      <c r="D17" s="121"/>
      <c r="E17" s="24" t="s">
        <v>6</v>
      </c>
      <c r="F17" s="37">
        <v>820</v>
      </c>
      <c r="G17" s="37">
        <v>900</v>
      </c>
      <c r="H17" s="37">
        <v>800</v>
      </c>
      <c r="I17" s="37">
        <v>600</v>
      </c>
      <c r="J17" s="37">
        <v>400</v>
      </c>
      <c r="K17" s="37">
        <v>450</v>
      </c>
      <c r="L17" s="37">
        <v>450</v>
      </c>
      <c r="M17" s="37">
        <v>550</v>
      </c>
      <c r="N17" s="37">
        <v>500</v>
      </c>
      <c r="O17" s="75">
        <f>O18/$N$17</f>
        <v>3.1558740000000002E-2</v>
      </c>
      <c r="P17" s="75">
        <f t="shared" ref="P17:Z17" si="10">P18/$N$17</f>
        <v>6.7790920000000005E-2</v>
      </c>
      <c r="Q17" s="75">
        <f t="shared" si="10"/>
        <v>0.13502828</v>
      </c>
      <c r="R17" s="75">
        <f t="shared" si="10"/>
        <v>0.16379354000000002</v>
      </c>
      <c r="S17" s="75">
        <f t="shared" si="10"/>
        <v>0.20026588000000001</v>
      </c>
      <c r="T17" s="75">
        <f t="shared" si="10"/>
        <v>0.20841774000000002</v>
      </c>
      <c r="U17" s="75">
        <f t="shared" si="10"/>
        <v>0.45547958</v>
      </c>
      <c r="V17" s="75">
        <f t="shared" si="10"/>
        <v>0.5089515</v>
      </c>
      <c r="W17" s="75">
        <f t="shared" si="10"/>
        <v>0.59448990000000002</v>
      </c>
      <c r="X17" s="75">
        <f t="shared" si="10"/>
        <v>0.69506802000000001</v>
      </c>
      <c r="Y17" s="75">
        <f t="shared" si="10"/>
        <v>0</v>
      </c>
      <c r="Z17" s="75">
        <f t="shared" si="10"/>
        <v>0</v>
      </c>
    </row>
    <row r="18" spans="1:26" s="22" customFormat="1" ht="13.5" thickBot="1" x14ac:dyDescent="0.25">
      <c r="A18" s="122"/>
      <c r="B18" s="123"/>
      <c r="C18" s="123"/>
      <c r="D18" s="123"/>
      <c r="E18" s="41" t="s">
        <v>5</v>
      </c>
      <c r="F18" s="34">
        <v>699</v>
      </c>
      <c r="G18" s="34">
        <v>557</v>
      </c>
      <c r="H18" s="34">
        <v>504.59070000000003</v>
      </c>
      <c r="I18" s="34">
        <v>538</v>
      </c>
      <c r="J18" s="34">
        <v>434.51805000000002</v>
      </c>
      <c r="K18" s="34">
        <v>492.17599999999999</v>
      </c>
      <c r="L18" s="95">
        <v>458.358</v>
      </c>
      <c r="M18" s="95">
        <v>518.12639999999999</v>
      </c>
      <c r="N18" s="95"/>
      <c r="O18" s="76">
        <v>15.77937</v>
      </c>
      <c r="P18" s="76">
        <v>33.89546</v>
      </c>
      <c r="Q18" s="76">
        <v>67.514139999999998</v>
      </c>
      <c r="R18" s="76">
        <v>81.896770000000004</v>
      </c>
      <c r="S18" s="76">
        <v>100.13294</v>
      </c>
      <c r="T18" s="76">
        <v>104.20887</v>
      </c>
      <c r="U18" s="76">
        <v>227.73979</v>
      </c>
      <c r="V18" s="76">
        <v>254.47575000000001</v>
      </c>
      <c r="W18" s="76">
        <v>297.24495000000002</v>
      </c>
      <c r="X18" s="76">
        <v>347.53401000000002</v>
      </c>
      <c r="Y18" s="76"/>
      <c r="Z18" s="76"/>
    </row>
    <row r="19" spans="1:26" s="8" customFormat="1" x14ac:dyDescent="0.2">
      <c r="A19" s="120" t="s">
        <v>16</v>
      </c>
      <c r="B19" s="121"/>
      <c r="C19" s="121"/>
      <c r="D19" s="121"/>
      <c r="E19" s="24" t="s">
        <v>6</v>
      </c>
      <c r="F19" s="37">
        <v>1950</v>
      </c>
      <c r="G19" s="37">
        <v>2800</v>
      </c>
      <c r="H19" s="37">
        <v>3300</v>
      </c>
      <c r="I19" s="37">
        <v>2500</v>
      </c>
      <c r="J19" s="37">
        <v>1800</v>
      </c>
      <c r="K19" s="37">
        <v>2500</v>
      </c>
      <c r="L19" s="37">
        <v>2600</v>
      </c>
      <c r="M19" s="37">
        <v>2900</v>
      </c>
      <c r="N19" s="37">
        <v>3000</v>
      </c>
      <c r="O19" s="75">
        <f>O20/$N$19</f>
        <v>8.6251893333333329E-2</v>
      </c>
      <c r="P19" s="75">
        <f t="shared" ref="P19:Z19" si="11">P20/$N$19</f>
        <v>0.10741641666666667</v>
      </c>
      <c r="Q19" s="75">
        <f t="shared" si="11"/>
        <v>0.20268148333333333</v>
      </c>
      <c r="R19" s="75">
        <f t="shared" si="11"/>
        <v>0.26358589666666665</v>
      </c>
      <c r="S19" s="75">
        <f t="shared" si="11"/>
        <v>0.36950044999999998</v>
      </c>
      <c r="T19" s="75">
        <f t="shared" si="11"/>
        <v>0.4966375833333333</v>
      </c>
      <c r="U19" s="75">
        <f t="shared" si="11"/>
        <v>0.59012745333333338</v>
      </c>
      <c r="V19" s="75">
        <f t="shared" si="11"/>
        <v>0.66766968999999998</v>
      </c>
      <c r="W19" s="75">
        <f t="shared" si="11"/>
        <v>0.71861198666666659</v>
      </c>
      <c r="X19" s="75">
        <f t="shared" si="11"/>
        <v>0.84710168333333336</v>
      </c>
      <c r="Y19" s="75">
        <f t="shared" si="11"/>
        <v>0</v>
      </c>
      <c r="Z19" s="75">
        <f t="shared" si="11"/>
        <v>0</v>
      </c>
    </row>
    <row r="20" spans="1:26" s="22" customFormat="1" ht="13.5" thickBot="1" x14ac:dyDescent="0.25">
      <c r="A20" s="122"/>
      <c r="B20" s="123"/>
      <c r="C20" s="123"/>
      <c r="D20" s="123"/>
      <c r="E20" s="41" t="s">
        <v>5</v>
      </c>
      <c r="F20" s="34">
        <v>2087</v>
      </c>
      <c r="G20" s="34">
        <v>2968</v>
      </c>
      <c r="H20" s="34">
        <v>2602.5461</v>
      </c>
      <c r="I20" s="34">
        <v>2503</v>
      </c>
      <c r="J20" s="34">
        <v>2636.07987</v>
      </c>
      <c r="K20" s="34">
        <v>2840.011</v>
      </c>
      <c r="L20" s="95">
        <v>2929.4340000000002</v>
      </c>
      <c r="M20" s="95">
        <v>2618.4447300000002</v>
      </c>
      <c r="N20" s="95"/>
      <c r="O20" s="76">
        <v>258.75567999999998</v>
      </c>
      <c r="P20" s="76">
        <v>322.24925000000002</v>
      </c>
      <c r="Q20" s="76">
        <v>608.04444999999998</v>
      </c>
      <c r="R20" s="76">
        <v>790.75769000000003</v>
      </c>
      <c r="S20" s="76">
        <v>1108.50135</v>
      </c>
      <c r="T20" s="76">
        <v>1489.91275</v>
      </c>
      <c r="U20" s="76">
        <v>1770.3823600000001</v>
      </c>
      <c r="V20" s="76">
        <v>2003.0090700000001</v>
      </c>
      <c r="W20" s="76">
        <v>2155.8359599999999</v>
      </c>
      <c r="X20" s="76">
        <v>2541.3050499999999</v>
      </c>
      <c r="Y20" s="76"/>
      <c r="Z20" s="76"/>
    </row>
    <row r="21" spans="1:26" s="8" customFormat="1" x14ac:dyDescent="0.2">
      <c r="A21" s="120" t="s">
        <v>35</v>
      </c>
      <c r="B21" s="121"/>
      <c r="C21" s="121"/>
      <c r="D21" s="121"/>
      <c r="E21" s="24" t="s">
        <v>6</v>
      </c>
      <c r="F21" s="37">
        <v>60</v>
      </c>
      <c r="G21" s="37">
        <v>60</v>
      </c>
      <c r="H21" s="37">
        <v>150</v>
      </c>
      <c r="I21" s="37">
        <v>150</v>
      </c>
      <c r="J21" s="37">
        <v>300</v>
      </c>
      <c r="K21" s="37">
        <v>330</v>
      </c>
      <c r="L21" s="37">
        <v>330</v>
      </c>
      <c r="M21" s="37">
        <v>400</v>
      </c>
      <c r="N21" s="37">
        <v>350</v>
      </c>
      <c r="O21" s="75">
        <f>O22/$N$21</f>
        <v>7.0439771428571427E-2</v>
      </c>
      <c r="P21" s="75">
        <f t="shared" ref="P21:Z21" si="12">P22/$N$21</f>
        <v>0.12430817142857144</v>
      </c>
      <c r="Q21" s="75">
        <f t="shared" si="12"/>
        <v>0.23860308571428573</v>
      </c>
      <c r="R21" s="75">
        <f t="shared" si="12"/>
        <v>0.34640734285714286</v>
      </c>
      <c r="S21" s="75">
        <f t="shared" si="12"/>
        <v>0.39824065714285717</v>
      </c>
      <c r="T21" s="75">
        <f t="shared" si="12"/>
        <v>0.48882394285714287</v>
      </c>
      <c r="U21" s="75">
        <f t="shared" si="12"/>
        <v>0.53852499999999992</v>
      </c>
      <c r="V21" s="75">
        <f t="shared" si="12"/>
        <v>0.57475908571428569</v>
      </c>
      <c r="W21" s="75">
        <f t="shared" si="12"/>
        <v>0.70463922857142858</v>
      </c>
      <c r="X21" s="75">
        <f t="shared" si="12"/>
        <v>0.76558165714285709</v>
      </c>
      <c r="Y21" s="75">
        <f t="shared" si="12"/>
        <v>0</v>
      </c>
      <c r="Z21" s="75">
        <f t="shared" si="12"/>
        <v>0</v>
      </c>
    </row>
    <row r="22" spans="1:26" s="22" customFormat="1" ht="13.5" thickBot="1" x14ac:dyDescent="0.25">
      <c r="A22" s="122"/>
      <c r="B22" s="123"/>
      <c r="C22" s="123"/>
      <c r="D22" s="123"/>
      <c r="E22" s="41" t="s">
        <v>5</v>
      </c>
      <c r="F22" s="34">
        <v>100</v>
      </c>
      <c r="G22" s="34">
        <v>102</v>
      </c>
      <c r="H22" s="34">
        <v>184.49430000000001</v>
      </c>
      <c r="I22" s="34">
        <v>286</v>
      </c>
      <c r="J22" s="34">
        <v>280.90543000000002</v>
      </c>
      <c r="K22" s="34">
        <v>356.93799999999999</v>
      </c>
      <c r="L22" s="95">
        <v>319.709</v>
      </c>
      <c r="M22" s="95">
        <v>379.27193</v>
      </c>
      <c r="N22" s="95"/>
      <c r="O22" s="76">
        <v>24.653919999999999</v>
      </c>
      <c r="P22" s="76">
        <v>43.507860000000001</v>
      </c>
      <c r="Q22" s="76">
        <v>83.511080000000007</v>
      </c>
      <c r="R22" s="76">
        <v>121.24257</v>
      </c>
      <c r="S22" s="76">
        <v>139.38423</v>
      </c>
      <c r="T22" s="76">
        <v>171.08838</v>
      </c>
      <c r="U22" s="76">
        <v>188.48374999999999</v>
      </c>
      <c r="V22" s="76">
        <v>201.16568000000001</v>
      </c>
      <c r="W22" s="76">
        <v>246.62372999999999</v>
      </c>
      <c r="X22" s="76">
        <v>267.95357999999999</v>
      </c>
      <c r="Y22" s="76"/>
      <c r="Z22" s="76"/>
    </row>
    <row r="23" spans="1:26" s="8" customFormat="1" x14ac:dyDescent="0.2">
      <c r="A23" s="120" t="s">
        <v>17</v>
      </c>
      <c r="B23" s="121"/>
      <c r="C23" s="121"/>
      <c r="D23" s="121"/>
      <c r="E23" s="24" t="s">
        <v>6</v>
      </c>
      <c r="F23" s="37">
        <v>35</v>
      </c>
      <c r="G23" s="37">
        <v>25</v>
      </c>
      <c r="H23" s="37">
        <v>30</v>
      </c>
      <c r="I23" s="37">
        <v>30</v>
      </c>
      <c r="J23" s="37">
        <v>30</v>
      </c>
      <c r="K23" s="37">
        <v>30</v>
      </c>
      <c r="L23" s="37">
        <v>25</v>
      </c>
      <c r="M23" s="37">
        <v>25</v>
      </c>
      <c r="N23" s="37">
        <v>20</v>
      </c>
      <c r="O23" s="75">
        <f>O24/$N$23</f>
        <v>0.75</v>
      </c>
      <c r="P23" s="75">
        <f t="shared" ref="P23:Z23" si="13">P24/$N$23</f>
        <v>0.75</v>
      </c>
      <c r="Q23" s="75">
        <f t="shared" si="13"/>
        <v>0.75</v>
      </c>
      <c r="R23" s="75">
        <f t="shared" si="13"/>
        <v>0.75</v>
      </c>
      <c r="S23" s="75">
        <f t="shared" si="13"/>
        <v>0.75</v>
      </c>
      <c r="T23" s="75">
        <f t="shared" si="13"/>
        <v>0.75</v>
      </c>
      <c r="U23" s="75">
        <f t="shared" si="13"/>
        <v>0.82499999999999996</v>
      </c>
      <c r="V23" s="75">
        <f t="shared" si="13"/>
        <v>0.82499999999999996</v>
      </c>
      <c r="W23" s="75">
        <f t="shared" si="13"/>
        <v>0.82499999999999996</v>
      </c>
      <c r="X23" s="75">
        <f t="shared" si="13"/>
        <v>0.82499999999999996</v>
      </c>
      <c r="Y23" s="75">
        <f t="shared" si="13"/>
        <v>0</v>
      </c>
      <c r="Z23" s="75">
        <f t="shared" si="13"/>
        <v>0</v>
      </c>
    </row>
    <row r="24" spans="1:26" s="22" customFormat="1" ht="13.5" thickBot="1" x14ac:dyDescent="0.25">
      <c r="A24" s="122"/>
      <c r="B24" s="123"/>
      <c r="C24" s="123"/>
      <c r="D24" s="123"/>
      <c r="E24" s="41" t="s">
        <v>5</v>
      </c>
      <c r="F24" s="34">
        <v>27</v>
      </c>
      <c r="G24" s="34">
        <v>31</v>
      </c>
      <c r="H24" s="34">
        <v>27</v>
      </c>
      <c r="I24" s="34">
        <v>20</v>
      </c>
      <c r="J24" s="34">
        <v>20.135000000000002</v>
      </c>
      <c r="K24" s="34">
        <v>17.099</v>
      </c>
      <c r="L24" s="95">
        <v>18.13</v>
      </c>
      <c r="M24" s="95">
        <v>15</v>
      </c>
      <c r="N24" s="95"/>
      <c r="O24" s="76">
        <v>15</v>
      </c>
      <c r="P24" s="76">
        <v>15</v>
      </c>
      <c r="Q24" s="76">
        <v>15</v>
      </c>
      <c r="R24" s="76">
        <v>15</v>
      </c>
      <c r="S24" s="76">
        <v>15</v>
      </c>
      <c r="T24" s="76">
        <v>15</v>
      </c>
      <c r="U24" s="76">
        <v>16.5</v>
      </c>
      <c r="V24" s="76">
        <v>16.5</v>
      </c>
      <c r="W24" s="76">
        <v>16.5</v>
      </c>
      <c r="X24" s="76">
        <v>16.5</v>
      </c>
      <c r="Y24" s="76"/>
      <c r="Z24" s="76"/>
    </row>
    <row r="25" spans="1:26" s="8" customFormat="1" x14ac:dyDescent="0.2">
      <c r="A25" s="120" t="s">
        <v>18</v>
      </c>
      <c r="B25" s="121"/>
      <c r="C25" s="121"/>
      <c r="D25" s="121"/>
      <c r="E25" s="24" t="s">
        <v>6</v>
      </c>
      <c r="F25" s="37">
        <v>475</v>
      </c>
      <c r="G25" s="37">
        <v>600</v>
      </c>
      <c r="H25" s="37">
        <v>630</v>
      </c>
      <c r="I25" s="37">
        <v>710</v>
      </c>
      <c r="J25" s="37">
        <v>660</v>
      </c>
      <c r="K25" s="37">
        <v>800</v>
      </c>
      <c r="L25" s="37">
        <v>810</v>
      </c>
      <c r="M25" s="37">
        <v>900</v>
      </c>
      <c r="N25" s="37">
        <v>900</v>
      </c>
      <c r="O25" s="75">
        <f>O26/$N$25</f>
        <v>0.24563888888888888</v>
      </c>
      <c r="P25" s="75">
        <f t="shared" ref="P25:Z25" si="14">P26/$N$25</f>
        <v>0.30119444444444443</v>
      </c>
      <c r="Q25" s="75">
        <f t="shared" si="14"/>
        <v>0.24563888888888888</v>
      </c>
      <c r="R25" s="75">
        <f t="shared" si="14"/>
        <v>0.5070122222222222</v>
      </c>
      <c r="S25" s="75">
        <f t="shared" si="14"/>
        <v>0.5070122222222222</v>
      </c>
      <c r="T25" s="75">
        <f t="shared" si="14"/>
        <v>0.5070122222222222</v>
      </c>
      <c r="U25" s="75">
        <f t="shared" si="14"/>
        <v>0.76652999999999993</v>
      </c>
      <c r="V25" s="75">
        <f t="shared" si="14"/>
        <v>0.76652999999999993</v>
      </c>
      <c r="W25" s="75">
        <f t="shared" si="14"/>
        <v>0.76652999999999993</v>
      </c>
      <c r="X25" s="75">
        <f t="shared" si="14"/>
        <v>1.0260477777777777</v>
      </c>
      <c r="Y25" s="75">
        <f t="shared" si="14"/>
        <v>0</v>
      </c>
      <c r="Z25" s="75">
        <f t="shared" si="14"/>
        <v>0</v>
      </c>
    </row>
    <row r="26" spans="1:26" s="22" customFormat="1" ht="13.5" thickBot="1" x14ac:dyDescent="0.25">
      <c r="A26" s="122"/>
      <c r="B26" s="123"/>
      <c r="C26" s="123"/>
      <c r="D26" s="123"/>
      <c r="E26" s="41" t="s">
        <v>5</v>
      </c>
      <c r="F26" s="34">
        <v>579</v>
      </c>
      <c r="G26" s="34">
        <v>582</v>
      </c>
      <c r="H26" s="34">
        <v>626</v>
      </c>
      <c r="I26" s="34">
        <v>626</v>
      </c>
      <c r="J26" s="34">
        <v>708.76400000000001</v>
      </c>
      <c r="K26" s="34">
        <v>808.63300000000004</v>
      </c>
      <c r="L26" s="95">
        <v>780.19500000000005</v>
      </c>
      <c r="M26" s="95">
        <v>872.78</v>
      </c>
      <c r="N26" s="95"/>
      <c r="O26" s="76">
        <v>221.07499999999999</v>
      </c>
      <c r="P26" s="76">
        <v>271.07499999999999</v>
      </c>
      <c r="Q26" s="76">
        <v>221.07499999999999</v>
      </c>
      <c r="R26" s="76">
        <v>456.31099999999998</v>
      </c>
      <c r="S26" s="76">
        <v>456.31099999999998</v>
      </c>
      <c r="T26" s="76">
        <v>456.31099999999998</v>
      </c>
      <c r="U26" s="76">
        <v>689.87699999999995</v>
      </c>
      <c r="V26" s="76">
        <v>689.87699999999995</v>
      </c>
      <c r="W26" s="76">
        <v>689.87699999999995</v>
      </c>
      <c r="X26" s="76">
        <v>923.44299999999998</v>
      </c>
      <c r="Y26" s="76"/>
      <c r="Z26" s="76"/>
    </row>
    <row r="27" spans="1:26" s="8" customFormat="1" x14ac:dyDescent="0.2">
      <c r="A27" s="130" t="s">
        <v>36</v>
      </c>
      <c r="B27" s="131"/>
      <c r="C27" s="131"/>
      <c r="D27" s="131"/>
      <c r="E27" s="25" t="s">
        <v>6</v>
      </c>
      <c r="F27" s="38">
        <f>F9+F11+F13+F15+F17+F19+F21+F23+F25</f>
        <v>8100</v>
      </c>
      <c r="G27" s="38">
        <f t="shared" ref="G27:N27" si="15">G9+G11+G13+G15+G17+G19+G21+G23+G25</f>
        <v>8485</v>
      </c>
      <c r="H27" s="38">
        <f t="shared" si="15"/>
        <v>9120</v>
      </c>
      <c r="I27" s="38">
        <f t="shared" si="15"/>
        <v>7610</v>
      </c>
      <c r="J27" s="38">
        <f t="shared" si="15"/>
        <v>6190</v>
      </c>
      <c r="K27" s="38">
        <f t="shared" si="15"/>
        <v>7210</v>
      </c>
      <c r="L27" s="38">
        <f t="shared" si="15"/>
        <v>7255</v>
      </c>
      <c r="M27" s="38">
        <f t="shared" si="15"/>
        <v>8025</v>
      </c>
      <c r="N27" s="38">
        <f t="shared" si="15"/>
        <v>8030</v>
      </c>
      <c r="O27" s="78">
        <f>O28/$N$27</f>
        <v>9.2117393524283928E-2</v>
      </c>
      <c r="P27" s="78">
        <f t="shared" ref="P27:Z27" si="16">P28/$N$27</f>
        <v>0.13586459775840598</v>
      </c>
      <c r="Q27" s="78">
        <f t="shared" si="16"/>
        <v>0.20303496886674971</v>
      </c>
      <c r="R27" s="78">
        <f t="shared" si="16"/>
        <v>0.28782962141967627</v>
      </c>
      <c r="S27" s="78">
        <f t="shared" si="16"/>
        <v>0.36158130136986305</v>
      </c>
      <c r="T27" s="78">
        <f t="shared" si="16"/>
        <v>0.44718242839352429</v>
      </c>
      <c r="U27" s="78">
        <f t="shared" si="16"/>
        <v>0.55825256662515566</v>
      </c>
      <c r="V27" s="78">
        <f t="shared" si="16"/>
        <v>0.62233004981320039</v>
      </c>
      <c r="W27" s="78">
        <f t="shared" si="16"/>
        <v>0.68185956288916572</v>
      </c>
      <c r="X27" s="78">
        <f t="shared" si="16"/>
        <v>0.79649244707347455</v>
      </c>
      <c r="Y27" s="78">
        <f t="shared" si="16"/>
        <v>0</v>
      </c>
      <c r="Z27" s="78">
        <f t="shared" si="16"/>
        <v>0</v>
      </c>
    </row>
    <row r="28" spans="1:26" s="22" customFormat="1" ht="13.5" thickBot="1" x14ac:dyDescent="0.25">
      <c r="A28" s="132"/>
      <c r="B28" s="133"/>
      <c r="C28" s="133"/>
      <c r="D28" s="133"/>
      <c r="E28" s="40" t="s">
        <v>5</v>
      </c>
      <c r="F28" s="39">
        <f>F10+F12+F14+F16+F18+F20+F22+F24+F26</f>
        <v>7228</v>
      </c>
      <c r="G28" s="39">
        <f t="shared" ref="G28:N28" si="17">G10+G12+G14+G16+G18+G20+G22+G24+G26</f>
        <v>7619</v>
      </c>
      <c r="H28" s="39">
        <f t="shared" si="17"/>
        <v>6852.8557000000001</v>
      </c>
      <c r="I28" s="39">
        <f t="shared" si="17"/>
        <v>6500</v>
      </c>
      <c r="J28" s="39">
        <f t="shared" si="17"/>
        <v>6882.7499000000007</v>
      </c>
      <c r="K28" s="39">
        <f t="shared" si="17"/>
        <v>7488.5519999999997</v>
      </c>
      <c r="L28" s="39">
        <f t="shared" si="17"/>
        <v>7687.5</v>
      </c>
      <c r="M28" s="39">
        <f t="shared" si="17"/>
        <v>7090.4637899999998</v>
      </c>
      <c r="N28" s="39">
        <f t="shared" si="17"/>
        <v>0</v>
      </c>
      <c r="O28" s="39">
        <f t="shared" ref="O28:Z28" si="18">O10+O12+O14+O16+O18+O20+O22+O24+O26</f>
        <v>739.7026699999999</v>
      </c>
      <c r="P28" s="39">
        <f t="shared" si="18"/>
        <v>1090.99272</v>
      </c>
      <c r="Q28" s="39">
        <f t="shared" si="18"/>
        <v>1630.3708000000001</v>
      </c>
      <c r="R28" s="39">
        <f>R10+R12+R14+R16+R18+R20+R22+R24+R26</f>
        <v>2311.2718600000003</v>
      </c>
      <c r="S28" s="39">
        <f t="shared" si="18"/>
        <v>2903.4978500000002</v>
      </c>
      <c r="T28" s="39">
        <f t="shared" si="18"/>
        <v>3590.8749000000003</v>
      </c>
      <c r="U28" s="39">
        <f t="shared" si="18"/>
        <v>4482.76811</v>
      </c>
      <c r="V28" s="39">
        <f t="shared" si="18"/>
        <v>4997.3102999999992</v>
      </c>
      <c r="W28" s="39">
        <f t="shared" si="18"/>
        <v>5475.3322900000003</v>
      </c>
      <c r="X28" s="39">
        <f t="shared" si="18"/>
        <v>6395.834350000001</v>
      </c>
      <c r="Y28" s="39">
        <f t="shared" si="18"/>
        <v>0</v>
      </c>
      <c r="Z28" s="39">
        <f t="shared" si="18"/>
        <v>0</v>
      </c>
    </row>
    <row r="29" spans="1:26" s="8" customFormat="1" ht="13.5" thickBot="1" x14ac:dyDescent="0.25">
      <c r="A29" s="9"/>
      <c r="B29" s="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s="8" customFormat="1" x14ac:dyDescent="0.2">
      <c r="A30" s="124" t="s">
        <v>1</v>
      </c>
      <c r="B30" s="125"/>
      <c r="C30" s="125"/>
      <c r="D30" s="126"/>
      <c r="E30" s="42" t="s">
        <v>6</v>
      </c>
      <c r="F30" s="37">
        <v>1900</v>
      </c>
      <c r="G30" s="37">
        <v>1900</v>
      </c>
      <c r="H30" s="37">
        <v>1800</v>
      </c>
      <c r="I30" s="37">
        <v>1900</v>
      </c>
      <c r="J30" s="37">
        <v>3500</v>
      </c>
      <c r="K30" s="37">
        <v>3100</v>
      </c>
      <c r="L30" s="65">
        <v>2677</v>
      </c>
      <c r="M30" s="65">
        <v>2641</v>
      </c>
      <c r="N30" s="65">
        <v>2720</v>
      </c>
      <c r="O30" s="79">
        <f>O31/$N$30</f>
        <v>8.373251470588236E-2</v>
      </c>
      <c r="P30" s="79">
        <f t="shared" ref="P30:Z30" si="19">P31/$N$30</f>
        <v>0.15844386397058824</v>
      </c>
      <c r="Q30" s="79">
        <f t="shared" si="19"/>
        <v>0.23993964705882354</v>
      </c>
      <c r="R30" s="79">
        <f t="shared" si="19"/>
        <v>0.3289248198529412</v>
      </c>
      <c r="S30" s="79">
        <f t="shared" si="19"/>
        <v>0.41511316544117643</v>
      </c>
      <c r="T30" s="79">
        <f t="shared" si="19"/>
        <v>0.49073018014705883</v>
      </c>
      <c r="U30" s="79">
        <f t="shared" si="19"/>
        <v>0.57011175735294117</v>
      </c>
      <c r="V30" s="79">
        <f t="shared" si="19"/>
        <v>0.64693035661764708</v>
      </c>
      <c r="W30" s="79">
        <f t="shared" si="19"/>
        <v>0.72083375735294108</v>
      </c>
      <c r="X30" s="79">
        <f t="shared" si="19"/>
        <v>0.82105659926470576</v>
      </c>
      <c r="Y30" s="79">
        <f t="shared" si="19"/>
        <v>0</v>
      </c>
      <c r="Z30" s="79">
        <f t="shared" si="19"/>
        <v>0</v>
      </c>
    </row>
    <row r="31" spans="1:26" s="22" customFormat="1" ht="13.5" thickBot="1" x14ac:dyDescent="0.25">
      <c r="A31" s="127"/>
      <c r="B31" s="128"/>
      <c r="C31" s="128"/>
      <c r="D31" s="129"/>
      <c r="E31" s="43" t="s">
        <v>5</v>
      </c>
      <c r="F31" s="44">
        <v>1890</v>
      </c>
      <c r="G31" s="44">
        <v>1813</v>
      </c>
      <c r="H31" s="44">
        <v>1667.8593000000001</v>
      </c>
      <c r="I31" s="44">
        <v>1839</v>
      </c>
      <c r="J31" s="44">
        <v>2455.3067599999999</v>
      </c>
      <c r="K31" s="44">
        <v>239.88399999999999</v>
      </c>
      <c r="L31" s="94">
        <v>2628.3409999999999</v>
      </c>
      <c r="M31" s="94">
        <v>2717.43768</v>
      </c>
      <c r="N31" s="94"/>
      <c r="O31" s="80">
        <v>227.75244000000001</v>
      </c>
      <c r="P31" s="80">
        <v>430.96731</v>
      </c>
      <c r="Q31" s="80">
        <v>652.63584000000003</v>
      </c>
      <c r="R31" s="80">
        <v>894.67551000000003</v>
      </c>
      <c r="S31" s="80">
        <v>1129.10781</v>
      </c>
      <c r="T31" s="80">
        <v>1334.7860900000001</v>
      </c>
      <c r="U31" s="80">
        <v>1550.70398</v>
      </c>
      <c r="V31" s="80">
        <v>1759.65057</v>
      </c>
      <c r="W31" s="80">
        <v>1960.6678199999999</v>
      </c>
      <c r="X31" s="80">
        <v>2233.2739499999998</v>
      </c>
      <c r="Y31" s="80"/>
      <c r="Z31" s="80"/>
    </row>
    <row r="32" spans="1:26" s="8" customFormat="1" x14ac:dyDescent="0.2">
      <c r="A32" s="124" t="s">
        <v>37</v>
      </c>
      <c r="B32" s="125"/>
      <c r="C32" s="125"/>
      <c r="D32" s="126"/>
      <c r="E32" s="42" t="s">
        <v>6</v>
      </c>
      <c r="F32" s="37">
        <v>5500</v>
      </c>
      <c r="G32" s="37">
        <v>5200</v>
      </c>
      <c r="H32" s="37">
        <v>5300</v>
      </c>
      <c r="I32" s="37">
        <v>4813</v>
      </c>
      <c r="J32" s="37">
        <v>5100</v>
      </c>
      <c r="K32" s="37">
        <v>5300</v>
      </c>
      <c r="L32" s="65">
        <v>5370</v>
      </c>
      <c r="M32" s="65">
        <v>5781</v>
      </c>
      <c r="N32" s="65">
        <v>5415.5</v>
      </c>
      <c r="O32" s="79">
        <f>O33/$N$32</f>
        <v>8.1708549533745733E-2</v>
      </c>
      <c r="P32" s="79">
        <f t="shared" ref="P32:Z32" si="20">P33/$N$32</f>
        <v>0.15577383621087618</v>
      </c>
      <c r="Q32" s="79">
        <f t="shared" si="20"/>
        <v>0.23641983381035914</v>
      </c>
      <c r="R32" s="79">
        <f t="shared" si="20"/>
        <v>0.30816492844612686</v>
      </c>
      <c r="S32" s="79">
        <f t="shared" si="20"/>
        <v>0.39752456282891696</v>
      </c>
      <c r="T32" s="79">
        <f t="shared" si="20"/>
        <v>0.47934117625334688</v>
      </c>
      <c r="U32" s="79">
        <f t="shared" si="20"/>
        <v>0.54351858184839807</v>
      </c>
      <c r="V32" s="79">
        <f t="shared" si="20"/>
        <v>0.61905769919675002</v>
      </c>
      <c r="W32" s="79">
        <f t="shared" si="20"/>
        <v>0.70458161388606777</v>
      </c>
      <c r="X32" s="79">
        <f t="shared" si="20"/>
        <v>0.7871479955682763</v>
      </c>
      <c r="Y32" s="79">
        <f t="shared" si="20"/>
        <v>0</v>
      </c>
      <c r="Z32" s="79">
        <f t="shared" si="20"/>
        <v>0</v>
      </c>
    </row>
    <row r="33" spans="1:26" s="22" customFormat="1" ht="13.5" thickBot="1" x14ac:dyDescent="0.25">
      <c r="A33" s="127"/>
      <c r="B33" s="128"/>
      <c r="C33" s="128"/>
      <c r="D33" s="129"/>
      <c r="E33" s="43" t="s">
        <v>5</v>
      </c>
      <c r="F33" s="44">
        <v>5058</v>
      </c>
      <c r="G33" s="44">
        <v>4776</v>
      </c>
      <c r="H33" s="44">
        <v>5013.2416000000003</v>
      </c>
      <c r="I33" s="44">
        <v>4959</v>
      </c>
      <c r="J33" s="44">
        <v>5326.1034499999996</v>
      </c>
      <c r="K33" s="44">
        <v>5652.3140000000003</v>
      </c>
      <c r="L33" s="94">
        <v>5691.6880000000001</v>
      </c>
      <c r="M33" s="94">
        <v>5356.1434900000004</v>
      </c>
      <c r="N33" s="94"/>
      <c r="O33" s="80">
        <v>442.49265000000003</v>
      </c>
      <c r="P33" s="80">
        <v>843.59321</v>
      </c>
      <c r="Q33" s="80">
        <v>1280.33161</v>
      </c>
      <c r="R33" s="80">
        <v>1668.86717</v>
      </c>
      <c r="S33" s="80">
        <v>2152.7942699999999</v>
      </c>
      <c r="T33" s="80">
        <v>2595.8721399999999</v>
      </c>
      <c r="U33" s="80">
        <v>2943.42488</v>
      </c>
      <c r="V33" s="80">
        <v>3352.5069699999999</v>
      </c>
      <c r="W33" s="80">
        <v>3815.6617299999998</v>
      </c>
      <c r="X33" s="80">
        <v>4262.79997</v>
      </c>
      <c r="Y33" s="80"/>
      <c r="Z33" s="80"/>
    </row>
    <row r="34" spans="1:26" s="8" customFormat="1" x14ac:dyDescent="0.2">
      <c r="A34" s="124" t="s">
        <v>11</v>
      </c>
      <c r="B34" s="125"/>
      <c r="C34" s="125"/>
      <c r="D34" s="126"/>
      <c r="E34" s="42" t="s">
        <v>6</v>
      </c>
      <c r="F34" s="37">
        <v>2800</v>
      </c>
      <c r="G34" s="37">
        <v>2900</v>
      </c>
      <c r="H34" s="37">
        <v>3500</v>
      </c>
      <c r="I34" s="37">
        <v>3500</v>
      </c>
      <c r="J34" s="37">
        <v>3300</v>
      </c>
      <c r="K34" s="37">
        <v>3100</v>
      </c>
      <c r="L34" s="65">
        <v>3367</v>
      </c>
      <c r="M34" s="65">
        <v>3147</v>
      </c>
      <c r="N34" s="65">
        <v>3123</v>
      </c>
      <c r="O34" s="79">
        <f>O35/$N$34</f>
        <v>2.1286199167467178E-2</v>
      </c>
      <c r="P34" s="79">
        <f t="shared" ref="P34:Z34" si="21">P35/$N$34</f>
        <v>4.4133868075568364E-2</v>
      </c>
      <c r="Q34" s="79">
        <f t="shared" si="21"/>
        <v>8.6003121998078774E-2</v>
      </c>
      <c r="R34" s="79">
        <f t="shared" si="21"/>
        <v>0.11375399615754084</v>
      </c>
      <c r="S34" s="79">
        <f t="shared" si="21"/>
        <v>0.18653559077809798</v>
      </c>
      <c r="T34" s="79">
        <f t="shared" si="21"/>
        <v>0.23742498879282742</v>
      </c>
      <c r="U34" s="79">
        <f t="shared" si="21"/>
        <v>0.30244678514249118</v>
      </c>
      <c r="V34" s="79">
        <f t="shared" si="21"/>
        <v>0.33764709894332373</v>
      </c>
      <c r="W34" s="79">
        <f t="shared" si="21"/>
        <v>0.41364076528978544</v>
      </c>
      <c r="X34" s="79">
        <f t="shared" si="21"/>
        <v>4.6216535382644891E-2</v>
      </c>
      <c r="Y34" s="79">
        <f t="shared" si="21"/>
        <v>0</v>
      </c>
      <c r="Z34" s="79">
        <f t="shared" si="21"/>
        <v>0</v>
      </c>
    </row>
    <row r="35" spans="1:26" s="22" customFormat="1" ht="13.5" thickBot="1" x14ac:dyDescent="0.25">
      <c r="A35" s="127"/>
      <c r="B35" s="128"/>
      <c r="C35" s="128"/>
      <c r="D35" s="129"/>
      <c r="E35" s="43" t="s">
        <v>5</v>
      </c>
      <c r="F35" s="44">
        <v>2833</v>
      </c>
      <c r="G35" s="44">
        <v>3316</v>
      </c>
      <c r="H35" s="44">
        <v>3234.8519000000001</v>
      </c>
      <c r="I35" s="44">
        <v>2991</v>
      </c>
      <c r="J35" s="44">
        <v>3030.12482</v>
      </c>
      <c r="K35" s="44">
        <v>3244</v>
      </c>
      <c r="L35" s="94">
        <v>3091.3539999999998</v>
      </c>
      <c r="M35" s="94">
        <v>2926.7005899999999</v>
      </c>
      <c r="N35" s="94"/>
      <c r="O35" s="80">
        <v>66.476799999999997</v>
      </c>
      <c r="P35" s="80">
        <v>137.83007000000001</v>
      </c>
      <c r="Q35" s="80">
        <v>268.58775000000003</v>
      </c>
      <c r="R35" s="80">
        <v>355.25373000000002</v>
      </c>
      <c r="S35" s="80">
        <v>582.55065000000002</v>
      </c>
      <c r="T35" s="80">
        <v>741.47824000000003</v>
      </c>
      <c r="U35" s="80">
        <v>944.54130999999995</v>
      </c>
      <c r="V35" s="80">
        <v>1054.47189</v>
      </c>
      <c r="W35" s="80">
        <v>1291.8001099999999</v>
      </c>
      <c r="X35" s="80">
        <v>144.33423999999999</v>
      </c>
      <c r="Y35" s="80"/>
      <c r="Z35" s="80"/>
    </row>
    <row r="36" spans="1:26" s="8" customFormat="1" x14ac:dyDescent="0.2">
      <c r="A36" s="124" t="s">
        <v>59</v>
      </c>
      <c r="B36" s="125"/>
      <c r="C36" s="125"/>
      <c r="D36" s="126"/>
      <c r="E36" s="42" t="s">
        <v>6</v>
      </c>
      <c r="F36" s="37">
        <v>7300</v>
      </c>
      <c r="G36" s="37">
        <v>6500</v>
      </c>
      <c r="H36" s="37">
        <v>5125</v>
      </c>
      <c r="I36" s="37">
        <v>5840</v>
      </c>
      <c r="J36" s="37">
        <v>7640</v>
      </c>
      <c r="K36" s="37">
        <v>8865</v>
      </c>
      <c r="L36" s="65">
        <f>400+450+100+180+8200+5</f>
        <v>9335</v>
      </c>
      <c r="M36" s="65">
        <f>450+300+120+180+8309+5</f>
        <v>9364</v>
      </c>
      <c r="N36" s="65">
        <v>9524.5</v>
      </c>
      <c r="O36" s="79">
        <f>O37/$N$36</f>
        <v>9.1769377920100786E-2</v>
      </c>
      <c r="P36" s="79">
        <f t="shared" ref="P36:Z36" si="22">P37/$N$36</f>
        <v>0.17252185731534464</v>
      </c>
      <c r="Q36" s="79">
        <f t="shared" si="22"/>
        <v>0.28849182529266626</v>
      </c>
      <c r="R36" s="79">
        <f t="shared" si="22"/>
        <v>0.38857861095070612</v>
      </c>
      <c r="S36" s="79">
        <f t="shared" si="22"/>
        <v>0.47880654837524289</v>
      </c>
      <c r="T36" s="79">
        <f t="shared" si="22"/>
        <v>0.56621969867184629</v>
      </c>
      <c r="U36" s="79">
        <f t="shared" si="22"/>
        <v>0.64725407527954226</v>
      </c>
      <c r="V36" s="79">
        <f t="shared" si="22"/>
        <v>0.71583243214866921</v>
      </c>
      <c r="W36" s="79">
        <f t="shared" si="22"/>
        <v>0.79838314452202219</v>
      </c>
      <c r="X36" s="79">
        <f t="shared" si="22"/>
        <v>0.88946132815370893</v>
      </c>
      <c r="Y36" s="79">
        <f t="shared" si="22"/>
        <v>0</v>
      </c>
      <c r="Z36" s="79">
        <f t="shared" si="22"/>
        <v>0</v>
      </c>
    </row>
    <row r="37" spans="1:26" s="22" customFormat="1" ht="13.5" thickBot="1" x14ac:dyDescent="0.25">
      <c r="A37" s="127" t="s">
        <v>53</v>
      </c>
      <c r="B37" s="128"/>
      <c r="C37" s="128"/>
      <c r="D37" s="129"/>
      <c r="E37" s="43" t="s">
        <v>5</v>
      </c>
      <c r="F37" s="44">
        <v>7069</v>
      </c>
      <c r="G37" s="44">
        <v>7886</v>
      </c>
      <c r="H37" s="44">
        <v>5793.8991999999998</v>
      </c>
      <c r="I37" s="44">
        <v>8344</v>
      </c>
      <c r="J37" s="44">
        <v>8963.6679500000009</v>
      </c>
      <c r="K37" s="44">
        <v>9631</v>
      </c>
      <c r="L37" s="94">
        <f>347.437+304.102+66.051+156.495+8368.195+4.162</f>
        <v>9246.4419999999991</v>
      </c>
      <c r="M37" s="94">
        <v>9861.0174299999999</v>
      </c>
      <c r="N37" s="94"/>
      <c r="O37" s="80">
        <f>93.33829+16.63045+1.24999+3.14709+759.69162</f>
        <v>874.05743999999993</v>
      </c>
      <c r="P37" s="80">
        <f>95.17131+29.50695+2.49997+12.43215+1503.57405</f>
        <v>1643.18443</v>
      </c>
      <c r="Q37" s="80">
        <f>106.64416+56.28458+8.92757+20.27352+2555.61056</f>
        <v>2747.7403899999999</v>
      </c>
      <c r="R37" s="80">
        <f>123.57676+74.02488+20.78111+31.51291+3451.12132</f>
        <v>3701.0169800000003</v>
      </c>
      <c r="S37" s="80">
        <f>128.02576+105.34688+23.73351+36.34505+4266.94177</f>
        <v>4560.3929700000008</v>
      </c>
      <c r="T37" s="80">
        <f>129.65302+132.98038+32.2353+41.40177+5056.68905</f>
        <v>5392.9595200000003</v>
      </c>
      <c r="U37" s="80">
        <f>131.27102+141.36238+43.2945+41.40177+5807.44177</f>
        <v>6164.7714400000004</v>
      </c>
      <c r="V37" s="80">
        <f>146.84402+164.23244+49.44469+72.5286+6384.89625</f>
        <v>6817.9459999999999</v>
      </c>
      <c r="W37" s="80">
        <f>164.08652+170.00644+57.16269+72.5286+7140.24588+0.17013</f>
        <v>7604.2002600000005</v>
      </c>
      <c r="X37" s="80">
        <f>194.09353+179.83462+66.47221+77.62078+7953.45606+0.19722</f>
        <v>8471.6744200000012</v>
      </c>
      <c r="Y37" s="80"/>
      <c r="Z37" s="80"/>
    </row>
    <row r="38" spans="1:26" s="8" customFormat="1" x14ac:dyDescent="0.2">
      <c r="A38" s="124" t="s">
        <v>38</v>
      </c>
      <c r="B38" s="125"/>
      <c r="C38" s="125"/>
      <c r="D38" s="126"/>
      <c r="E38" s="42" t="s">
        <v>6</v>
      </c>
      <c r="F38" s="37">
        <v>230</v>
      </c>
      <c r="G38" s="37">
        <v>200</v>
      </c>
      <c r="H38" s="37">
        <v>150</v>
      </c>
      <c r="I38" s="37">
        <v>150</v>
      </c>
      <c r="J38" s="37">
        <v>100</v>
      </c>
      <c r="K38" s="37">
        <v>100</v>
      </c>
      <c r="L38" s="65">
        <v>140</v>
      </c>
      <c r="M38" s="65">
        <v>0</v>
      </c>
      <c r="N38" s="65">
        <v>120</v>
      </c>
      <c r="O38" s="79">
        <f>O39/$N$38</f>
        <v>0.2493475</v>
      </c>
      <c r="P38" s="79">
        <f t="shared" ref="P38:Z38" si="23">P39/$N$38</f>
        <v>0.36730283333333336</v>
      </c>
      <c r="Q38" s="79">
        <f t="shared" si="23"/>
        <v>0.57199883333333335</v>
      </c>
      <c r="R38" s="79">
        <f t="shared" si="23"/>
        <v>0.62546024999999994</v>
      </c>
      <c r="S38" s="79">
        <f t="shared" si="23"/>
        <v>0.72869349999999999</v>
      </c>
      <c r="T38" s="79">
        <f t="shared" si="23"/>
        <v>0.78897000000000006</v>
      </c>
      <c r="U38" s="79">
        <f t="shared" si="23"/>
        <v>1.2841623333333334</v>
      </c>
      <c r="V38" s="79">
        <f t="shared" si="23"/>
        <v>1.4006263333333335</v>
      </c>
      <c r="W38" s="79">
        <f t="shared" si="23"/>
        <v>1.6442171666666667</v>
      </c>
      <c r="X38" s="79">
        <f t="shared" si="23"/>
        <v>1.928984</v>
      </c>
      <c r="Y38" s="79">
        <f t="shared" si="23"/>
        <v>0</v>
      </c>
      <c r="Z38" s="79">
        <f t="shared" si="23"/>
        <v>0</v>
      </c>
    </row>
    <row r="39" spans="1:26" s="22" customFormat="1" ht="13.5" thickBot="1" x14ac:dyDescent="0.25">
      <c r="A39" s="127"/>
      <c r="B39" s="128"/>
      <c r="C39" s="128"/>
      <c r="D39" s="129"/>
      <c r="E39" s="43" t="s">
        <v>5</v>
      </c>
      <c r="F39" s="44">
        <v>127</v>
      </c>
      <c r="G39" s="44">
        <v>63</v>
      </c>
      <c r="H39" s="44">
        <v>118.96380000000001</v>
      </c>
      <c r="I39" s="44">
        <v>89</v>
      </c>
      <c r="J39" s="44">
        <v>226.27035000000001</v>
      </c>
      <c r="K39" s="44">
        <v>170</v>
      </c>
      <c r="L39" s="94">
        <v>245.31200000000001</v>
      </c>
      <c r="M39" s="94">
        <v>207.07066</v>
      </c>
      <c r="N39" s="94"/>
      <c r="O39" s="80">
        <v>29.921700000000001</v>
      </c>
      <c r="P39" s="80">
        <v>44.076340000000002</v>
      </c>
      <c r="Q39" s="80">
        <v>68.639859999999999</v>
      </c>
      <c r="R39" s="80">
        <v>75.055229999999995</v>
      </c>
      <c r="S39" s="80">
        <v>87.443219999999997</v>
      </c>
      <c r="T39" s="80">
        <v>94.676400000000001</v>
      </c>
      <c r="U39" s="80">
        <v>154.09948</v>
      </c>
      <c r="V39" s="80">
        <v>168.07516000000001</v>
      </c>
      <c r="W39" s="80">
        <v>197.30606</v>
      </c>
      <c r="X39" s="80">
        <v>231.47808000000001</v>
      </c>
      <c r="Y39" s="80"/>
      <c r="Z39" s="80"/>
    </row>
    <row r="40" spans="1:26" s="8" customFormat="1" x14ac:dyDescent="0.2">
      <c r="A40" s="124" t="s">
        <v>2</v>
      </c>
      <c r="B40" s="125"/>
      <c r="C40" s="125"/>
      <c r="D40" s="126"/>
      <c r="E40" s="42" t="s">
        <v>6</v>
      </c>
      <c r="F40" s="37">
        <v>2200</v>
      </c>
      <c r="G40" s="37">
        <v>2200</v>
      </c>
      <c r="H40" s="37">
        <v>3060</v>
      </c>
      <c r="I40" s="37">
        <v>3060</v>
      </c>
      <c r="J40" s="37">
        <v>3100</v>
      </c>
      <c r="K40" s="37">
        <v>2020</v>
      </c>
      <c r="L40" s="65">
        <v>2000</v>
      </c>
      <c r="M40" s="65">
        <v>400</v>
      </c>
      <c r="N40" s="65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</row>
    <row r="41" spans="1:26" s="22" customFormat="1" ht="13.5" thickBot="1" x14ac:dyDescent="0.25">
      <c r="A41" s="127"/>
      <c r="B41" s="128"/>
      <c r="C41" s="128"/>
      <c r="D41" s="129"/>
      <c r="E41" s="43" t="s">
        <v>5</v>
      </c>
      <c r="F41" s="44">
        <v>2473</v>
      </c>
      <c r="G41" s="44">
        <v>2074</v>
      </c>
      <c r="H41" s="44">
        <v>2750.0173</v>
      </c>
      <c r="I41" s="44">
        <v>3229</v>
      </c>
      <c r="J41" s="44">
        <v>3238.79412</v>
      </c>
      <c r="K41" s="44">
        <v>1490</v>
      </c>
      <c r="L41" s="94">
        <v>293.52600000000001</v>
      </c>
      <c r="M41" s="94">
        <v>5.3674999999999997</v>
      </c>
      <c r="N41" s="94"/>
      <c r="O41" s="80">
        <v>0</v>
      </c>
      <c r="P41" s="80">
        <v>0</v>
      </c>
      <c r="Q41" s="80">
        <v>0</v>
      </c>
      <c r="R41" s="80">
        <v>0</v>
      </c>
      <c r="S41" s="80">
        <v>0</v>
      </c>
      <c r="T41" s="80">
        <v>0</v>
      </c>
      <c r="U41" s="80">
        <v>0</v>
      </c>
      <c r="V41" s="80">
        <v>0</v>
      </c>
      <c r="W41" s="80">
        <v>0</v>
      </c>
      <c r="X41" s="80">
        <v>0</v>
      </c>
      <c r="Y41" s="80"/>
      <c r="Z41" s="80"/>
    </row>
    <row r="42" spans="1:26" s="8" customFormat="1" x14ac:dyDescent="0.2">
      <c r="A42" s="124" t="s">
        <v>13</v>
      </c>
      <c r="B42" s="125"/>
      <c r="C42" s="125"/>
      <c r="D42" s="126"/>
      <c r="E42" s="42" t="s">
        <v>6</v>
      </c>
      <c r="F42" s="37">
        <v>1480</v>
      </c>
      <c r="G42" s="37">
        <v>1600</v>
      </c>
      <c r="H42" s="37">
        <v>1500</v>
      </c>
      <c r="I42" s="37">
        <v>1500</v>
      </c>
      <c r="J42" s="37">
        <v>2115</v>
      </c>
      <c r="K42" s="37">
        <v>2900</v>
      </c>
      <c r="L42" s="65">
        <v>2900</v>
      </c>
      <c r="M42" s="65">
        <v>1000</v>
      </c>
      <c r="N42" s="65">
        <v>1800</v>
      </c>
      <c r="O42" s="79">
        <f>O43/$N$42</f>
        <v>7.5583027777777784E-2</v>
      </c>
      <c r="P42" s="79">
        <f t="shared" ref="P42:Z42" si="24">P43/$N$42</f>
        <v>0.12269408888888889</v>
      </c>
      <c r="Q42" s="79">
        <f t="shared" si="24"/>
        <v>0.39698351666666665</v>
      </c>
      <c r="R42" s="79">
        <f t="shared" si="24"/>
        <v>0.48365134444444441</v>
      </c>
      <c r="S42" s="79">
        <f t="shared" si="24"/>
        <v>0.79919553888888883</v>
      </c>
      <c r="T42" s="79">
        <f t="shared" si="24"/>
        <v>1.0493647888888888</v>
      </c>
      <c r="U42" s="79">
        <f t="shared" si="24"/>
        <v>1.113535538888889</v>
      </c>
      <c r="V42" s="79">
        <f t="shared" si="24"/>
        <v>1.1335202111111111</v>
      </c>
      <c r="W42" s="79">
        <f t="shared" si="24"/>
        <v>1.3324305333333335</v>
      </c>
      <c r="X42" s="79">
        <f t="shared" si="24"/>
        <v>1.4974280444444446</v>
      </c>
      <c r="Y42" s="79">
        <f t="shared" si="24"/>
        <v>0</v>
      </c>
      <c r="Z42" s="79">
        <f t="shared" si="24"/>
        <v>0</v>
      </c>
    </row>
    <row r="43" spans="1:26" s="22" customFormat="1" ht="13.5" thickBot="1" x14ac:dyDescent="0.25">
      <c r="A43" s="127"/>
      <c r="B43" s="128"/>
      <c r="C43" s="128"/>
      <c r="D43" s="129"/>
      <c r="E43" s="43" t="s">
        <v>5</v>
      </c>
      <c r="F43" s="57" t="s">
        <v>50</v>
      </c>
      <c r="G43" s="57" t="s">
        <v>52</v>
      </c>
      <c r="H43" s="57">
        <v>1739</v>
      </c>
      <c r="I43" s="57">
        <v>2094</v>
      </c>
      <c r="J43" s="57">
        <v>2592.6892200000002</v>
      </c>
      <c r="K43" s="57">
        <v>3654</v>
      </c>
      <c r="L43" s="94">
        <v>2164.5390000000002</v>
      </c>
      <c r="M43" s="94">
        <v>2100.7148299999999</v>
      </c>
      <c r="N43" s="94"/>
      <c r="O43" s="80">
        <v>136.04945000000001</v>
      </c>
      <c r="P43" s="80">
        <v>220.84935999999999</v>
      </c>
      <c r="Q43" s="80">
        <v>714.57033000000001</v>
      </c>
      <c r="R43" s="80">
        <v>870.57241999999997</v>
      </c>
      <c r="S43" s="80">
        <v>1438.55197</v>
      </c>
      <c r="T43" s="80">
        <v>1888.85662</v>
      </c>
      <c r="U43" s="80">
        <v>2004.3639700000001</v>
      </c>
      <c r="V43" s="80">
        <v>2040.33638</v>
      </c>
      <c r="W43" s="80">
        <v>2398.3749600000001</v>
      </c>
      <c r="X43" s="80">
        <v>2695.37048</v>
      </c>
      <c r="Y43" s="80"/>
      <c r="Z43" s="80"/>
    </row>
    <row r="44" spans="1:26" s="8" customFormat="1" x14ac:dyDescent="0.2">
      <c r="A44" s="124" t="s">
        <v>14</v>
      </c>
      <c r="B44" s="125"/>
      <c r="C44" s="125"/>
      <c r="D44" s="126"/>
      <c r="E44" s="42" t="s">
        <v>6</v>
      </c>
      <c r="F44" s="37">
        <v>90</v>
      </c>
      <c r="G44" s="37">
        <v>50</v>
      </c>
      <c r="H44" s="37">
        <v>80</v>
      </c>
      <c r="I44" s="37">
        <v>30</v>
      </c>
      <c r="J44" s="37">
        <v>30</v>
      </c>
      <c r="K44" s="37">
        <v>90</v>
      </c>
      <c r="L44" s="65">
        <v>64</v>
      </c>
      <c r="M44" s="65">
        <v>125</v>
      </c>
      <c r="N44" s="65">
        <v>100</v>
      </c>
      <c r="O44" s="79">
        <f>O45/$N$44</f>
        <v>9.9694400000000002E-2</v>
      </c>
      <c r="P44" s="79">
        <f t="shared" ref="P44:Z44" si="25">P45/$N$44</f>
        <v>0.2356306</v>
      </c>
      <c r="Q44" s="79">
        <f t="shared" si="25"/>
        <v>0.40597029999999995</v>
      </c>
      <c r="R44" s="79">
        <f t="shared" si="25"/>
        <v>0.4955717</v>
      </c>
      <c r="S44" s="79">
        <f t="shared" si="25"/>
        <v>0.61049209999999998</v>
      </c>
      <c r="T44" s="79">
        <f t="shared" si="25"/>
        <v>0.76702320000000002</v>
      </c>
      <c r="U44" s="79">
        <f t="shared" si="25"/>
        <v>0.8686181999999999</v>
      </c>
      <c r="V44" s="79">
        <f t="shared" si="25"/>
        <v>1.0425470999999999</v>
      </c>
      <c r="W44" s="79">
        <f t="shared" si="25"/>
        <v>1.1888966999999999</v>
      </c>
      <c r="X44" s="79">
        <f t="shared" si="25"/>
        <v>1.3213854</v>
      </c>
      <c r="Y44" s="79">
        <f t="shared" si="25"/>
        <v>0</v>
      </c>
      <c r="Z44" s="79">
        <f t="shared" si="25"/>
        <v>0</v>
      </c>
    </row>
    <row r="45" spans="1:26" s="22" customFormat="1" ht="13.5" thickBot="1" x14ac:dyDescent="0.25">
      <c r="A45" s="127"/>
      <c r="B45" s="128"/>
      <c r="C45" s="128"/>
      <c r="D45" s="129"/>
      <c r="E45" s="43" t="s">
        <v>5</v>
      </c>
      <c r="F45" s="44">
        <v>48</v>
      </c>
      <c r="G45" s="44">
        <v>76</v>
      </c>
      <c r="H45" s="44">
        <v>27.234300000000001</v>
      </c>
      <c r="I45" s="44">
        <v>75</v>
      </c>
      <c r="J45" s="44">
        <v>94.187939999999998</v>
      </c>
      <c r="K45" s="44">
        <v>66</v>
      </c>
      <c r="L45" s="94">
        <v>145.05000000000001</v>
      </c>
      <c r="M45" s="94">
        <v>138.71097</v>
      </c>
      <c r="N45" s="94"/>
      <c r="O45" s="80">
        <v>9.9694400000000005</v>
      </c>
      <c r="P45" s="80">
        <v>23.56306</v>
      </c>
      <c r="Q45" s="80">
        <v>40.597029999999997</v>
      </c>
      <c r="R45" s="80">
        <v>49.557169999999999</v>
      </c>
      <c r="S45" s="80">
        <v>61.049210000000002</v>
      </c>
      <c r="T45" s="80">
        <v>76.70232</v>
      </c>
      <c r="U45" s="80">
        <v>86.861819999999994</v>
      </c>
      <c r="V45" s="80">
        <v>104.25471</v>
      </c>
      <c r="W45" s="80">
        <v>118.88967</v>
      </c>
      <c r="X45" s="80">
        <v>132.13854000000001</v>
      </c>
      <c r="Y45" s="80"/>
      <c r="Z45" s="80"/>
    </row>
    <row r="46" spans="1:26" s="8" customFormat="1" x14ac:dyDescent="0.2">
      <c r="A46" s="124" t="s">
        <v>15</v>
      </c>
      <c r="B46" s="125"/>
      <c r="C46" s="125"/>
      <c r="D46" s="126"/>
      <c r="E46" s="42" t="s">
        <v>6</v>
      </c>
      <c r="F46" s="37">
        <v>210</v>
      </c>
      <c r="G46" s="37">
        <v>170</v>
      </c>
      <c r="H46" s="37">
        <v>170</v>
      </c>
      <c r="I46" s="37">
        <v>170</v>
      </c>
      <c r="J46" s="37">
        <v>430</v>
      </c>
      <c r="K46" s="37">
        <v>1600</v>
      </c>
      <c r="L46" s="65">
        <v>1524</v>
      </c>
      <c r="M46" s="65">
        <v>250</v>
      </c>
      <c r="N46" s="65">
        <v>150</v>
      </c>
      <c r="O46" s="79">
        <f>O47/$N$46</f>
        <v>3.319486666666667E-2</v>
      </c>
      <c r="P46" s="79">
        <f t="shared" ref="P46:Z46" si="26">P47/$N$46</f>
        <v>0.43190053333333328</v>
      </c>
      <c r="Q46" s="79">
        <f t="shared" si="26"/>
        <v>0.49031253333333336</v>
      </c>
      <c r="R46" s="79">
        <f t="shared" si="26"/>
        <v>0.53600113333333332</v>
      </c>
      <c r="S46" s="79">
        <f t="shared" si="26"/>
        <v>0.58381493333333334</v>
      </c>
      <c r="T46" s="79">
        <f t="shared" si="26"/>
        <v>0.64345059999999998</v>
      </c>
      <c r="U46" s="79">
        <f t="shared" si="26"/>
        <v>0.64932566666666669</v>
      </c>
      <c r="V46" s="79">
        <f t="shared" si="26"/>
        <v>0.71584253333333336</v>
      </c>
      <c r="W46" s="79">
        <f t="shared" si="26"/>
        <v>1.7113794666666668</v>
      </c>
      <c r="X46" s="79">
        <f t="shared" si="26"/>
        <v>1.7647167333333333</v>
      </c>
      <c r="Y46" s="79">
        <f t="shared" si="26"/>
        <v>0</v>
      </c>
      <c r="Z46" s="79">
        <f t="shared" si="26"/>
        <v>0</v>
      </c>
    </row>
    <row r="47" spans="1:26" s="22" customFormat="1" ht="13.5" thickBot="1" x14ac:dyDescent="0.25">
      <c r="A47" s="127"/>
      <c r="B47" s="128"/>
      <c r="C47" s="128"/>
      <c r="D47" s="129"/>
      <c r="E47" s="43" t="s">
        <v>5</v>
      </c>
      <c r="F47" s="44">
        <v>106</v>
      </c>
      <c r="G47" s="44">
        <v>195</v>
      </c>
      <c r="H47" s="44">
        <v>263.8143</v>
      </c>
      <c r="I47" s="44">
        <v>256</v>
      </c>
      <c r="J47" s="44">
        <v>190.79435000000001</v>
      </c>
      <c r="K47" s="44">
        <v>2203</v>
      </c>
      <c r="L47" s="94">
        <v>439.18200000000002</v>
      </c>
      <c r="M47" s="94">
        <v>256.92975000000001</v>
      </c>
      <c r="N47" s="94"/>
      <c r="O47" s="80">
        <v>4.9792300000000003</v>
      </c>
      <c r="P47" s="80">
        <v>64.785079999999994</v>
      </c>
      <c r="Q47" s="80">
        <v>73.546880000000002</v>
      </c>
      <c r="R47" s="80">
        <v>80.400170000000003</v>
      </c>
      <c r="S47" s="80">
        <v>87.572239999999994</v>
      </c>
      <c r="T47" s="80">
        <v>96.517589999999998</v>
      </c>
      <c r="U47" s="80">
        <v>97.398849999999996</v>
      </c>
      <c r="V47" s="80">
        <v>107.37638</v>
      </c>
      <c r="W47" s="80">
        <v>256.70692000000003</v>
      </c>
      <c r="X47" s="80">
        <v>264.70751000000001</v>
      </c>
      <c r="Y47" s="80"/>
      <c r="Z47" s="80"/>
    </row>
    <row r="48" spans="1:26" s="8" customFormat="1" x14ac:dyDescent="0.2">
      <c r="A48" s="124" t="s">
        <v>3</v>
      </c>
      <c r="B48" s="125"/>
      <c r="C48" s="125"/>
      <c r="D48" s="126"/>
      <c r="E48" s="42" t="s">
        <v>6</v>
      </c>
      <c r="F48" s="37">
        <v>12902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65">
        <v>0</v>
      </c>
      <c r="M48" s="65">
        <v>0</v>
      </c>
      <c r="N48" s="65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0</v>
      </c>
    </row>
    <row r="49" spans="1:27" s="22" customFormat="1" ht="13.5" thickBot="1" x14ac:dyDescent="0.25">
      <c r="A49" s="127"/>
      <c r="B49" s="128"/>
      <c r="C49" s="128"/>
      <c r="D49" s="129"/>
      <c r="E49" s="43" t="s">
        <v>5</v>
      </c>
      <c r="F49" s="44">
        <v>12587</v>
      </c>
      <c r="G49" s="44">
        <v>0</v>
      </c>
      <c r="H49" s="44">
        <v>0</v>
      </c>
      <c r="I49" s="44">
        <v>0</v>
      </c>
      <c r="J49" s="44">
        <v>-0.53239999999999998</v>
      </c>
      <c r="K49" s="44">
        <v>-12</v>
      </c>
      <c r="L49" s="94">
        <v>-18.027999999999999</v>
      </c>
      <c r="M49" s="94">
        <v>-14.424239999999999</v>
      </c>
      <c r="N49" s="94"/>
      <c r="O49" s="80">
        <v>0</v>
      </c>
      <c r="P49" s="80">
        <v>0</v>
      </c>
      <c r="Q49" s="80">
        <v>0</v>
      </c>
      <c r="R49" s="80">
        <v>0</v>
      </c>
      <c r="S49" s="80">
        <v>0</v>
      </c>
      <c r="T49" s="80">
        <v>0</v>
      </c>
      <c r="U49" s="80">
        <v>0</v>
      </c>
      <c r="V49" s="80">
        <v>0</v>
      </c>
      <c r="W49" s="80">
        <v>0</v>
      </c>
      <c r="X49" s="80">
        <v>0</v>
      </c>
      <c r="Y49" s="80"/>
      <c r="Z49" s="80"/>
    </row>
    <row r="50" spans="1:27" s="8" customFormat="1" x14ac:dyDescent="0.2">
      <c r="A50" s="124" t="s">
        <v>51</v>
      </c>
      <c r="B50" s="125"/>
      <c r="C50" s="125"/>
      <c r="D50" s="126"/>
      <c r="E50" s="42" t="s">
        <v>6</v>
      </c>
      <c r="F50" s="37">
        <v>0</v>
      </c>
      <c r="G50" s="37">
        <v>17100</v>
      </c>
      <c r="H50" s="37">
        <v>25300</v>
      </c>
      <c r="I50" s="37">
        <v>23500</v>
      </c>
      <c r="J50" s="37">
        <v>22800</v>
      </c>
      <c r="K50" s="37">
        <v>24350</v>
      </c>
      <c r="L50" s="65">
        <f>6648+13152+5824</f>
        <v>25624</v>
      </c>
      <c r="M50" s="65">
        <f>6905+14250.706+5919</f>
        <v>27074.705999999998</v>
      </c>
      <c r="N50" s="65">
        <v>46757.36</v>
      </c>
      <c r="O50" s="79">
        <f>O51/$N$50</f>
        <v>0.15851786627816455</v>
      </c>
      <c r="P50" s="79">
        <f t="shared" ref="P50:Z50" si="27">P51/$N$50</f>
        <v>0.25853160422230853</v>
      </c>
      <c r="Q50" s="79">
        <f t="shared" si="27"/>
        <v>0.39423486099300731</v>
      </c>
      <c r="R50" s="79">
        <f t="shared" si="27"/>
        <v>0.48584577272968366</v>
      </c>
      <c r="S50" s="79">
        <f t="shared" si="27"/>
        <v>0.55870666350709286</v>
      </c>
      <c r="T50" s="79">
        <f t="shared" si="27"/>
        <v>0.61450334578342314</v>
      </c>
      <c r="U50" s="79">
        <f t="shared" si="27"/>
        <v>0.66371150595328743</v>
      </c>
      <c r="V50" s="79">
        <f t="shared" si="27"/>
        <v>0.71385314803915367</v>
      </c>
      <c r="W50" s="79">
        <f t="shared" si="27"/>
        <v>0.77441930211628718</v>
      </c>
      <c r="X50" s="79">
        <f t="shared" si="27"/>
        <v>0.83775450966436082</v>
      </c>
      <c r="Y50" s="79">
        <f t="shared" si="27"/>
        <v>0</v>
      </c>
      <c r="Z50" s="79">
        <f t="shared" si="27"/>
        <v>0</v>
      </c>
    </row>
    <row r="51" spans="1:27" s="22" customFormat="1" ht="13.5" thickBot="1" x14ac:dyDescent="0.25">
      <c r="A51" s="127"/>
      <c r="B51" s="128"/>
      <c r="C51" s="128"/>
      <c r="D51" s="129"/>
      <c r="E51" s="43" t="s">
        <v>5</v>
      </c>
      <c r="F51" s="44"/>
      <c r="G51" s="44">
        <v>19988</v>
      </c>
      <c r="H51" s="44">
        <v>24624.534</v>
      </c>
      <c r="I51" s="44">
        <v>23748</v>
      </c>
      <c r="J51" s="44">
        <v>24210.658369999997</v>
      </c>
      <c r="K51" s="44">
        <v>25599</v>
      </c>
      <c r="L51" s="94">
        <f>6626.177+13876.703+5955.428</f>
        <v>26458.307999999997</v>
      </c>
      <c r="M51" s="94">
        <v>45346.01872</v>
      </c>
      <c r="N51" s="94"/>
      <c r="O51" s="80">
        <f>5684.94678+937.97573+788.95443</f>
        <v>7411.8769400000001</v>
      </c>
      <c r="P51" s="80">
        <f>8771.03305+1962.87894+1354.3433</f>
        <v>12088.255290000001</v>
      </c>
      <c r="Q51" s="80">
        <f>13041.54768+3190.32911+2201.50453</f>
        <v>18433.38132</v>
      </c>
      <c r="R51" s="80">
        <f>15407.5672+4328.43882+2980.85968</f>
        <v>22716.865700000002</v>
      </c>
      <c r="S51" s="80">
        <f>17104.23899+5444.57686+3574.83275</f>
        <v>26123.648600000004</v>
      </c>
      <c r="T51" s="80">
        <f>17936.09175+6668.68355+4127.77886</f>
        <v>28732.55416</v>
      </c>
      <c r="U51" s="80">
        <f>18749.19148+7662.7182+4621.48814</f>
        <v>31033.397820000002</v>
      </c>
      <c r="V51" s="80">
        <f>19520.24263+8695.06442+5129.91158+32.67</f>
        <v>33377.888630000001</v>
      </c>
      <c r="W51" s="80">
        <f>20340.28046+10127.91336+5741.60828</f>
        <v>36209.802100000001</v>
      </c>
      <c r="X51" s="80">
        <f>21180.58084+11538.76263+6451.84573</f>
        <v>39171.189200000001</v>
      </c>
      <c r="Y51" s="80"/>
      <c r="Z51" s="80"/>
    </row>
    <row r="52" spans="1:27" s="8" customFormat="1" x14ac:dyDescent="0.2">
      <c r="A52" s="124" t="s">
        <v>40</v>
      </c>
      <c r="B52" s="125"/>
      <c r="C52" s="125"/>
      <c r="D52" s="126"/>
      <c r="E52" s="42" t="s">
        <v>6</v>
      </c>
      <c r="F52" s="37">
        <v>80</v>
      </c>
      <c r="G52" s="37">
        <v>70</v>
      </c>
      <c r="H52" s="37">
        <v>100</v>
      </c>
      <c r="I52" s="37">
        <v>200</v>
      </c>
      <c r="J52" s="37">
        <v>735</v>
      </c>
      <c r="K52" s="37">
        <v>900</v>
      </c>
      <c r="L52" s="65">
        <v>860</v>
      </c>
      <c r="M52" s="98">
        <v>860</v>
      </c>
      <c r="N52" s="98">
        <v>520</v>
      </c>
      <c r="O52" s="79">
        <f>O53/$N$52</f>
        <v>0.15555865384615386</v>
      </c>
      <c r="P52" s="79">
        <f t="shared" ref="P52:Z52" si="28">P53/$N$52</f>
        <v>0.24328653846153847</v>
      </c>
      <c r="Q52" s="79">
        <f t="shared" si="28"/>
        <v>0.367425</v>
      </c>
      <c r="R52" s="79">
        <f t="shared" si="28"/>
        <v>0.51695961538461543</v>
      </c>
      <c r="S52" s="79">
        <f t="shared" si="28"/>
        <v>0.54495096153846156</v>
      </c>
      <c r="T52" s="79">
        <f t="shared" si="28"/>
        <v>0.79503882692307692</v>
      </c>
      <c r="U52" s="79">
        <f t="shared" si="28"/>
        <v>0.97546286538461535</v>
      </c>
      <c r="V52" s="79">
        <f t="shared" si="28"/>
        <v>1.1781801153846152</v>
      </c>
      <c r="W52" s="79">
        <f t="shared" si="28"/>
        <v>1.2444310192307693</v>
      </c>
      <c r="X52" s="79">
        <f t="shared" si="28"/>
        <v>1.5814206730769231</v>
      </c>
      <c r="Y52" s="79">
        <f t="shared" si="28"/>
        <v>0</v>
      </c>
      <c r="Z52" s="79">
        <f t="shared" si="28"/>
        <v>0</v>
      </c>
    </row>
    <row r="53" spans="1:27" s="22" customFormat="1" ht="13.5" thickBot="1" x14ac:dyDescent="0.25">
      <c r="A53" s="127"/>
      <c r="B53" s="128"/>
      <c r="C53" s="128"/>
      <c r="D53" s="129"/>
      <c r="E53" s="43" t="s">
        <v>5</v>
      </c>
      <c r="F53" s="44">
        <v>37</v>
      </c>
      <c r="G53" s="44">
        <v>59</v>
      </c>
      <c r="H53" s="44">
        <v>524.37419999999997</v>
      </c>
      <c r="I53" s="44">
        <v>475</v>
      </c>
      <c r="J53" s="44">
        <v>655.05777999999998</v>
      </c>
      <c r="K53" s="44">
        <v>783</v>
      </c>
      <c r="L53" s="94">
        <v>919.90599999999995</v>
      </c>
      <c r="M53" s="94">
        <v>890.39522999999997</v>
      </c>
      <c r="N53" s="94"/>
      <c r="O53" s="80">
        <v>80.890500000000003</v>
      </c>
      <c r="P53" s="80">
        <v>126.509</v>
      </c>
      <c r="Q53" s="80">
        <v>191.06100000000001</v>
      </c>
      <c r="R53" s="80">
        <v>268.81900000000002</v>
      </c>
      <c r="S53" s="80">
        <v>283.37450000000001</v>
      </c>
      <c r="T53" s="80">
        <v>413.42018999999999</v>
      </c>
      <c r="U53" s="80">
        <v>507.24068999999997</v>
      </c>
      <c r="V53" s="80">
        <v>612.65365999999995</v>
      </c>
      <c r="W53" s="80">
        <v>647.10413000000005</v>
      </c>
      <c r="X53" s="80">
        <v>822.33875</v>
      </c>
      <c r="Y53" s="80"/>
      <c r="Z53" s="80"/>
    </row>
    <row r="54" spans="1:27" s="8" customFormat="1" ht="14.25" hidden="1" thickTop="1" thickBot="1" x14ac:dyDescent="0.25">
      <c r="A54" s="5" t="s">
        <v>31</v>
      </c>
      <c r="B54" s="6"/>
      <c r="C54" s="6"/>
      <c r="D54" s="7"/>
      <c r="E54" s="14" t="s">
        <v>6</v>
      </c>
      <c r="F54" s="59"/>
      <c r="G54" s="59"/>
      <c r="H54" s="59"/>
      <c r="I54" s="59"/>
      <c r="J54" s="59"/>
      <c r="K54" s="59"/>
      <c r="L54" s="59"/>
      <c r="M54" s="101"/>
      <c r="N54" s="101"/>
      <c r="O54" s="81" t="e">
        <f>O55/G54</f>
        <v>#DIV/0!</v>
      </c>
      <c r="P54" s="81" t="e">
        <f>P55/G54</f>
        <v>#DIV/0!</v>
      </c>
      <c r="Q54" s="81" t="e">
        <f>Q55/G54</f>
        <v>#DIV/0!</v>
      </c>
      <c r="R54" s="81" t="e">
        <f>R55/G54</f>
        <v>#DIV/0!</v>
      </c>
      <c r="S54" s="81" t="e">
        <f>S55/G54</f>
        <v>#DIV/0!</v>
      </c>
      <c r="T54" s="81" t="e">
        <f>T55/G54</f>
        <v>#DIV/0!</v>
      </c>
      <c r="U54" s="81" t="e">
        <f>U55/G54</f>
        <v>#DIV/0!</v>
      </c>
      <c r="V54" s="81" t="e">
        <f>V55/G54</f>
        <v>#DIV/0!</v>
      </c>
      <c r="W54" s="81" t="e">
        <f>W55/G54</f>
        <v>#DIV/0!</v>
      </c>
      <c r="X54" s="81" t="e">
        <f>X55/G54</f>
        <v>#DIV/0!</v>
      </c>
      <c r="Y54" s="81" t="e">
        <f>Y55/G54</f>
        <v>#DIV/0!</v>
      </c>
      <c r="Z54" s="81" t="e">
        <f>Z55/G54</f>
        <v>#DIV/0!</v>
      </c>
    </row>
    <row r="55" spans="1:27" s="8" customFormat="1" ht="13.5" hidden="1" thickBot="1" x14ac:dyDescent="0.25">
      <c r="A55" s="3"/>
      <c r="B55" s="4"/>
      <c r="C55" s="4"/>
      <c r="D55" s="15"/>
      <c r="E55" s="20" t="s">
        <v>5</v>
      </c>
      <c r="F55" s="60"/>
      <c r="G55" s="60"/>
      <c r="H55" s="60"/>
      <c r="I55" s="60"/>
      <c r="J55" s="60"/>
      <c r="K55" s="60"/>
      <c r="L55" s="60"/>
      <c r="M55" s="102"/>
      <c r="N55" s="102"/>
      <c r="O55" s="82">
        <v>89</v>
      </c>
      <c r="P55" s="82">
        <v>532</v>
      </c>
      <c r="Q55" s="82">
        <v>935</v>
      </c>
      <c r="R55" s="82">
        <v>1342</v>
      </c>
      <c r="S55" s="82">
        <v>1778</v>
      </c>
      <c r="T55" s="82">
        <v>2014</v>
      </c>
      <c r="U55" s="82">
        <v>2120</v>
      </c>
      <c r="V55" s="82">
        <v>2102</v>
      </c>
      <c r="W55" s="82">
        <v>1343</v>
      </c>
      <c r="X55" s="82">
        <v>1455</v>
      </c>
      <c r="Y55" s="82">
        <v>2463</v>
      </c>
      <c r="Z55" s="82">
        <v>9920</v>
      </c>
    </row>
    <row r="56" spans="1:27" s="8" customFormat="1" x14ac:dyDescent="0.2">
      <c r="A56" s="124" t="s">
        <v>47</v>
      </c>
      <c r="B56" s="125"/>
      <c r="C56" s="125"/>
      <c r="D56" s="126"/>
      <c r="E56" s="42" t="s">
        <v>6</v>
      </c>
      <c r="F56" s="37">
        <v>700</v>
      </c>
      <c r="G56" s="37">
        <v>500</v>
      </c>
      <c r="H56" s="37">
        <v>596</v>
      </c>
      <c r="I56" s="37">
        <v>670</v>
      </c>
      <c r="J56" s="37">
        <v>2690</v>
      </c>
      <c r="K56" s="37">
        <v>611</v>
      </c>
      <c r="L56" s="65">
        <v>480</v>
      </c>
      <c r="M56" s="98">
        <v>510</v>
      </c>
      <c r="N56" s="98">
        <v>850</v>
      </c>
      <c r="O56" s="79">
        <f>O57/$N$56</f>
        <v>8.973929411764707E-2</v>
      </c>
      <c r="P56" s="79">
        <f t="shared" ref="P56:Z56" si="29">P57/$N$56</f>
        <v>0.14265354117647058</v>
      </c>
      <c r="Q56" s="79">
        <f t="shared" si="29"/>
        <v>0.18727856470588236</v>
      </c>
      <c r="R56" s="79">
        <f t="shared" si="29"/>
        <v>0.22730865882352941</v>
      </c>
      <c r="S56" s="79">
        <f t="shared" si="29"/>
        <v>0.26821697647058823</v>
      </c>
      <c r="T56" s="79">
        <f t="shared" si="29"/>
        <v>0.39762637647058824</v>
      </c>
      <c r="U56" s="79">
        <f t="shared" si="29"/>
        <v>0.44051084705882348</v>
      </c>
      <c r="V56" s="79">
        <f t="shared" si="29"/>
        <v>1.0478269294117646</v>
      </c>
      <c r="W56" s="79">
        <f t="shared" si="29"/>
        <v>1.0514284588235294</v>
      </c>
      <c r="X56" s="79">
        <f t="shared" si="29"/>
        <v>1.242851988235294</v>
      </c>
      <c r="Y56" s="79">
        <f t="shared" si="29"/>
        <v>0</v>
      </c>
      <c r="Z56" s="79">
        <f t="shared" si="29"/>
        <v>0</v>
      </c>
    </row>
    <row r="57" spans="1:27" s="22" customFormat="1" ht="13.5" thickBot="1" x14ac:dyDescent="0.25">
      <c r="A57" s="127"/>
      <c r="B57" s="128"/>
      <c r="C57" s="128"/>
      <c r="D57" s="129"/>
      <c r="E57" s="43" t="s">
        <v>5</v>
      </c>
      <c r="F57" s="44">
        <v>557</v>
      </c>
      <c r="G57" s="44">
        <v>801</v>
      </c>
      <c r="H57" s="44">
        <v>451.4418</v>
      </c>
      <c r="I57" s="44">
        <v>443</v>
      </c>
      <c r="J57" s="44">
        <v>491.48545000000001</v>
      </c>
      <c r="K57" s="44">
        <v>333</v>
      </c>
      <c r="L57" s="94">
        <v>597.40899999999999</v>
      </c>
      <c r="M57" s="94">
        <v>973.03315999999995</v>
      </c>
      <c r="N57" s="94"/>
      <c r="O57" s="80">
        <v>76.278400000000005</v>
      </c>
      <c r="P57" s="80">
        <v>121.25551</v>
      </c>
      <c r="Q57" s="80">
        <v>159.18678</v>
      </c>
      <c r="R57" s="80">
        <v>193.21235999999999</v>
      </c>
      <c r="S57" s="80">
        <v>227.98443</v>
      </c>
      <c r="T57" s="80">
        <v>337.98241999999999</v>
      </c>
      <c r="U57" s="80">
        <v>374.43421999999998</v>
      </c>
      <c r="V57" s="80">
        <v>890.65288999999996</v>
      </c>
      <c r="W57" s="80">
        <v>893.71419000000003</v>
      </c>
      <c r="X57" s="80">
        <v>1056.42419</v>
      </c>
      <c r="Y57" s="80"/>
      <c r="Z57" s="80"/>
    </row>
    <row r="58" spans="1:27" s="8" customFormat="1" x14ac:dyDescent="0.2">
      <c r="A58" s="124" t="s">
        <v>48</v>
      </c>
      <c r="B58" s="125"/>
      <c r="C58" s="125"/>
      <c r="D58" s="126"/>
      <c r="E58" s="42" t="s">
        <v>6</v>
      </c>
      <c r="F58" s="37">
        <v>350</v>
      </c>
      <c r="G58" s="37">
        <v>350</v>
      </c>
      <c r="H58" s="37">
        <v>80</v>
      </c>
      <c r="I58" s="37">
        <v>80</v>
      </c>
      <c r="J58" s="37">
        <v>90</v>
      </c>
      <c r="K58" s="37">
        <v>205</v>
      </c>
      <c r="L58" s="65">
        <v>205</v>
      </c>
      <c r="M58" s="98">
        <v>200</v>
      </c>
      <c r="N58" s="98">
        <v>250</v>
      </c>
      <c r="O58" s="79">
        <f>O59/$N$58</f>
        <v>0.10232728000000001</v>
      </c>
      <c r="P58" s="79">
        <f t="shared" ref="P58:Z58" si="30">P59/$N$58</f>
        <v>0.10232728000000001</v>
      </c>
      <c r="Q58" s="79">
        <f t="shared" si="30"/>
        <v>0.16244976</v>
      </c>
      <c r="R58" s="79">
        <f t="shared" si="30"/>
        <v>0.20380271999999999</v>
      </c>
      <c r="S58" s="79">
        <f t="shared" si="30"/>
        <v>0.24515567999999999</v>
      </c>
      <c r="T58" s="79">
        <f t="shared" si="30"/>
        <v>0.43289747999999995</v>
      </c>
      <c r="U58" s="79">
        <f t="shared" si="30"/>
        <v>0.45357396</v>
      </c>
      <c r="V58" s="79">
        <f t="shared" si="30"/>
        <v>0.45357396</v>
      </c>
      <c r="W58" s="79">
        <f t="shared" si="30"/>
        <v>0.49492691999999999</v>
      </c>
      <c r="X58" s="79">
        <f t="shared" si="30"/>
        <v>0.58161284000000002</v>
      </c>
      <c r="Y58" s="79">
        <f t="shared" si="30"/>
        <v>0</v>
      </c>
      <c r="Z58" s="79">
        <f t="shared" si="30"/>
        <v>0</v>
      </c>
    </row>
    <row r="59" spans="1:27" s="22" customFormat="1" ht="13.5" thickBot="1" x14ac:dyDescent="0.25">
      <c r="A59" s="127"/>
      <c r="B59" s="128"/>
      <c r="C59" s="128"/>
      <c r="D59" s="129"/>
      <c r="E59" s="43" t="s">
        <v>5</v>
      </c>
      <c r="F59" s="44">
        <v>245</v>
      </c>
      <c r="G59" s="44">
        <v>159</v>
      </c>
      <c r="H59" s="44">
        <v>38.531100000000002</v>
      </c>
      <c r="I59" s="44">
        <v>107</v>
      </c>
      <c r="J59" s="44">
        <v>100.09638</v>
      </c>
      <c r="K59" s="44">
        <v>214</v>
      </c>
      <c r="L59" s="94">
        <v>151.19399999999999</v>
      </c>
      <c r="M59" s="94">
        <v>235.74321</v>
      </c>
      <c r="N59" s="94"/>
      <c r="O59" s="80">
        <v>25.58182</v>
      </c>
      <c r="P59" s="80">
        <v>25.58182</v>
      </c>
      <c r="Q59" s="80">
        <v>40.612439999999999</v>
      </c>
      <c r="R59" s="80">
        <v>50.950679999999998</v>
      </c>
      <c r="S59" s="80">
        <v>61.288919999999997</v>
      </c>
      <c r="T59" s="80">
        <v>108.22436999999999</v>
      </c>
      <c r="U59" s="80">
        <v>113.39349</v>
      </c>
      <c r="V59" s="80">
        <v>113.39349</v>
      </c>
      <c r="W59" s="80">
        <v>123.73173</v>
      </c>
      <c r="X59" s="80">
        <v>145.40321</v>
      </c>
      <c r="Y59" s="80"/>
      <c r="Z59" s="80"/>
    </row>
    <row r="60" spans="1:27" s="8" customFormat="1" x14ac:dyDescent="0.2">
      <c r="A60" s="124" t="s">
        <v>49</v>
      </c>
      <c r="B60" s="125"/>
      <c r="C60" s="125"/>
      <c r="D60" s="126"/>
      <c r="E60" s="42" t="s">
        <v>6</v>
      </c>
      <c r="F60" s="37">
        <v>3000</v>
      </c>
      <c r="G60" s="37">
        <v>13500</v>
      </c>
      <c r="H60" s="37">
        <v>6870</v>
      </c>
      <c r="I60" s="37">
        <v>7500</v>
      </c>
      <c r="J60" s="37">
        <v>8540</v>
      </c>
      <c r="K60" s="37">
        <v>30434</v>
      </c>
      <c r="L60" s="65">
        <v>9000</v>
      </c>
      <c r="M60" s="98">
        <v>13500</v>
      </c>
      <c r="N60" s="98">
        <v>12250</v>
      </c>
      <c r="O60" s="79">
        <f>O61/$N$60</f>
        <v>1.634938775510204E-2</v>
      </c>
      <c r="P60" s="79">
        <f t="shared" ref="P60:Z60" si="31">P61/$N$60</f>
        <v>3.4575029387755099E-2</v>
      </c>
      <c r="Q60" s="79">
        <f t="shared" si="31"/>
        <v>5.0437825306122445E-2</v>
      </c>
      <c r="R60" s="79">
        <f t="shared" si="31"/>
        <v>0.11022238612244899</v>
      </c>
      <c r="S60" s="79">
        <f t="shared" si="31"/>
        <v>0.13340051918367346</v>
      </c>
      <c r="T60" s="79">
        <f t="shared" si="31"/>
        <v>0.15255848653061224</v>
      </c>
      <c r="U60" s="79">
        <f t="shared" si="31"/>
        <v>0.25373281714285717</v>
      </c>
      <c r="V60" s="79">
        <f t="shared" si="31"/>
        <v>0.49873196081632654</v>
      </c>
      <c r="W60" s="79">
        <f t="shared" si="31"/>
        <v>0.55620006857142856</v>
      </c>
      <c r="X60" s="79">
        <f t="shared" si="31"/>
        <v>0.62962307836734688</v>
      </c>
      <c r="Y60" s="79">
        <f t="shared" si="31"/>
        <v>0</v>
      </c>
      <c r="Z60" s="79">
        <f t="shared" si="31"/>
        <v>0</v>
      </c>
    </row>
    <row r="61" spans="1:27" s="22" customFormat="1" x14ac:dyDescent="0.2">
      <c r="A61" s="127"/>
      <c r="B61" s="128"/>
      <c r="C61" s="128"/>
      <c r="D61" s="129"/>
      <c r="E61" s="43" t="s">
        <v>5</v>
      </c>
      <c r="F61" s="44">
        <v>3801</v>
      </c>
      <c r="G61" s="44">
        <v>7527</v>
      </c>
      <c r="H61" s="44">
        <v>5672.8467000000001</v>
      </c>
      <c r="I61" s="44">
        <v>4322</v>
      </c>
      <c r="J61" s="44">
        <v>7109.32089</v>
      </c>
      <c r="K61" s="44">
        <v>11407</v>
      </c>
      <c r="L61" s="94">
        <v>5181.5320000000002</v>
      </c>
      <c r="M61" s="94">
        <v>8880.5187800000003</v>
      </c>
      <c r="N61" s="94"/>
      <c r="O61" s="80">
        <v>200.28</v>
      </c>
      <c r="P61" s="80">
        <v>423.54410999999999</v>
      </c>
      <c r="Q61" s="80">
        <v>617.86335999999994</v>
      </c>
      <c r="R61" s="80">
        <v>1350.22423</v>
      </c>
      <c r="S61" s="80">
        <v>1634.1563599999999</v>
      </c>
      <c r="T61" s="80">
        <v>1868.8414600000001</v>
      </c>
      <c r="U61" s="80">
        <v>3108.2270100000001</v>
      </c>
      <c r="V61" s="80">
        <v>6109.4665199999999</v>
      </c>
      <c r="W61" s="80">
        <v>6813.4508400000004</v>
      </c>
      <c r="X61" s="80">
        <v>7712.8827099999999</v>
      </c>
      <c r="Y61" s="80"/>
      <c r="Z61" s="80"/>
    </row>
    <row r="62" spans="1:27" s="8" customFormat="1" x14ac:dyDescent="0.2">
      <c r="A62" s="124" t="s">
        <v>39</v>
      </c>
      <c r="B62" s="125"/>
      <c r="C62" s="125"/>
      <c r="D62" s="126"/>
      <c r="E62" s="42" t="s">
        <v>6</v>
      </c>
      <c r="F62" s="37">
        <v>1105</v>
      </c>
      <c r="G62" s="37">
        <v>5000</v>
      </c>
      <c r="H62" s="37">
        <v>2152</v>
      </c>
      <c r="I62" s="37">
        <v>2300</v>
      </c>
      <c r="J62" s="37">
        <v>2050</v>
      </c>
      <c r="K62" s="37">
        <v>1937</v>
      </c>
      <c r="L62" s="65">
        <v>1500</v>
      </c>
      <c r="M62" s="98">
        <v>1000</v>
      </c>
      <c r="N62" s="98">
        <v>900</v>
      </c>
      <c r="O62" s="79">
        <f>O63/$N$62</f>
        <v>0</v>
      </c>
      <c r="P62" s="79">
        <f t="shared" ref="P62:Z62" si="32">P63/$N$62</f>
        <v>6.0455555555555558E-3</v>
      </c>
      <c r="Q62" s="79">
        <f t="shared" si="32"/>
        <v>4.7830444444444446E-2</v>
      </c>
      <c r="R62" s="79">
        <f t="shared" si="32"/>
        <v>7.0269333333333336E-2</v>
      </c>
      <c r="S62" s="79">
        <f t="shared" si="32"/>
        <v>9.4541933333333328E-2</v>
      </c>
      <c r="T62" s="79">
        <f t="shared" si="32"/>
        <v>0.30834758888888891</v>
      </c>
      <c r="U62" s="79">
        <f t="shared" si="32"/>
        <v>0.37097923333333332</v>
      </c>
      <c r="V62" s="79">
        <f t="shared" si="32"/>
        <v>0.4100119888888889</v>
      </c>
      <c r="W62" s="79">
        <f t="shared" si="32"/>
        <v>0.4277342111111111</v>
      </c>
      <c r="X62" s="79">
        <f t="shared" si="32"/>
        <v>0.4723759555555555</v>
      </c>
      <c r="Y62" s="79">
        <f t="shared" si="32"/>
        <v>0</v>
      </c>
      <c r="Z62" s="79">
        <f t="shared" si="32"/>
        <v>0</v>
      </c>
    </row>
    <row r="63" spans="1:27" s="22" customFormat="1" ht="13.5" thickBot="1" x14ac:dyDescent="0.25">
      <c r="A63" s="127"/>
      <c r="B63" s="128"/>
      <c r="C63" s="128"/>
      <c r="D63" s="129"/>
      <c r="E63" s="43" t="s">
        <v>5</v>
      </c>
      <c r="F63" s="44">
        <v>660</v>
      </c>
      <c r="G63" s="44">
        <v>1300</v>
      </c>
      <c r="H63" s="44">
        <v>2289.3777</v>
      </c>
      <c r="I63" s="44">
        <v>1656</v>
      </c>
      <c r="J63" s="44">
        <v>1222.1398300000001</v>
      </c>
      <c r="K63" s="44">
        <v>1811</v>
      </c>
      <c r="L63" s="94">
        <v>739.40800000000002</v>
      </c>
      <c r="M63" s="94">
        <v>895.57737999999995</v>
      </c>
      <c r="N63" s="94"/>
      <c r="O63" s="80">
        <v>0</v>
      </c>
      <c r="P63" s="80">
        <v>5.4409999999999998</v>
      </c>
      <c r="Q63" s="80">
        <v>43.047400000000003</v>
      </c>
      <c r="R63" s="80">
        <v>63.242400000000004</v>
      </c>
      <c r="S63" s="80">
        <v>85.087739999999997</v>
      </c>
      <c r="T63" s="80">
        <v>277.51283000000001</v>
      </c>
      <c r="U63" s="80">
        <v>333.88130999999998</v>
      </c>
      <c r="V63" s="80">
        <v>369.01078999999999</v>
      </c>
      <c r="W63" s="80">
        <v>384.96078999999997</v>
      </c>
      <c r="X63" s="80">
        <v>425.13835999999998</v>
      </c>
      <c r="Y63" s="80"/>
      <c r="Z63" s="80"/>
    </row>
    <row r="64" spans="1:27" s="8" customFormat="1" x14ac:dyDescent="0.2">
      <c r="A64" s="142" t="s">
        <v>41</v>
      </c>
      <c r="B64" s="143"/>
      <c r="C64" s="143"/>
      <c r="D64" s="144"/>
      <c r="E64" s="25" t="s">
        <v>6</v>
      </c>
      <c r="F64" s="38" t="e">
        <f>#REF!+F36+F30+F32+F34+#REF!+F38+F62+F60+F52+F42+F44+F46+F50+F48+#REF!</f>
        <v>#REF!</v>
      </c>
      <c r="G64" s="38" t="e">
        <f>#REF!+G36+G30+G32+G34+#REF!+G38+G62+G60+G52+G42+G44+G46+G50+G48+#REF!</f>
        <v>#REF!</v>
      </c>
      <c r="H64" s="38" t="e">
        <f>#REF!+H36+H30+H32+H34+#REF!+H38+H62+H60+H52+H42+H44+H46+H50+H48+#REF!</f>
        <v>#REF!</v>
      </c>
      <c r="I64" s="38" t="e">
        <f>#REF!+I36+I30+I32+I34+#REF!+I38+I62+I60+I52+I42+I44+I46+I50+I48+#REF!</f>
        <v>#REF!</v>
      </c>
      <c r="J64" s="38">
        <f>+J36+J30+J32+J34+J38+J62+J60+J52+J42+J44+J46+J50+J48+J40+J56+J58</f>
        <v>62220</v>
      </c>
      <c r="K64" s="38">
        <f t="shared" ref="K64:N64" si="33">+K36+K30+K32+K34+K38+K62+K60+K52+K42+K44+K46+K50+K48+K40+K56+K58</f>
        <v>85512</v>
      </c>
      <c r="L64" s="38">
        <f t="shared" si="33"/>
        <v>65046</v>
      </c>
      <c r="M64" s="38">
        <f t="shared" si="33"/>
        <v>65852.706000000006</v>
      </c>
      <c r="N64" s="38">
        <f t="shared" si="33"/>
        <v>84480.36</v>
      </c>
      <c r="O64" s="78">
        <f>O65/$N$64</f>
        <v>0.11347734325469257</v>
      </c>
      <c r="P64" s="78">
        <f t="shared" ref="P64:Z64" si="34">P65/$N$64</f>
        <v>0.19175386551383067</v>
      </c>
      <c r="Q64" s="78">
        <f t="shared" si="34"/>
        <v>0.29985433288873298</v>
      </c>
      <c r="R64" s="78">
        <f t="shared" si="34"/>
        <v>0.38279563143433581</v>
      </c>
      <c r="S64" s="78">
        <f t="shared" si="34"/>
        <v>0.45590481491792889</v>
      </c>
      <c r="T64" s="78">
        <f t="shared" si="34"/>
        <v>0.52036218062991213</v>
      </c>
      <c r="U64" s="78">
        <f t="shared" si="34"/>
        <v>0.58494945180157865</v>
      </c>
      <c r="V64" s="78">
        <f t="shared" si="34"/>
        <v>0.67326517121849394</v>
      </c>
      <c r="W64" s="78">
        <f t="shared" si="34"/>
        <v>0.74237812563772221</v>
      </c>
      <c r="X64" s="78">
        <f t="shared" si="34"/>
        <v>0.80218826730852011</v>
      </c>
      <c r="Y64" s="78">
        <f t="shared" si="34"/>
        <v>0</v>
      </c>
      <c r="Z64" s="78">
        <f t="shared" si="34"/>
        <v>0</v>
      </c>
      <c r="AA64" s="103"/>
    </row>
    <row r="65" spans="1:80" s="22" customFormat="1" ht="13.5" thickBot="1" x14ac:dyDescent="0.25">
      <c r="A65" s="117"/>
      <c r="B65" s="118"/>
      <c r="C65" s="118"/>
      <c r="D65" s="119"/>
      <c r="E65" s="40" t="s">
        <v>5</v>
      </c>
      <c r="F65" s="46" t="e">
        <f>#REF!+F37+F31+F33+F35+#REF!+F39+F63+F61+F53+F57+F59+F41+F43+F45+F47+F51+F49+#REF!</f>
        <v>#REF!</v>
      </c>
      <c r="G65" s="46" t="e">
        <f>#REF!+G37+G31+G33+G35+#REF!+G39+G63+G61+G53+G57+G59+G41+G43+G45+G47+G51+G49+#REF!</f>
        <v>#REF!</v>
      </c>
      <c r="H65" s="46" t="e">
        <f>#REF!+H37+H31+H33+H35+#REF!+H39+H63+H61+H53+H57+H59+H41+H43+H45+H47+H51+H49+#REF!</f>
        <v>#REF!</v>
      </c>
      <c r="I65" s="46" t="e">
        <f>#REF!+I37+I31+I33+I35+#REF!+I39+I63+I61+I53+I57+I59+I41+I43+I45+I47+I51+I49+#REF!</f>
        <v>#REF!</v>
      </c>
      <c r="J65" s="46">
        <f>+J37+J31+J33+J35+J39+J63+J61+J53+J57+J59+J41+J43+J45+J47+J51+J49</f>
        <v>59906.165260000002</v>
      </c>
      <c r="K65" s="46">
        <f t="shared" ref="K65:N65" si="35">+K37+K31+K33+K35+K39+K63+K61+K53+K57+K59+K41+K43+K45+K47+K51+K49</f>
        <v>66485.198000000004</v>
      </c>
      <c r="L65" s="46">
        <f t="shared" si="35"/>
        <v>57975.162999999993</v>
      </c>
      <c r="M65" s="46">
        <f t="shared" si="35"/>
        <v>80776.955140000005</v>
      </c>
      <c r="N65" s="46">
        <f t="shared" si="35"/>
        <v>0</v>
      </c>
      <c r="O65" s="35">
        <f>+O37+O31+O33+O35+O39+O63+O61+O53+O57+O59+O41+O43+O45+O47+O51+O49</f>
        <v>9586.6068099999993</v>
      </c>
      <c r="P65" s="35">
        <f t="shared" ref="P65:Z65" si="36">+P37+P31+P33+P35+P39+P63+P61+P53+P57+P59+P41+P43+P45+P47+P51+P49</f>
        <v>16199.435590000001</v>
      </c>
      <c r="Q65" s="35">
        <f t="shared" si="36"/>
        <v>25331.80199</v>
      </c>
      <c r="R65" s="35">
        <f t="shared" si="36"/>
        <v>32338.712750000006</v>
      </c>
      <c r="S65" s="35">
        <f t="shared" si="36"/>
        <v>38515.002890000003</v>
      </c>
      <c r="T65" s="35">
        <f t="shared" si="36"/>
        <v>43960.38435</v>
      </c>
      <c r="U65" s="35">
        <f t="shared" si="36"/>
        <v>49416.740270000009</v>
      </c>
      <c r="V65" s="35">
        <f t="shared" si="36"/>
        <v>56877.684040000007</v>
      </c>
      <c r="W65" s="35">
        <f t="shared" si="36"/>
        <v>62716.371310000002</v>
      </c>
      <c r="X65" s="35">
        <f t="shared" si="36"/>
        <v>67769.153610000008</v>
      </c>
      <c r="Y65" s="35">
        <f t="shared" si="36"/>
        <v>0</v>
      </c>
      <c r="Z65" s="35">
        <f t="shared" si="36"/>
        <v>0</v>
      </c>
    </row>
    <row r="66" spans="1:80" s="8" customFormat="1" ht="13.5" thickBot="1" x14ac:dyDescent="0.25">
      <c r="A66" s="9"/>
      <c r="B66" s="9"/>
      <c r="F66" s="61"/>
      <c r="G66" s="61"/>
      <c r="H66" s="61"/>
      <c r="I66" s="61"/>
      <c r="J66" s="61"/>
      <c r="K66" s="61"/>
      <c r="L66" s="61"/>
      <c r="M66" s="61"/>
      <c r="N66" s="61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"/>
      <c r="AB66" s="1"/>
      <c r="AC66" s="1"/>
      <c r="AD66" s="1"/>
      <c r="AE66" s="1"/>
      <c r="AF66" s="1"/>
      <c r="AG66" s="1"/>
      <c r="AH66" s="1"/>
    </row>
    <row r="67" spans="1:80" s="1" customFormat="1" x14ac:dyDescent="0.2">
      <c r="A67" s="136" t="s">
        <v>42</v>
      </c>
      <c r="B67" s="137"/>
      <c r="C67" s="137"/>
      <c r="D67" s="138"/>
      <c r="E67" s="49" t="s">
        <v>6</v>
      </c>
      <c r="F67" s="37">
        <v>38500</v>
      </c>
      <c r="G67" s="37">
        <v>40000</v>
      </c>
      <c r="H67" s="37">
        <v>40500</v>
      </c>
      <c r="I67" s="37">
        <v>39871</v>
      </c>
      <c r="J67" s="37">
        <v>41100</v>
      </c>
      <c r="K67" s="37">
        <v>46750</v>
      </c>
      <c r="L67" s="65">
        <v>49000</v>
      </c>
      <c r="M67" s="65">
        <v>55700</v>
      </c>
      <c r="N67" s="65">
        <v>60000</v>
      </c>
      <c r="O67" s="83">
        <f>O68/$N$67</f>
        <v>8.0321634833333336E-2</v>
      </c>
      <c r="P67" s="83">
        <f t="shared" ref="P67:Z67" si="37">P68/$N$67</f>
        <v>0.16135411933333335</v>
      </c>
      <c r="Q67" s="83">
        <f t="shared" si="37"/>
        <v>0.24168355449999998</v>
      </c>
      <c r="R67" s="83">
        <f t="shared" si="37"/>
        <v>0.32200909066666672</v>
      </c>
      <c r="S67" s="83">
        <f t="shared" si="37"/>
        <v>0.40303507449999998</v>
      </c>
      <c r="T67" s="83">
        <f t="shared" si="37"/>
        <v>0.48404806033333336</v>
      </c>
      <c r="U67" s="83">
        <f t="shared" si="37"/>
        <v>0.56206709166666668</v>
      </c>
      <c r="V67" s="83">
        <f t="shared" si="37"/>
        <v>0.64223363950000001</v>
      </c>
      <c r="W67" s="83">
        <f t="shared" si="37"/>
        <v>0.72468388333333333</v>
      </c>
      <c r="X67" s="83">
        <f t="shared" si="37"/>
        <v>0.80671627883333341</v>
      </c>
      <c r="Y67" s="83">
        <f t="shared" si="37"/>
        <v>0</v>
      </c>
      <c r="Z67" s="83">
        <f t="shared" si="37"/>
        <v>0</v>
      </c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</row>
    <row r="68" spans="1:80" s="48" customFormat="1" ht="13.5" thickBot="1" x14ac:dyDescent="0.25">
      <c r="A68" s="145"/>
      <c r="B68" s="146"/>
      <c r="C68" s="146"/>
      <c r="D68" s="147"/>
      <c r="E68" s="50" t="s">
        <v>5</v>
      </c>
      <c r="F68" s="44">
        <v>39846</v>
      </c>
      <c r="G68" s="44">
        <v>37693</v>
      </c>
      <c r="H68" s="44">
        <v>38797.184000000001</v>
      </c>
      <c r="I68" s="44">
        <v>39556</v>
      </c>
      <c r="J68" s="44">
        <v>40931.802000000003</v>
      </c>
      <c r="K68" s="44">
        <v>44541</v>
      </c>
      <c r="L68" s="94">
        <v>47797.521999999997</v>
      </c>
      <c r="M68" s="94">
        <v>53670.366309999998</v>
      </c>
      <c r="N68" s="94"/>
      <c r="O68" s="84">
        <v>4819.2980900000002</v>
      </c>
      <c r="P68" s="84">
        <v>9681.2471600000008</v>
      </c>
      <c r="Q68" s="84">
        <v>14501.013269999999</v>
      </c>
      <c r="R68" s="84">
        <v>19320.545440000002</v>
      </c>
      <c r="S68" s="84">
        <v>24182.104469999998</v>
      </c>
      <c r="T68" s="84">
        <v>29042.883620000001</v>
      </c>
      <c r="U68" s="84">
        <v>33724.025500000003</v>
      </c>
      <c r="V68" s="84">
        <v>38534.018369999998</v>
      </c>
      <c r="W68" s="84">
        <v>43481.033000000003</v>
      </c>
      <c r="X68" s="84">
        <v>48402.976730000002</v>
      </c>
      <c r="Y68" s="84"/>
      <c r="Z68" s="84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</row>
    <row r="69" spans="1:80" s="1" customFormat="1" x14ac:dyDescent="0.2">
      <c r="A69" s="136" t="s">
        <v>58</v>
      </c>
      <c r="B69" s="137"/>
      <c r="C69" s="137"/>
      <c r="D69" s="138"/>
      <c r="E69" s="49" t="s">
        <v>6</v>
      </c>
      <c r="F69" s="37">
        <v>0</v>
      </c>
      <c r="G69" s="37">
        <v>0</v>
      </c>
      <c r="H69" s="37">
        <v>0</v>
      </c>
      <c r="I69" s="37">
        <v>1500</v>
      </c>
      <c r="J69" s="37">
        <v>2100</v>
      </c>
      <c r="K69" s="37">
        <v>1300</v>
      </c>
      <c r="L69" s="98">
        <v>1500</v>
      </c>
      <c r="M69" s="98">
        <v>2200</v>
      </c>
      <c r="N69" s="98">
        <v>2800</v>
      </c>
      <c r="O69" s="83">
        <f>O70/$N$69</f>
        <v>0.18615471428571428</v>
      </c>
      <c r="P69" s="83">
        <f t="shared" ref="P69:Z69" si="38">P70/$N$69</f>
        <v>0.36193636785714284</v>
      </c>
      <c r="Q69" s="83">
        <f t="shared" si="38"/>
        <v>0.55994675714285713</v>
      </c>
      <c r="R69" s="83">
        <f t="shared" si="38"/>
        <v>0.74522842142857149</v>
      </c>
      <c r="S69" s="83">
        <f t="shared" si="38"/>
        <v>0.93810286785714281</v>
      </c>
      <c r="T69" s="83">
        <f t="shared" si="38"/>
        <v>1.0559550857142856</v>
      </c>
      <c r="U69" s="83">
        <f t="shared" si="38"/>
        <v>1.1757846142857142</v>
      </c>
      <c r="V69" s="83">
        <f t="shared" si="38"/>
        <v>1.3540401678571428</v>
      </c>
      <c r="W69" s="83">
        <f t="shared" si="38"/>
        <v>1.4725805785714285</v>
      </c>
      <c r="X69" s="83">
        <f t="shared" si="38"/>
        <v>1.6127198071428572</v>
      </c>
      <c r="Y69" s="83">
        <f t="shared" si="38"/>
        <v>0</v>
      </c>
      <c r="Z69" s="83">
        <f t="shared" si="38"/>
        <v>0</v>
      </c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</row>
    <row r="70" spans="1:80" s="48" customFormat="1" ht="13.5" thickBot="1" x14ac:dyDescent="0.25">
      <c r="A70" s="139"/>
      <c r="B70" s="140"/>
      <c r="C70" s="140"/>
      <c r="D70" s="141"/>
      <c r="E70" s="51" t="s">
        <v>5</v>
      </c>
      <c r="F70" s="45">
        <v>0</v>
      </c>
      <c r="G70" s="45">
        <v>0</v>
      </c>
      <c r="H70" s="45">
        <v>0</v>
      </c>
      <c r="I70" s="45">
        <v>1537.3869999999999</v>
      </c>
      <c r="J70" s="45">
        <v>1306.1559999999999</v>
      </c>
      <c r="K70" s="45">
        <v>2720</v>
      </c>
      <c r="L70" s="97">
        <v>3594.299</v>
      </c>
      <c r="M70" s="97">
        <v>3531.6731599999998</v>
      </c>
      <c r="N70" s="97"/>
      <c r="O70" s="85">
        <v>521.23320000000001</v>
      </c>
      <c r="P70" s="85">
        <v>1013.42183</v>
      </c>
      <c r="Q70" s="85">
        <v>1567.8509200000001</v>
      </c>
      <c r="R70" s="85">
        <v>2086.63958</v>
      </c>
      <c r="S70" s="85">
        <v>2626.6880299999998</v>
      </c>
      <c r="T70" s="85">
        <v>2956.6742399999998</v>
      </c>
      <c r="U70" s="85">
        <v>3292.1969199999999</v>
      </c>
      <c r="V70" s="85">
        <v>3791.3124699999998</v>
      </c>
      <c r="W70" s="85">
        <v>4123.2256200000002</v>
      </c>
      <c r="X70" s="85">
        <v>4515.61546</v>
      </c>
      <c r="Y70" s="85"/>
      <c r="Z70" s="85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</row>
    <row r="71" spans="1:80" s="1" customFormat="1" x14ac:dyDescent="0.2">
      <c r="A71" s="136" t="s">
        <v>55</v>
      </c>
      <c r="B71" s="137"/>
      <c r="C71" s="137"/>
      <c r="D71" s="138"/>
      <c r="E71" s="49" t="s">
        <v>6</v>
      </c>
      <c r="F71" s="37">
        <v>670</v>
      </c>
      <c r="G71" s="37">
        <v>550</v>
      </c>
      <c r="H71" s="37">
        <v>600</v>
      </c>
      <c r="I71" s="37">
        <v>600</v>
      </c>
      <c r="J71" s="37">
        <v>600</v>
      </c>
      <c r="K71" s="37">
        <v>600</v>
      </c>
      <c r="L71" s="98">
        <v>50</v>
      </c>
      <c r="M71" s="98">
        <v>0</v>
      </c>
      <c r="N71" s="98">
        <v>0</v>
      </c>
      <c r="O71" s="83">
        <f>IF(M71,+O71/M71,0)</f>
        <v>0</v>
      </c>
      <c r="P71" s="83">
        <f t="shared" ref="P71:Z71" si="39">IF(O71,+P71/O71,0)</f>
        <v>0</v>
      </c>
      <c r="Q71" s="83">
        <f t="shared" si="39"/>
        <v>0</v>
      </c>
      <c r="R71" s="83">
        <f t="shared" si="39"/>
        <v>0</v>
      </c>
      <c r="S71" s="83">
        <f t="shared" si="39"/>
        <v>0</v>
      </c>
      <c r="T71" s="83">
        <f t="shared" si="39"/>
        <v>0</v>
      </c>
      <c r="U71" s="83">
        <f t="shared" si="39"/>
        <v>0</v>
      </c>
      <c r="V71" s="83">
        <f t="shared" si="39"/>
        <v>0</v>
      </c>
      <c r="W71" s="83">
        <f t="shared" si="39"/>
        <v>0</v>
      </c>
      <c r="X71" s="83">
        <f t="shared" si="39"/>
        <v>0</v>
      </c>
      <c r="Y71" s="83">
        <f t="shared" si="39"/>
        <v>0</v>
      </c>
      <c r="Z71" s="83">
        <f t="shared" si="39"/>
        <v>0</v>
      </c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</row>
    <row r="72" spans="1:80" s="48" customFormat="1" ht="13.5" thickBot="1" x14ac:dyDescent="0.25">
      <c r="A72" s="139"/>
      <c r="B72" s="140"/>
      <c r="C72" s="140"/>
      <c r="D72" s="141"/>
      <c r="E72" s="51" t="s">
        <v>5</v>
      </c>
      <c r="F72" s="45">
        <v>570</v>
      </c>
      <c r="G72" s="45">
        <v>524</v>
      </c>
      <c r="H72" s="45">
        <v>663.31399999999996</v>
      </c>
      <c r="I72" s="45">
        <v>620</v>
      </c>
      <c r="J72" s="45">
        <v>414.05</v>
      </c>
      <c r="K72" s="45">
        <v>38</v>
      </c>
      <c r="L72" s="97">
        <v>0</v>
      </c>
      <c r="M72" s="97">
        <v>0</v>
      </c>
      <c r="N72" s="97"/>
      <c r="O72" s="85">
        <v>0</v>
      </c>
      <c r="P72" s="85">
        <v>0</v>
      </c>
      <c r="Q72" s="85">
        <v>0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5">
        <v>0</v>
      </c>
      <c r="X72" s="85">
        <v>0</v>
      </c>
      <c r="Y72" s="85">
        <v>0</v>
      </c>
      <c r="Z72" s="85">
        <v>0</v>
      </c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</row>
    <row r="73" spans="1:80" s="1" customFormat="1" x14ac:dyDescent="0.2">
      <c r="A73" s="136" t="s">
        <v>54</v>
      </c>
      <c r="B73" s="137"/>
      <c r="C73" s="137"/>
      <c r="D73" s="138"/>
      <c r="E73" s="49" t="s">
        <v>6</v>
      </c>
      <c r="F73" s="37">
        <v>5800</v>
      </c>
      <c r="G73" s="37">
        <v>5900</v>
      </c>
      <c r="H73" s="37">
        <v>746</v>
      </c>
      <c r="I73" s="37">
        <v>350</v>
      </c>
      <c r="J73" s="37">
        <v>330</v>
      </c>
      <c r="K73" s="37">
        <v>330</v>
      </c>
      <c r="L73" s="98">
        <v>1830</v>
      </c>
      <c r="M73" s="98">
        <v>1830</v>
      </c>
      <c r="N73" s="98">
        <v>830</v>
      </c>
      <c r="O73" s="83">
        <f>O74/$N$73</f>
        <v>7.1433734939759042E-3</v>
      </c>
      <c r="P73" s="83">
        <f t="shared" ref="P73:Z73" si="40">P74/$N$73</f>
        <v>1.3266265060240963E-2</v>
      </c>
      <c r="Q73" s="83">
        <f t="shared" si="40"/>
        <v>2.2960843373493977E-2</v>
      </c>
      <c r="R73" s="83">
        <f t="shared" si="40"/>
        <v>3.1124698795180723E-2</v>
      </c>
      <c r="S73" s="83">
        <f t="shared" si="40"/>
        <v>3.8268072289156622E-2</v>
      </c>
      <c r="T73" s="83">
        <f t="shared" si="40"/>
        <v>4.5411445783132526E-2</v>
      </c>
      <c r="U73" s="83">
        <f t="shared" si="40"/>
        <v>5.2554819277108436E-2</v>
      </c>
      <c r="V73" s="83">
        <f t="shared" si="40"/>
        <v>5.8677710843373497E-2</v>
      </c>
      <c r="W73" s="83">
        <f t="shared" si="40"/>
        <v>6.5310843373493979E-2</v>
      </c>
      <c r="X73" s="83">
        <f t="shared" si="40"/>
        <v>7.1874903614457836E-2</v>
      </c>
      <c r="Y73" s="83">
        <f t="shared" si="40"/>
        <v>0</v>
      </c>
      <c r="Z73" s="83">
        <f t="shared" si="40"/>
        <v>0</v>
      </c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</row>
    <row r="74" spans="1:80" s="48" customFormat="1" ht="13.5" thickBot="1" x14ac:dyDescent="0.25">
      <c r="A74" s="145"/>
      <c r="B74" s="146"/>
      <c r="C74" s="146"/>
      <c r="D74" s="147"/>
      <c r="E74" s="50" t="s">
        <v>5</v>
      </c>
      <c r="F74" s="44">
        <v>5851</v>
      </c>
      <c r="G74" s="44">
        <v>5864</v>
      </c>
      <c r="H74" s="44">
        <v>1250.0707</v>
      </c>
      <c r="I74" s="44">
        <v>313</v>
      </c>
      <c r="J74" s="44">
        <v>315.142</v>
      </c>
      <c r="K74" s="44">
        <v>324</v>
      </c>
      <c r="L74" s="94">
        <v>336.74400000000003</v>
      </c>
      <c r="M74" s="94">
        <v>284.28949999999998</v>
      </c>
      <c r="N74" s="94"/>
      <c r="O74" s="84">
        <v>5.9290000000000003</v>
      </c>
      <c r="P74" s="84">
        <v>11.010999999999999</v>
      </c>
      <c r="Q74" s="84">
        <v>19.057500000000001</v>
      </c>
      <c r="R74" s="84">
        <v>25.833500000000001</v>
      </c>
      <c r="S74" s="84">
        <v>31.762499999999999</v>
      </c>
      <c r="T74" s="84">
        <v>37.691499999999998</v>
      </c>
      <c r="U74" s="84">
        <v>43.6205</v>
      </c>
      <c r="V74" s="84">
        <v>48.702500000000001</v>
      </c>
      <c r="W74" s="84">
        <v>54.207999999999998</v>
      </c>
      <c r="X74" s="84">
        <v>59.656170000000003</v>
      </c>
      <c r="Y74" s="84"/>
      <c r="Z74" s="84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</row>
    <row r="75" spans="1:80" s="8" customFormat="1" x14ac:dyDescent="0.2">
      <c r="A75" s="142" t="s">
        <v>43</v>
      </c>
      <c r="B75" s="143"/>
      <c r="C75" s="143"/>
      <c r="D75" s="148"/>
      <c r="E75" s="25" t="s">
        <v>6</v>
      </c>
      <c r="F75" s="38">
        <f t="shared" ref="F75:N76" si="41">F67+F73+F71+F69</f>
        <v>44970</v>
      </c>
      <c r="G75" s="38">
        <f t="shared" si="41"/>
        <v>46450</v>
      </c>
      <c r="H75" s="38">
        <f t="shared" si="41"/>
        <v>41846</v>
      </c>
      <c r="I75" s="38">
        <f t="shared" si="41"/>
        <v>42321</v>
      </c>
      <c r="J75" s="38">
        <f t="shared" si="41"/>
        <v>44130</v>
      </c>
      <c r="K75" s="38">
        <f t="shared" si="41"/>
        <v>48980</v>
      </c>
      <c r="L75" s="66">
        <f t="shared" si="41"/>
        <v>52380</v>
      </c>
      <c r="M75" s="66">
        <f t="shared" si="41"/>
        <v>59730</v>
      </c>
      <c r="N75" s="66">
        <f t="shared" si="41"/>
        <v>63630</v>
      </c>
      <c r="O75" s="78">
        <f>O76/$N$75</f>
        <v>8.4024206977840646E-2</v>
      </c>
      <c r="P75" s="78">
        <f t="shared" ref="P75:Z75" si="42">P76/$N$75</f>
        <v>0.16824893902247368</v>
      </c>
      <c r="Q75" s="78">
        <f t="shared" si="42"/>
        <v>0.2528354815338677</v>
      </c>
      <c r="R75" s="78">
        <f t="shared" si="42"/>
        <v>0.33683826056891408</v>
      </c>
      <c r="S75" s="78">
        <f t="shared" si="42"/>
        <v>0.42182233223322335</v>
      </c>
      <c r="T75" s="78">
        <f t="shared" si="42"/>
        <v>0.5034928392267799</v>
      </c>
      <c r="U75" s="78">
        <f t="shared" si="42"/>
        <v>0.58242720289171779</v>
      </c>
      <c r="V75" s="78">
        <f t="shared" si="42"/>
        <v>0.66594426119754824</v>
      </c>
      <c r="W75" s="78">
        <f t="shared" si="42"/>
        <v>0.74899366053748229</v>
      </c>
      <c r="X75" s="78">
        <f t="shared" si="42"/>
        <v>0.83259859123055169</v>
      </c>
      <c r="Y75" s="78">
        <f t="shared" si="42"/>
        <v>0</v>
      </c>
      <c r="Z75" s="78">
        <f t="shared" si="42"/>
        <v>0</v>
      </c>
    </row>
    <row r="76" spans="1:80" s="22" customFormat="1" ht="13.5" thickBot="1" x14ac:dyDescent="0.25">
      <c r="A76" s="117"/>
      <c r="B76" s="118"/>
      <c r="C76" s="118"/>
      <c r="D76" s="149"/>
      <c r="E76" s="40" t="s">
        <v>5</v>
      </c>
      <c r="F76" s="39">
        <f t="shared" si="41"/>
        <v>46267</v>
      </c>
      <c r="G76" s="39">
        <f t="shared" si="41"/>
        <v>44081</v>
      </c>
      <c r="H76" s="39">
        <f t="shared" si="41"/>
        <v>40710.568699999996</v>
      </c>
      <c r="I76" s="39">
        <f t="shared" si="41"/>
        <v>42026.387000000002</v>
      </c>
      <c r="J76" s="39">
        <f t="shared" si="41"/>
        <v>42967.150000000009</v>
      </c>
      <c r="K76" s="39">
        <f t="shared" si="41"/>
        <v>47623</v>
      </c>
      <c r="L76" s="67">
        <f t="shared" si="41"/>
        <v>51728.564999999995</v>
      </c>
      <c r="M76" s="67">
        <f t="shared" si="41"/>
        <v>57486.328969999995</v>
      </c>
      <c r="N76" s="67">
        <f t="shared" si="41"/>
        <v>0</v>
      </c>
      <c r="O76" s="35">
        <f t="shared" ref="O76:Z76" si="43">O68+O74+O72+O70</f>
        <v>5346.46029</v>
      </c>
      <c r="P76" s="35">
        <f t="shared" si="43"/>
        <v>10705.679990000001</v>
      </c>
      <c r="Q76" s="35">
        <f t="shared" si="43"/>
        <v>16087.921690000001</v>
      </c>
      <c r="R76" s="35">
        <f>R68+R74+R72+R70</f>
        <v>21433.018520000001</v>
      </c>
      <c r="S76" s="35">
        <f t="shared" si="43"/>
        <v>26840.555</v>
      </c>
      <c r="T76" s="35">
        <f t="shared" si="43"/>
        <v>32037.249360000002</v>
      </c>
      <c r="U76" s="35">
        <f t="shared" si="43"/>
        <v>37059.842920000003</v>
      </c>
      <c r="V76" s="35">
        <f t="shared" si="43"/>
        <v>42374.033339999994</v>
      </c>
      <c r="W76" s="35">
        <f t="shared" si="43"/>
        <v>47658.466619999999</v>
      </c>
      <c r="X76" s="35">
        <f t="shared" si="43"/>
        <v>52978.248360000005</v>
      </c>
      <c r="Y76" s="35">
        <f t="shared" si="43"/>
        <v>0</v>
      </c>
      <c r="Z76" s="35">
        <f t="shared" si="43"/>
        <v>0</v>
      </c>
    </row>
    <row r="77" spans="1:80" s="8" customFormat="1" ht="13.5" thickBot="1" x14ac:dyDescent="0.25">
      <c r="A77" s="1"/>
      <c r="B77" s="1"/>
      <c r="C77" s="1"/>
      <c r="D77" s="1"/>
      <c r="E77" s="1"/>
      <c r="F77" s="48"/>
      <c r="G77" s="48"/>
      <c r="H77" s="48"/>
      <c r="I77" s="48"/>
      <c r="J77" s="48"/>
      <c r="K77" s="48"/>
      <c r="L77" s="48"/>
      <c r="M77" s="48"/>
      <c r="N77" s="48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80" s="8" customFormat="1" x14ac:dyDescent="0.2">
      <c r="A78" s="150" t="s">
        <v>10</v>
      </c>
      <c r="B78" s="151"/>
      <c r="C78" s="151"/>
      <c r="D78" s="152"/>
      <c r="E78" s="53" t="s">
        <v>6</v>
      </c>
      <c r="F78" s="37">
        <v>1450</v>
      </c>
      <c r="G78" s="37">
        <v>1400</v>
      </c>
      <c r="H78" s="37">
        <v>1400</v>
      </c>
      <c r="I78" s="37">
        <v>1200</v>
      </c>
      <c r="J78" s="37">
        <v>1200</v>
      </c>
      <c r="K78" s="37">
        <v>1250</v>
      </c>
      <c r="L78" s="65">
        <v>1200</v>
      </c>
      <c r="M78" s="65">
        <v>0</v>
      </c>
      <c r="N78" s="65">
        <v>0</v>
      </c>
      <c r="O78" s="86">
        <f>IF(M78,+O78/M78,0)</f>
        <v>0</v>
      </c>
      <c r="P78" s="86">
        <f t="shared" ref="P78:Z78" si="44">IF(O78,+P78/O78,0)</f>
        <v>0</v>
      </c>
      <c r="Q78" s="86">
        <f t="shared" si="44"/>
        <v>0</v>
      </c>
      <c r="R78" s="86">
        <f t="shared" si="44"/>
        <v>0</v>
      </c>
      <c r="S78" s="86">
        <f t="shared" si="44"/>
        <v>0</v>
      </c>
      <c r="T78" s="86">
        <f t="shared" si="44"/>
        <v>0</v>
      </c>
      <c r="U78" s="86">
        <f t="shared" si="44"/>
        <v>0</v>
      </c>
      <c r="V78" s="86">
        <f t="shared" si="44"/>
        <v>0</v>
      </c>
      <c r="W78" s="86">
        <f t="shared" si="44"/>
        <v>0</v>
      </c>
      <c r="X78" s="86">
        <f t="shared" si="44"/>
        <v>0</v>
      </c>
      <c r="Y78" s="86">
        <f t="shared" si="44"/>
        <v>0</v>
      </c>
      <c r="Z78" s="86">
        <f t="shared" si="44"/>
        <v>0</v>
      </c>
    </row>
    <row r="79" spans="1:80" s="22" customFormat="1" ht="13.5" thickBot="1" x14ac:dyDescent="0.25">
      <c r="A79" s="153"/>
      <c r="B79" s="154"/>
      <c r="C79" s="154"/>
      <c r="D79" s="155"/>
      <c r="E79" s="54" t="s">
        <v>5</v>
      </c>
      <c r="F79" s="44">
        <v>1380</v>
      </c>
      <c r="G79" s="44">
        <v>1169</v>
      </c>
      <c r="H79" s="44">
        <v>1139.3315</v>
      </c>
      <c r="I79" s="44">
        <v>1202</v>
      </c>
      <c r="J79" s="44">
        <v>1178.4190000000001</v>
      </c>
      <c r="K79" s="44">
        <v>1190</v>
      </c>
      <c r="L79" s="94">
        <v>296.07299999999998</v>
      </c>
      <c r="M79" s="94">
        <v>0</v>
      </c>
      <c r="N79" s="94"/>
      <c r="O79" s="87">
        <v>0</v>
      </c>
      <c r="P79" s="87">
        <v>0</v>
      </c>
      <c r="Q79" s="87">
        <v>0</v>
      </c>
      <c r="R79" s="87">
        <v>0</v>
      </c>
      <c r="S79" s="87">
        <v>0</v>
      </c>
      <c r="T79" s="87">
        <v>0</v>
      </c>
      <c r="U79" s="87">
        <v>0</v>
      </c>
      <c r="V79" s="87">
        <v>0</v>
      </c>
      <c r="W79" s="87">
        <v>0</v>
      </c>
      <c r="X79" s="87">
        <v>0</v>
      </c>
      <c r="Y79" s="87">
        <v>0</v>
      </c>
      <c r="Z79" s="87">
        <v>0</v>
      </c>
    </row>
    <row r="80" spans="1:80" s="8" customFormat="1" ht="13.5" hidden="1" thickBot="1" x14ac:dyDescent="0.25">
      <c r="A80" s="16" t="s">
        <v>32</v>
      </c>
      <c r="B80" s="17"/>
      <c r="C80" s="17"/>
      <c r="D80" s="18"/>
      <c r="E80" s="52" t="s">
        <v>6</v>
      </c>
      <c r="F80" s="62"/>
      <c r="G80" s="62"/>
      <c r="H80" s="62"/>
      <c r="I80" s="62"/>
      <c r="J80" s="62"/>
      <c r="K80" s="62"/>
      <c r="L80" s="99"/>
      <c r="M80" s="101"/>
      <c r="N80" s="101"/>
      <c r="O80" s="88" t="e">
        <f>O81/G80</f>
        <v>#DIV/0!</v>
      </c>
      <c r="P80" s="88" t="e">
        <f>P81/G80</f>
        <v>#DIV/0!</v>
      </c>
      <c r="Q80" s="88" t="e">
        <f>Q81/G80</f>
        <v>#DIV/0!</v>
      </c>
      <c r="R80" s="88" t="e">
        <f>R81/G80</f>
        <v>#DIV/0!</v>
      </c>
      <c r="S80" s="88" t="e">
        <f>S81/G80</f>
        <v>#DIV/0!</v>
      </c>
      <c r="T80" s="88" t="e">
        <f>T81/G80</f>
        <v>#DIV/0!</v>
      </c>
      <c r="U80" s="88" t="e">
        <f>U81/G80</f>
        <v>#DIV/0!</v>
      </c>
      <c r="V80" s="88" t="e">
        <f>V81/G80</f>
        <v>#DIV/0!</v>
      </c>
      <c r="W80" s="88" t="e">
        <f>W81/G80</f>
        <v>#DIV/0!</v>
      </c>
      <c r="X80" s="88" t="e">
        <f>X81/G80</f>
        <v>#DIV/0!</v>
      </c>
      <c r="Y80" s="88" t="e">
        <f>Y81/G80</f>
        <v>#DIV/0!</v>
      </c>
      <c r="Z80" s="88" t="e">
        <f>Z81/G80</f>
        <v>#DIV/0!</v>
      </c>
    </row>
    <row r="81" spans="1:80" s="8" customFormat="1" ht="13.5" hidden="1" thickBot="1" x14ac:dyDescent="0.25">
      <c r="A81" s="16"/>
      <c r="B81" s="17"/>
      <c r="C81" s="17"/>
      <c r="D81" s="18"/>
      <c r="E81" s="19" t="s">
        <v>5</v>
      </c>
      <c r="F81" s="63"/>
      <c r="G81" s="63"/>
      <c r="H81" s="63"/>
      <c r="I81" s="63"/>
      <c r="J81" s="63"/>
      <c r="K81" s="63"/>
      <c r="L81" s="100"/>
      <c r="M81" s="102"/>
      <c r="N81" s="102"/>
      <c r="O81" s="89">
        <v>0</v>
      </c>
      <c r="P81" s="89">
        <v>0</v>
      </c>
      <c r="Q81" s="89">
        <v>0</v>
      </c>
      <c r="R81" s="89">
        <v>0</v>
      </c>
      <c r="S81" s="89">
        <v>0</v>
      </c>
      <c r="T81" s="89">
        <v>0</v>
      </c>
      <c r="U81" s="89">
        <v>0</v>
      </c>
      <c r="V81" s="89">
        <v>0</v>
      </c>
      <c r="W81" s="89">
        <v>0</v>
      </c>
      <c r="X81" s="89">
        <v>0</v>
      </c>
      <c r="Y81" s="89">
        <v>0</v>
      </c>
      <c r="Z81" s="89">
        <v>0</v>
      </c>
    </row>
    <row r="82" spans="1:80" s="8" customFormat="1" x14ac:dyDescent="0.2">
      <c r="A82" s="150" t="s">
        <v>44</v>
      </c>
      <c r="B82" s="151"/>
      <c r="C82" s="151"/>
      <c r="D82" s="152"/>
      <c r="E82" s="53" t="s">
        <v>6</v>
      </c>
      <c r="F82" s="37">
        <v>250</v>
      </c>
      <c r="G82" s="37">
        <v>250</v>
      </c>
      <c r="H82" s="37">
        <v>200</v>
      </c>
      <c r="I82" s="37">
        <v>350</v>
      </c>
      <c r="J82" s="37">
        <v>300</v>
      </c>
      <c r="K82" s="37">
        <v>300</v>
      </c>
      <c r="L82" s="98">
        <v>300</v>
      </c>
      <c r="M82" s="98">
        <v>150</v>
      </c>
      <c r="N82" s="98">
        <v>100</v>
      </c>
      <c r="O82" s="86">
        <f>O83/$N$82</f>
        <v>2.6246200000000001E-2</v>
      </c>
      <c r="P82" s="86">
        <f t="shared" ref="P82:Z82" si="45">P83/$N$82</f>
        <v>4.6111399999999997E-2</v>
      </c>
      <c r="Q82" s="86">
        <f t="shared" si="45"/>
        <v>6.7909800000000006E-2</v>
      </c>
      <c r="R82" s="86">
        <f t="shared" si="45"/>
        <v>0.10210720000000001</v>
      </c>
      <c r="S82" s="86">
        <f t="shared" si="45"/>
        <v>0.14560110000000001</v>
      </c>
      <c r="T82" s="86">
        <f t="shared" si="45"/>
        <v>0.18748120000000001</v>
      </c>
      <c r="U82" s="86">
        <f t="shared" si="45"/>
        <v>0.2391036</v>
      </c>
      <c r="V82" s="86">
        <f t="shared" si="45"/>
        <v>0.29755520000000002</v>
      </c>
      <c r="W82" s="86">
        <f t="shared" si="45"/>
        <v>0.38378590000000001</v>
      </c>
      <c r="X82" s="86">
        <f t="shared" si="45"/>
        <v>0.44458160000000002</v>
      </c>
      <c r="Y82" s="86">
        <f t="shared" si="45"/>
        <v>0</v>
      </c>
      <c r="Z82" s="86">
        <f t="shared" si="45"/>
        <v>0</v>
      </c>
    </row>
    <row r="83" spans="1:80" s="22" customFormat="1" ht="13.5" thickBot="1" x14ac:dyDescent="0.25">
      <c r="A83" s="156"/>
      <c r="B83" s="157"/>
      <c r="C83" s="157"/>
      <c r="D83" s="158"/>
      <c r="E83" s="55" t="s">
        <v>5</v>
      </c>
      <c r="F83" s="45">
        <v>144</v>
      </c>
      <c r="G83" s="45">
        <v>171</v>
      </c>
      <c r="H83" s="45">
        <v>314.4101</v>
      </c>
      <c r="I83" s="45">
        <v>251</v>
      </c>
      <c r="J83" s="45">
        <v>316.20666999999997</v>
      </c>
      <c r="K83" s="45">
        <v>307</v>
      </c>
      <c r="L83" s="97">
        <v>100.161</v>
      </c>
      <c r="M83" s="97">
        <v>59.289250000000003</v>
      </c>
      <c r="N83" s="97"/>
      <c r="O83" s="90">
        <v>2.6246200000000002</v>
      </c>
      <c r="P83" s="90">
        <v>4.6111399999999998</v>
      </c>
      <c r="Q83" s="90">
        <v>6.7909800000000002</v>
      </c>
      <c r="R83" s="90">
        <v>10.21072</v>
      </c>
      <c r="S83" s="90">
        <v>14.56011</v>
      </c>
      <c r="T83" s="90">
        <v>18.74812</v>
      </c>
      <c r="U83" s="90">
        <v>23.910360000000001</v>
      </c>
      <c r="V83" s="90">
        <v>29.755520000000001</v>
      </c>
      <c r="W83" s="90">
        <v>38.378590000000003</v>
      </c>
      <c r="X83" s="90">
        <v>44.458159999999999</v>
      </c>
      <c r="Y83" s="90"/>
      <c r="Z83" s="90"/>
    </row>
    <row r="84" spans="1:80" s="8" customFormat="1" x14ac:dyDescent="0.2">
      <c r="A84" s="150" t="s">
        <v>60</v>
      </c>
      <c r="B84" s="151"/>
      <c r="C84" s="151"/>
      <c r="D84" s="152"/>
      <c r="E84" s="53" t="s">
        <v>6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98">
        <v>0</v>
      </c>
      <c r="M84" s="98">
        <v>38500</v>
      </c>
      <c r="N84" s="98">
        <v>42000</v>
      </c>
      <c r="O84" s="86">
        <f>O85/$N$84</f>
        <v>7.8624171666666659E-2</v>
      </c>
      <c r="P84" s="86">
        <f t="shared" ref="P84:Z84" si="46">P85/$N$84</f>
        <v>0.15483683714285715</v>
      </c>
      <c r="Q84" s="86">
        <f t="shared" si="46"/>
        <v>0.2488462935714286</v>
      </c>
      <c r="R84" s="86">
        <f t="shared" si="46"/>
        <v>0.33796850571428572</v>
      </c>
      <c r="S84" s="86">
        <f t="shared" si="46"/>
        <v>0.42346574357142858</v>
      </c>
      <c r="T84" s="86">
        <f t="shared" si="46"/>
        <v>0.51469020023809531</v>
      </c>
      <c r="U84" s="86">
        <f t="shared" si="46"/>
        <v>0.59512954500000004</v>
      </c>
      <c r="V84" s="86">
        <f t="shared" si="46"/>
        <v>0.68109749428571431</v>
      </c>
      <c r="W84" s="86">
        <f t="shared" si="46"/>
        <v>0.77190879690476188</v>
      </c>
      <c r="X84" s="86">
        <f t="shared" si="46"/>
        <v>0.86385335476190483</v>
      </c>
      <c r="Y84" s="86">
        <f t="shared" si="46"/>
        <v>0</v>
      </c>
      <c r="Z84" s="86">
        <f t="shared" si="46"/>
        <v>0</v>
      </c>
    </row>
    <row r="85" spans="1:80" s="22" customFormat="1" ht="13.5" thickBot="1" x14ac:dyDescent="0.25">
      <c r="A85" s="156"/>
      <c r="B85" s="157"/>
      <c r="C85" s="157"/>
      <c r="D85" s="158"/>
      <c r="E85" s="55" t="s">
        <v>5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v>0</v>
      </c>
      <c r="L85" s="97">
        <v>22003.819</v>
      </c>
      <c r="M85" s="97">
        <v>39959.863519999999</v>
      </c>
      <c r="N85" s="97"/>
      <c r="O85" s="90">
        <v>3302.2152099999998</v>
      </c>
      <c r="P85" s="90">
        <v>6503.1471600000004</v>
      </c>
      <c r="Q85" s="90">
        <v>10451.544330000001</v>
      </c>
      <c r="R85" s="90">
        <v>14194.677240000001</v>
      </c>
      <c r="S85" s="90">
        <v>17785.561229999999</v>
      </c>
      <c r="T85" s="90">
        <v>21616.988410000002</v>
      </c>
      <c r="U85" s="90">
        <v>24995.440890000002</v>
      </c>
      <c r="V85" s="90">
        <v>28606.09476</v>
      </c>
      <c r="W85" s="90">
        <v>32420.169470000001</v>
      </c>
      <c r="X85" s="90">
        <v>36281.840900000003</v>
      </c>
      <c r="Y85" s="90"/>
      <c r="Z85" s="90"/>
    </row>
    <row r="86" spans="1:80" s="22" customFormat="1" x14ac:dyDescent="0.2">
      <c r="A86" s="142" t="s">
        <v>45</v>
      </c>
      <c r="B86" s="143"/>
      <c r="C86" s="143"/>
      <c r="D86" s="148"/>
      <c r="E86" s="25" t="s">
        <v>6</v>
      </c>
      <c r="F86" s="38">
        <f>F78+F82+F84</f>
        <v>1700</v>
      </c>
      <c r="G86" s="38">
        <f t="shared" ref="G86:N86" si="47">G78+G82+G84</f>
        <v>1650</v>
      </c>
      <c r="H86" s="38">
        <f t="shared" si="47"/>
        <v>1600</v>
      </c>
      <c r="I86" s="38">
        <f t="shared" si="47"/>
        <v>1550</v>
      </c>
      <c r="J86" s="38">
        <f t="shared" si="47"/>
        <v>1500</v>
      </c>
      <c r="K86" s="38">
        <f t="shared" si="47"/>
        <v>1550</v>
      </c>
      <c r="L86" s="38">
        <f t="shared" si="47"/>
        <v>1500</v>
      </c>
      <c r="M86" s="38">
        <f t="shared" si="47"/>
        <v>38650</v>
      </c>
      <c r="N86" s="38">
        <f t="shared" si="47"/>
        <v>42100</v>
      </c>
      <c r="O86" s="78">
        <f>O87/$N$86</f>
        <v>7.8499758432304029E-2</v>
      </c>
      <c r="P86" s="78">
        <f t="shared" ref="P86:Z86" si="48">P87/$N$86</f>
        <v>0.15457858194774349</v>
      </c>
      <c r="Q86" s="78">
        <f t="shared" si="48"/>
        <v>0.24841651567695963</v>
      </c>
      <c r="R86" s="78">
        <f t="shared" si="48"/>
        <v>0.33740826508313537</v>
      </c>
      <c r="S86" s="78">
        <f t="shared" si="48"/>
        <v>0.42280573254156767</v>
      </c>
      <c r="T86" s="78">
        <f t="shared" si="48"/>
        <v>0.51391298171021382</v>
      </c>
      <c r="U86" s="78">
        <f t="shared" si="48"/>
        <v>0.59428387767220914</v>
      </c>
      <c r="V86" s="78">
        <f t="shared" si="48"/>
        <v>0.68018646745843225</v>
      </c>
      <c r="W86" s="78">
        <f t="shared" si="48"/>
        <v>0.77098688978622332</v>
      </c>
      <c r="X86" s="78">
        <f t="shared" si="48"/>
        <v>0.8628574598574823</v>
      </c>
      <c r="Y86" s="78">
        <f t="shared" si="48"/>
        <v>0</v>
      </c>
      <c r="Z86" s="78">
        <f t="shared" si="48"/>
        <v>0</v>
      </c>
    </row>
    <row r="87" spans="1:80" s="22" customFormat="1" ht="13.5" thickBot="1" x14ac:dyDescent="0.25">
      <c r="A87" s="117"/>
      <c r="B87" s="118"/>
      <c r="C87" s="118"/>
      <c r="D87" s="149"/>
      <c r="E87" s="40" t="s">
        <v>5</v>
      </c>
      <c r="F87" s="39">
        <f>F79+F83+F85</f>
        <v>1524</v>
      </c>
      <c r="G87" s="39">
        <f t="shared" ref="G87:N87" si="49">G79+G83+G85</f>
        <v>1340</v>
      </c>
      <c r="H87" s="39">
        <f t="shared" si="49"/>
        <v>1453.7416000000001</v>
      </c>
      <c r="I87" s="39">
        <f t="shared" si="49"/>
        <v>1453</v>
      </c>
      <c r="J87" s="39">
        <f t="shared" si="49"/>
        <v>1494.6256700000001</v>
      </c>
      <c r="K87" s="39">
        <f t="shared" si="49"/>
        <v>1497</v>
      </c>
      <c r="L87" s="39">
        <f t="shared" si="49"/>
        <v>22400.053</v>
      </c>
      <c r="M87" s="39">
        <f t="shared" si="49"/>
        <v>40019.152770000001</v>
      </c>
      <c r="N87" s="39">
        <f t="shared" si="49"/>
        <v>0</v>
      </c>
      <c r="O87" s="35">
        <f>O79+O83+O85</f>
        <v>3304.8398299999999</v>
      </c>
      <c r="P87" s="35">
        <f t="shared" ref="P87:Z87" si="50">P79+P83+P85</f>
        <v>6507.7583000000004</v>
      </c>
      <c r="Q87" s="35">
        <f t="shared" si="50"/>
        <v>10458.33531</v>
      </c>
      <c r="R87" s="35">
        <f>R79+R83+R85</f>
        <v>14204.88796</v>
      </c>
      <c r="S87" s="35">
        <f t="shared" si="50"/>
        <v>17800.121339999998</v>
      </c>
      <c r="T87" s="35">
        <f t="shared" si="50"/>
        <v>21635.736530000002</v>
      </c>
      <c r="U87" s="35">
        <f t="shared" si="50"/>
        <v>25019.351250000003</v>
      </c>
      <c r="V87" s="35">
        <f t="shared" si="50"/>
        <v>28635.850279999999</v>
      </c>
      <c r="W87" s="35">
        <f t="shared" si="50"/>
        <v>32458.548060000001</v>
      </c>
      <c r="X87" s="35">
        <f t="shared" si="50"/>
        <v>36326.299060000005</v>
      </c>
      <c r="Y87" s="35">
        <f t="shared" si="50"/>
        <v>0</v>
      </c>
      <c r="Z87" s="35">
        <f t="shared" si="50"/>
        <v>0</v>
      </c>
    </row>
    <row r="88" spans="1:80" s="1" customFormat="1" ht="13.5" thickBot="1" x14ac:dyDescent="0.25">
      <c r="B88" s="47"/>
      <c r="F88" s="64"/>
      <c r="G88" s="64"/>
      <c r="H88" s="64"/>
      <c r="I88" s="64"/>
      <c r="J88" s="64"/>
      <c r="K88" s="64"/>
      <c r="L88" s="64"/>
      <c r="M88" s="64"/>
      <c r="N88" s="6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</row>
    <row r="89" spans="1:80" s="12" customFormat="1" x14ac:dyDescent="0.2">
      <c r="A89" s="159" t="s">
        <v>46</v>
      </c>
      <c r="B89" s="160"/>
      <c r="C89" s="160"/>
      <c r="D89" s="161"/>
      <c r="E89" s="23" t="s">
        <v>6</v>
      </c>
      <c r="F89" s="37" t="e">
        <f t="shared" ref="F89:N89" si="51">F6+F27+F64+F75+F86</f>
        <v>#REF!</v>
      </c>
      <c r="G89" s="37" t="e">
        <f t="shared" si="51"/>
        <v>#REF!</v>
      </c>
      <c r="H89" s="37" t="e">
        <f t="shared" si="51"/>
        <v>#REF!</v>
      </c>
      <c r="I89" s="37" t="e">
        <f t="shared" si="51"/>
        <v>#REF!</v>
      </c>
      <c r="J89" s="37">
        <f t="shared" si="51"/>
        <v>114380</v>
      </c>
      <c r="K89" s="37">
        <f t="shared" si="51"/>
        <v>143597</v>
      </c>
      <c r="L89" s="37">
        <f t="shared" si="51"/>
        <v>126526</v>
      </c>
      <c r="M89" s="37">
        <f t="shared" si="51"/>
        <v>172607.70600000001</v>
      </c>
      <c r="N89" s="37">
        <f t="shared" si="51"/>
        <v>198600.36</v>
      </c>
      <c r="O89" s="91">
        <f>O90/$N$89</f>
        <v>9.5723850651630249E-2</v>
      </c>
      <c r="P89" s="91">
        <f t="shared" ref="P89:Z89" si="52">P90/$N$89</f>
        <v>0.17409783159506864</v>
      </c>
      <c r="Q89" s="91">
        <f t="shared" si="52"/>
        <v>0.26999725589621293</v>
      </c>
      <c r="R89" s="91">
        <f t="shared" si="52"/>
        <v>0.3546618953258695</v>
      </c>
      <c r="S89" s="91">
        <f t="shared" si="52"/>
        <v>0.43425940003331315</v>
      </c>
      <c r="T89" s="91">
        <f t="shared" si="52"/>
        <v>0.51084536689661586</v>
      </c>
      <c r="U89" s="91">
        <f t="shared" si="52"/>
        <v>0.58504275445422171</v>
      </c>
      <c r="V89" s="91">
        <f t="shared" si="52"/>
        <v>0.67038523585757848</v>
      </c>
      <c r="W89" s="91">
        <f t="shared" si="52"/>
        <v>0.74825133751016371</v>
      </c>
      <c r="X89" s="91">
        <f t="shared" si="52"/>
        <v>0.82478584988466286</v>
      </c>
      <c r="Y89" s="91">
        <f t="shared" si="52"/>
        <v>0</v>
      </c>
      <c r="Z89" s="91">
        <f t="shared" si="52"/>
        <v>0</v>
      </c>
    </row>
    <row r="90" spans="1:80" s="56" customFormat="1" ht="13.5" thickBot="1" x14ac:dyDescent="0.25">
      <c r="A90" s="162"/>
      <c r="B90" s="163"/>
      <c r="C90" s="163"/>
      <c r="D90" s="164"/>
      <c r="E90" s="58" t="s">
        <v>5</v>
      </c>
      <c r="F90" s="57" t="e">
        <f t="shared" ref="F90:N90" si="53">F7+F28+F65+F76+F87</f>
        <v>#REF!</v>
      </c>
      <c r="G90" s="57" t="e">
        <f t="shared" si="53"/>
        <v>#REF!</v>
      </c>
      <c r="H90" s="57" t="e">
        <f t="shared" si="53"/>
        <v>#REF!</v>
      </c>
      <c r="I90" s="57" t="e">
        <f t="shared" si="53"/>
        <v>#REF!</v>
      </c>
      <c r="J90" s="57">
        <f t="shared" si="53"/>
        <v>111587.82724</v>
      </c>
      <c r="K90" s="57">
        <f t="shared" si="53"/>
        <v>123449.734</v>
      </c>
      <c r="L90" s="57">
        <f t="shared" si="53"/>
        <v>140138.48699999996</v>
      </c>
      <c r="M90" s="57">
        <f t="shared" si="53"/>
        <v>185696.64156000002</v>
      </c>
      <c r="N90" s="57">
        <f t="shared" si="53"/>
        <v>0</v>
      </c>
      <c r="O90" s="92">
        <f t="shared" ref="O90:Z90" si="54">O7+O28+O65+O76+O87</f>
        <v>19010.7912</v>
      </c>
      <c r="P90" s="92">
        <f t="shared" si="54"/>
        <v>34575.892030000003</v>
      </c>
      <c r="Q90" s="92">
        <f t="shared" si="54"/>
        <v>53621.552220000005</v>
      </c>
      <c r="R90" s="92">
        <f t="shared" si="54"/>
        <v>70435.980089999997</v>
      </c>
      <c r="S90" s="92">
        <f t="shared" si="54"/>
        <v>86244.073179999992</v>
      </c>
      <c r="T90" s="92">
        <f t="shared" si="54"/>
        <v>101454.07376999999</v>
      </c>
      <c r="U90" s="92">
        <f t="shared" si="54"/>
        <v>116189.70165000002</v>
      </c>
      <c r="V90" s="92">
        <f t="shared" si="54"/>
        <v>133138.74917999998</v>
      </c>
      <c r="W90" s="92">
        <f t="shared" si="54"/>
        <v>148602.98500000002</v>
      </c>
      <c r="X90" s="92">
        <f t="shared" si="54"/>
        <v>163802.76671</v>
      </c>
      <c r="Y90" s="92">
        <f t="shared" si="54"/>
        <v>0</v>
      </c>
      <c r="Z90" s="92">
        <f t="shared" si="54"/>
        <v>0</v>
      </c>
    </row>
    <row r="91" spans="1:80" x14ac:dyDescent="0.2"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</row>
    <row r="92" spans="1:80" x14ac:dyDescent="0.2">
      <c r="A92" s="9"/>
      <c r="B92" s="9"/>
      <c r="C92" s="9"/>
      <c r="D92" s="9"/>
      <c r="E92" s="8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</row>
    <row r="93" spans="1:80" x14ac:dyDescent="0.2">
      <c r="A93" s="9"/>
      <c r="B93" s="8"/>
      <c r="C93" s="8"/>
      <c r="D93" s="8"/>
      <c r="E93" s="8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</row>
    <row r="94" spans="1:80" x14ac:dyDescent="0.2">
      <c r="A94" s="8"/>
      <c r="B94" s="8"/>
      <c r="C94" s="8"/>
      <c r="D94" s="8"/>
      <c r="E94" s="8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</row>
    <row r="95" spans="1:80" x14ac:dyDescent="0.2">
      <c r="A95" s="8"/>
      <c r="B95" s="8"/>
      <c r="C95" s="8"/>
      <c r="D95" s="8"/>
      <c r="E95" s="8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</row>
    <row r="96" spans="1:80" x14ac:dyDescent="0.2"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</row>
    <row r="97" spans="35:80" x14ac:dyDescent="0.2"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</row>
  </sheetData>
  <mergeCells count="41">
    <mergeCell ref="A75:D76"/>
    <mergeCell ref="A78:D79"/>
    <mergeCell ref="A82:D83"/>
    <mergeCell ref="A84:D85"/>
    <mergeCell ref="A89:D90"/>
    <mergeCell ref="A86:D87"/>
    <mergeCell ref="A69:D70"/>
    <mergeCell ref="A64:D65"/>
    <mergeCell ref="A67:D68"/>
    <mergeCell ref="A50:D51"/>
    <mergeCell ref="A73:D74"/>
    <mergeCell ref="A71:D72"/>
    <mergeCell ref="A62:D63"/>
    <mergeCell ref="A60:D61"/>
    <mergeCell ref="A52:D53"/>
    <mergeCell ref="A56:D57"/>
    <mergeCell ref="A58:D59"/>
    <mergeCell ref="A25:D26"/>
    <mergeCell ref="A27:D28"/>
    <mergeCell ref="A2:D3"/>
    <mergeCell ref="A13:D14"/>
    <mergeCell ref="A15:D16"/>
    <mergeCell ref="A23:D24"/>
    <mergeCell ref="A17:D18"/>
    <mergeCell ref="A19:D20"/>
    <mergeCell ref="A21:D22"/>
    <mergeCell ref="A36:D37"/>
    <mergeCell ref="A30:D31"/>
    <mergeCell ref="A32:D33"/>
    <mergeCell ref="A34:D35"/>
    <mergeCell ref="A48:D49"/>
    <mergeCell ref="A38:D39"/>
    <mergeCell ref="A40:D41"/>
    <mergeCell ref="A42:D43"/>
    <mergeCell ref="A44:D45"/>
    <mergeCell ref="A46:D47"/>
    <mergeCell ref="A1:D1"/>
    <mergeCell ref="A4:D5"/>
    <mergeCell ref="A6:D7"/>
    <mergeCell ref="A9:D10"/>
    <mergeCell ref="A11:D12"/>
  </mergeCells>
  <phoneticPr fontId="11" type="noConversion"/>
  <pageMargins left="0.70866141732283472" right="0.70866141732283472" top="0.78740157480314965" bottom="0.78740157480314965" header="0.31496062992125984" footer="0.31496062992125984"/>
  <pageSetup paperSize="8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Hospodaření 2021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Fakultní nemocnice Olomouc</dc:creator>
  <cp:lastModifiedBy>Uživatel systému Windows</cp:lastModifiedBy>
  <cp:lastPrinted>2021-02-19T08:17:17Z</cp:lastPrinted>
  <dcterms:created xsi:type="dcterms:W3CDTF">2006-11-02T10:16:44Z</dcterms:created>
  <dcterms:modified xsi:type="dcterms:W3CDTF">2021-11-18T09:39:58Z</dcterms:modified>
</cp:coreProperties>
</file>