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abulky\2022\8_2022\"/>
    </mc:Choice>
  </mc:AlternateContent>
  <xr:revisionPtr revIDLastSave="0" documentId="13_ncr:1_{B4A914BE-E8CB-4551-8637-9583B19F4CA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Hospodaření 2022" sheetId="5" r:id="rId1"/>
  </sheets>
  <calcPr calcId="191029"/>
</workbook>
</file>

<file path=xl/calcChain.xml><?xml version="1.0" encoding="utf-8"?>
<calcChain xmlns="http://schemas.openxmlformats.org/spreadsheetml/2006/main">
  <c r="W51" i="5" l="1"/>
  <c r="W37" i="5"/>
  <c r="V51" i="5" l="1"/>
  <c r="V37" i="5"/>
  <c r="U51" i="5" l="1"/>
  <c r="U37" i="5" l="1"/>
  <c r="T51" i="5" l="1"/>
  <c r="T37" i="5"/>
  <c r="V7" i="5" l="1"/>
  <c r="S51" i="5" l="1"/>
  <c r="S37" i="5"/>
  <c r="Q89" i="5" l="1"/>
  <c r="R89" i="5"/>
  <c r="X89" i="5"/>
  <c r="Y89" i="5"/>
  <c r="P89" i="5"/>
  <c r="Q86" i="5"/>
  <c r="R86" i="5"/>
  <c r="X86" i="5"/>
  <c r="Y86" i="5"/>
  <c r="Z86" i="5"/>
  <c r="AA86" i="5"/>
  <c r="P86" i="5"/>
  <c r="Q84" i="5"/>
  <c r="R84" i="5"/>
  <c r="S84" i="5"/>
  <c r="T84" i="5"/>
  <c r="U84" i="5"/>
  <c r="V84" i="5"/>
  <c r="W84" i="5"/>
  <c r="X84" i="5"/>
  <c r="Y84" i="5"/>
  <c r="Z84" i="5"/>
  <c r="AA84" i="5"/>
  <c r="P84" i="5"/>
  <c r="Q82" i="5"/>
  <c r="R82" i="5"/>
  <c r="S82" i="5"/>
  <c r="T82" i="5"/>
  <c r="U82" i="5"/>
  <c r="V82" i="5"/>
  <c r="W82" i="5"/>
  <c r="X82" i="5"/>
  <c r="Y82" i="5"/>
  <c r="Z82" i="5"/>
  <c r="AA82" i="5"/>
  <c r="P82" i="5"/>
  <c r="Q78" i="5"/>
  <c r="R78" i="5" s="1"/>
  <c r="S78" i="5" s="1"/>
  <c r="T78" i="5" s="1"/>
  <c r="U78" i="5" s="1"/>
  <c r="V78" i="5" s="1"/>
  <c r="W78" i="5" s="1"/>
  <c r="X78" i="5" s="1"/>
  <c r="Y78" i="5" s="1"/>
  <c r="Z78" i="5" s="1"/>
  <c r="AA78" i="5" s="1"/>
  <c r="P78" i="5"/>
  <c r="Q75" i="5"/>
  <c r="R75" i="5"/>
  <c r="X75" i="5"/>
  <c r="Y75" i="5"/>
  <c r="Z75" i="5"/>
  <c r="AA75" i="5"/>
  <c r="P75" i="5"/>
  <c r="Q73" i="5"/>
  <c r="R73" i="5"/>
  <c r="S73" i="5"/>
  <c r="T73" i="5"/>
  <c r="U73" i="5"/>
  <c r="V73" i="5"/>
  <c r="W73" i="5"/>
  <c r="X73" i="5"/>
  <c r="Y73" i="5"/>
  <c r="Z73" i="5"/>
  <c r="AA73" i="5"/>
  <c r="P73" i="5"/>
  <c r="Q71" i="5"/>
  <c r="R71" i="5"/>
  <c r="S71" i="5" s="1"/>
  <c r="T71" i="5" s="1"/>
  <c r="U71" i="5" s="1"/>
  <c r="V71" i="5" s="1"/>
  <c r="W71" i="5" s="1"/>
  <c r="X71" i="5" s="1"/>
  <c r="Y71" i="5" s="1"/>
  <c r="Z71" i="5" s="1"/>
  <c r="AA71" i="5" s="1"/>
  <c r="P71" i="5"/>
  <c r="Q69" i="5"/>
  <c r="R69" i="5"/>
  <c r="S69" i="5"/>
  <c r="T69" i="5"/>
  <c r="U69" i="5"/>
  <c r="V69" i="5"/>
  <c r="W69" i="5"/>
  <c r="X69" i="5"/>
  <c r="Y69" i="5"/>
  <c r="Z69" i="5"/>
  <c r="AA69" i="5"/>
  <c r="P69" i="5"/>
  <c r="Q67" i="5"/>
  <c r="R67" i="5"/>
  <c r="S67" i="5"/>
  <c r="T67" i="5"/>
  <c r="U67" i="5"/>
  <c r="V67" i="5"/>
  <c r="W67" i="5"/>
  <c r="X67" i="5"/>
  <c r="Y67" i="5"/>
  <c r="Z67" i="5"/>
  <c r="AA67" i="5"/>
  <c r="P67" i="5"/>
  <c r="Q64" i="5"/>
  <c r="R64" i="5"/>
  <c r="X64" i="5"/>
  <c r="Y64" i="5"/>
  <c r="P64" i="5"/>
  <c r="Q62" i="5"/>
  <c r="R62" i="5"/>
  <c r="S62" i="5"/>
  <c r="T62" i="5"/>
  <c r="U62" i="5"/>
  <c r="V62" i="5"/>
  <c r="W62" i="5"/>
  <c r="X62" i="5"/>
  <c r="Y62" i="5"/>
  <c r="Z62" i="5"/>
  <c r="AA62" i="5"/>
  <c r="P62" i="5"/>
  <c r="Q60" i="5"/>
  <c r="R60" i="5"/>
  <c r="S60" i="5"/>
  <c r="T60" i="5"/>
  <c r="U60" i="5"/>
  <c r="V60" i="5"/>
  <c r="W60" i="5"/>
  <c r="X60" i="5"/>
  <c r="Y60" i="5"/>
  <c r="Z60" i="5"/>
  <c r="AA60" i="5"/>
  <c r="P60" i="5"/>
  <c r="Q58" i="5"/>
  <c r="R58" i="5"/>
  <c r="S58" i="5"/>
  <c r="T58" i="5"/>
  <c r="U58" i="5"/>
  <c r="V58" i="5"/>
  <c r="W58" i="5"/>
  <c r="X58" i="5"/>
  <c r="Y58" i="5"/>
  <c r="Z58" i="5"/>
  <c r="AA58" i="5"/>
  <c r="P58" i="5"/>
  <c r="Q56" i="5"/>
  <c r="R56" i="5"/>
  <c r="S56" i="5"/>
  <c r="T56" i="5"/>
  <c r="U56" i="5"/>
  <c r="V56" i="5"/>
  <c r="W56" i="5"/>
  <c r="X56" i="5"/>
  <c r="Y56" i="5"/>
  <c r="Z56" i="5"/>
  <c r="AA56" i="5"/>
  <c r="P56" i="5"/>
  <c r="Q52" i="5"/>
  <c r="R52" i="5"/>
  <c r="S52" i="5"/>
  <c r="T52" i="5"/>
  <c r="U52" i="5"/>
  <c r="V52" i="5"/>
  <c r="W52" i="5"/>
  <c r="X52" i="5"/>
  <c r="Y52" i="5"/>
  <c r="Z52" i="5"/>
  <c r="AA52" i="5"/>
  <c r="P52" i="5"/>
  <c r="Q50" i="5"/>
  <c r="R50" i="5"/>
  <c r="S50" i="5"/>
  <c r="T50" i="5"/>
  <c r="U50" i="5"/>
  <c r="V50" i="5"/>
  <c r="W50" i="5"/>
  <c r="X50" i="5"/>
  <c r="Y50" i="5"/>
  <c r="Z50" i="5"/>
  <c r="AA50" i="5"/>
  <c r="P50" i="5"/>
  <c r="Q46" i="5"/>
  <c r="R46" i="5"/>
  <c r="S46" i="5"/>
  <c r="T46" i="5"/>
  <c r="U46" i="5"/>
  <c r="V46" i="5"/>
  <c r="W46" i="5"/>
  <c r="X46" i="5"/>
  <c r="Y46" i="5"/>
  <c r="Z46" i="5"/>
  <c r="AA46" i="5"/>
  <c r="P46" i="5"/>
  <c r="Q44" i="5"/>
  <c r="R44" i="5"/>
  <c r="S44" i="5"/>
  <c r="T44" i="5"/>
  <c r="U44" i="5"/>
  <c r="V44" i="5"/>
  <c r="W44" i="5"/>
  <c r="X44" i="5"/>
  <c r="Y44" i="5"/>
  <c r="Z44" i="5"/>
  <c r="AA44" i="5"/>
  <c r="P44" i="5"/>
  <c r="Q42" i="5"/>
  <c r="R42" i="5"/>
  <c r="S42" i="5"/>
  <c r="T42" i="5"/>
  <c r="U42" i="5"/>
  <c r="V42" i="5"/>
  <c r="W42" i="5"/>
  <c r="X42" i="5"/>
  <c r="Y42" i="5"/>
  <c r="Z42" i="5"/>
  <c r="AA42" i="5"/>
  <c r="P42" i="5"/>
  <c r="Q38" i="5"/>
  <c r="R38" i="5"/>
  <c r="S38" i="5"/>
  <c r="T38" i="5"/>
  <c r="U38" i="5"/>
  <c r="V38" i="5"/>
  <c r="W38" i="5"/>
  <c r="X38" i="5"/>
  <c r="Y38" i="5"/>
  <c r="Z38" i="5"/>
  <c r="AA38" i="5"/>
  <c r="P38" i="5"/>
  <c r="Q36" i="5"/>
  <c r="R36" i="5"/>
  <c r="S36" i="5"/>
  <c r="T36" i="5"/>
  <c r="U36" i="5"/>
  <c r="V36" i="5"/>
  <c r="W36" i="5"/>
  <c r="X36" i="5"/>
  <c r="Y36" i="5"/>
  <c r="Z36" i="5"/>
  <c r="AA36" i="5"/>
  <c r="P36" i="5"/>
  <c r="Q34" i="5"/>
  <c r="R34" i="5"/>
  <c r="S34" i="5"/>
  <c r="T34" i="5"/>
  <c r="U34" i="5"/>
  <c r="V34" i="5"/>
  <c r="W34" i="5"/>
  <c r="X34" i="5"/>
  <c r="Y34" i="5"/>
  <c r="Z34" i="5"/>
  <c r="AA34" i="5"/>
  <c r="P34" i="5"/>
  <c r="Q32" i="5"/>
  <c r="R32" i="5"/>
  <c r="S32" i="5"/>
  <c r="T32" i="5"/>
  <c r="U32" i="5"/>
  <c r="V32" i="5"/>
  <c r="W32" i="5"/>
  <c r="X32" i="5"/>
  <c r="Y32" i="5"/>
  <c r="Z32" i="5"/>
  <c r="AA32" i="5"/>
  <c r="P32" i="5"/>
  <c r="Q30" i="5"/>
  <c r="R30" i="5"/>
  <c r="S30" i="5"/>
  <c r="T30" i="5"/>
  <c r="U30" i="5"/>
  <c r="V30" i="5"/>
  <c r="W30" i="5"/>
  <c r="X30" i="5"/>
  <c r="Y30" i="5"/>
  <c r="Z30" i="5"/>
  <c r="AA30" i="5"/>
  <c r="P30" i="5"/>
  <c r="Q27" i="5"/>
  <c r="R27" i="5"/>
  <c r="X27" i="5"/>
  <c r="Y27" i="5"/>
  <c r="Z27" i="5"/>
  <c r="AA27" i="5"/>
  <c r="P27" i="5"/>
  <c r="Q25" i="5"/>
  <c r="R25" i="5"/>
  <c r="S25" i="5"/>
  <c r="T25" i="5"/>
  <c r="U25" i="5"/>
  <c r="V25" i="5"/>
  <c r="W25" i="5"/>
  <c r="X25" i="5"/>
  <c r="Y25" i="5"/>
  <c r="Z25" i="5"/>
  <c r="AA25" i="5"/>
  <c r="P25" i="5"/>
  <c r="Q23" i="5"/>
  <c r="R23" i="5"/>
  <c r="S23" i="5"/>
  <c r="T23" i="5"/>
  <c r="U23" i="5"/>
  <c r="V23" i="5"/>
  <c r="W23" i="5"/>
  <c r="X23" i="5"/>
  <c r="Y23" i="5"/>
  <c r="Z23" i="5"/>
  <c r="AA23" i="5"/>
  <c r="P23" i="5"/>
  <c r="Q21" i="5"/>
  <c r="R21" i="5"/>
  <c r="S21" i="5"/>
  <c r="T21" i="5"/>
  <c r="U21" i="5"/>
  <c r="V21" i="5"/>
  <c r="W21" i="5"/>
  <c r="X21" i="5"/>
  <c r="Y21" i="5"/>
  <c r="Z21" i="5"/>
  <c r="AA21" i="5"/>
  <c r="P21" i="5"/>
  <c r="Q19" i="5"/>
  <c r="R19" i="5"/>
  <c r="S19" i="5"/>
  <c r="T19" i="5"/>
  <c r="U19" i="5"/>
  <c r="V19" i="5"/>
  <c r="W19" i="5"/>
  <c r="X19" i="5"/>
  <c r="Y19" i="5"/>
  <c r="Z19" i="5"/>
  <c r="AA19" i="5"/>
  <c r="P19" i="5"/>
  <c r="Q17" i="5"/>
  <c r="R17" i="5"/>
  <c r="S17" i="5"/>
  <c r="T17" i="5"/>
  <c r="U17" i="5"/>
  <c r="V17" i="5"/>
  <c r="W17" i="5"/>
  <c r="X17" i="5"/>
  <c r="Y17" i="5"/>
  <c r="Z17" i="5"/>
  <c r="AA17" i="5"/>
  <c r="P17" i="5"/>
  <c r="Q15" i="5"/>
  <c r="R15" i="5"/>
  <c r="S15" i="5"/>
  <c r="T15" i="5"/>
  <c r="U15" i="5"/>
  <c r="V15" i="5"/>
  <c r="W15" i="5"/>
  <c r="X15" i="5"/>
  <c r="Y15" i="5"/>
  <c r="Z15" i="5"/>
  <c r="AA15" i="5"/>
  <c r="P15" i="5"/>
  <c r="Q11" i="5"/>
  <c r="R11" i="5"/>
  <c r="S11" i="5"/>
  <c r="T11" i="5"/>
  <c r="U11" i="5"/>
  <c r="V11" i="5"/>
  <c r="W11" i="5"/>
  <c r="X11" i="5"/>
  <c r="Y11" i="5"/>
  <c r="Z11" i="5"/>
  <c r="AA11" i="5"/>
  <c r="P11" i="5"/>
  <c r="Q9" i="5"/>
  <c r="R9" i="5"/>
  <c r="S9" i="5"/>
  <c r="T9" i="5"/>
  <c r="U9" i="5"/>
  <c r="V9" i="5"/>
  <c r="W9" i="5"/>
  <c r="X9" i="5"/>
  <c r="Y9" i="5"/>
  <c r="Z9" i="5"/>
  <c r="AA9" i="5"/>
  <c r="P9" i="5"/>
  <c r="Q6" i="5"/>
  <c r="R6" i="5"/>
  <c r="V6" i="5"/>
  <c r="X6" i="5"/>
  <c r="Y6" i="5"/>
  <c r="Z6" i="5"/>
  <c r="AA6" i="5"/>
  <c r="P6" i="5"/>
  <c r="Q4" i="5"/>
  <c r="R4" i="5"/>
  <c r="S4" i="5"/>
  <c r="T4" i="5"/>
  <c r="U4" i="5"/>
  <c r="V4" i="5"/>
  <c r="W4" i="5"/>
  <c r="X4" i="5"/>
  <c r="Y4" i="5"/>
  <c r="Z4" i="5"/>
  <c r="AA4" i="5"/>
  <c r="P4" i="5"/>
  <c r="Q2" i="5"/>
  <c r="R2" i="5"/>
  <c r="S2" i="5"/>
  <c r="T2" i="5"/>
  <c r="U2" i="5"/>
  <c r="V2" i="5"/>
  <c r="W2" i="5"/>
  <c r="X2" i="5"/>
  <c r="Y2" i="5"/>
  <c r="Z2" i="5"/>
  <c r="AA2" i="5"/>
  <c r="P2" i="5"/>
  <c r="R51" i="5" l="1"/>
  <c r="R37" i="5"/>
  <c r="Q51" i="5" l="1"/>
  <c r="Q37" i="5"/>
  <c r="P51" i="5" l="1"/>
  <c r="P37" i="5"/>
  <c r="O50" i="5"/>
  <c r="O36" i="5"/>
  <c r="O90" i="5" l="1"/>
  <c r="O87" i="5"/>
  <c r="O86" i="5"/>
  <c r="O76" i="5"/>
  <c r="O75" i="5"/>
  <c r="O65" i="5"/>
  <c r="O64" i="5"/>
  <c r="O28" i="5"/>
  <c r="O27" i="5"/>
  <c r="O7" i="5"/>
  <c r="O6" i="5"/>
  <c r="N51" i="5"/>
  <c r="N39" i="5"/>
  <c r="N37" i="5"/>
  <c r="N7" i="5"/>
  <c r="O89" i="5" l="1"/>
  <c r="V65" i="5" l="1"/>
  <c r="V64" i="5" s="1"/>
  <c r="Q65" i="5"/>
  <c r="R65" i="5"/>
  <c r="S65" i="5"/>
  <c r="S64" i="5" s="1"/>
  <c r="T65" i="5"/>
  <c r="T64" i="5" s="1"/>
  <c r="U65" i="5"/>
  <c r="U64" i="5" s="1"/>
  <c r="W65" i="5"/>
  <c r="W64" i="5" s="1"/>
  <c r="X65" i="5"/>
  <c r="Y65" i="5"/>
  <c r="Z65" i="5"/>
  <c r="Z64" i="5" s="1"/>
  <c r="AA65" i="5"/>
  <c r="AA64" i="5" s="1"/>
  <c r="P65" i="5"/>
  <c r="K65" i="5"/>
  <c r="L65" i="5"/>
  <c r="M65" i="5"/>
  <c r="N65" i="5"/>
  <c r="K64" i="5"/>
  <c r="L64" i="5"/>
  <c r="M64" i="5"/>
  <c r="N64" i="5"/>
  <c r="J65" i="5"/>
  <c r="J64" i="5"/>
  <c r="N87" i="5" l="1"/>
  <c r="N86" i="5"/>
  <c r="N76" i="5"/>
  <c r="N75" i="5"/>
  <c r="N28" i="5" l="1"/>
  <c r="N90" i="5" s="1"/>
  <c r="N27" i="5"/>
  <c r="N6" i="5"/>
  <c r="N89" i="5" l="1"/>
  <c r="M28" i="5" l="1"/>
  <c r="S87" i="5" l="1"/>
  <c r="S86" i="5" s="1"/>
  <c r="S76" i="5"/>
  <c r="S75" i="5" s="1"/>
  <c r="S28" i="5"/>
  <c r="S27" i="5" s="1"/>
  <c r="M50" i="5" l="1"/>
  <c r="M36" i="5" l="1"/>
  <c r="M87" i="5" l="1"/>
  <c r="M86" i="5"/>
  <c r="M76" i="5"/>
  <c r="M75" i="5"/>
  <c r="M27" i="5"/>
  <c r="M7" i="5"/>
  <c r="M6" i="5"/>
  <c r="M90" i="5" l="1"/>
  <c r="M89" i="5"/>
  <c r="L51" i="5" l="1"/>
  <c r="L37" i="5"/>
  <c r="Q87" i="5" l="1"/>
  <c r="R87" i="5"/>
  <c r="T87" i="5"/>
  <c r="T86" i="5" s="1"/>
  <c r="U87" i="5"/>
  <c r="U86" i="5" s="1"/>
  <c r="V87" i="5"/>
  <c r="V86" i="5" s="1"/>
  <c r="W87" i="5"/>
  <c r="W86" i="5" s="1"/>
  <c r="X87" i="5"/>
  <c r="Y87" i="5"/>
  <c r="Z87" i="5"/>
  <c r="AA87" i="5"/>
  <c r="P87" i="5"/>
  <c r="G87" i="5"/>
  <c r="H87" i="5"/>
  <c r="I87" i="5"/>
  <c r="J87" i="5"/>
  <c r="K87" i="5"/>
  <c r="L87" i="5"/>
  <c r="F87" i="5"/>
  <c r="G86" i="5"/>
  <c r="H86" i="5"/>
  <c r="I86" i="5"/>
  <c r="J86" i="5"/>
  <c r="K86" i="5"/>
  <c r="L86" i="5"/>
  <c r="F86" i="5"/>
  <c r="L50" i="5" l="1"/>
  <c r="L36" i="5"/>
  <c r="L7" i="5"/>
  <c r="G75" i="5" l="1"/>
  <c r="H75" i="5"/>
  <c r="I75" i="5"/>
  <c r="J75" i="5"/>
  <c r="K75" i="5"/>
  <c r="L75" i="5"/>
  <c r="G76" i="5"/>
  <c r="H76" i="5"/>
  <c r="I76" i="5"/>
  <c r="J76" i="5"/>
  <c r="K76" i="5"/>
  <c r="L76" i="5"/>
  <c r="G64" i="5"/>
  <c r="I64" i="5"/>
  <c r="H65" i="5"/>
  <c r="I65" i="5"/>
  <c r="G27" i="5"/>
  <c r="H27" i="5"/>
  <c r="I27" i="5"/>
  <c r="J27" i="5"/>
  <c r="K27" i="5"/>
  <c r="L27" i="5"/>
  <c r="G28" i="5"/>
  <c r="H28" i="5"/>
  <c r="I28" i="5"/>
  <c r="J28" i="5"/>
  <c r="K28" i="5"/>
  <c r="L28" i="5"/>
  <c r="G6" i="5"/>
  <c r="H6" i="5"/>
  <c r="I6" i="5"/>
  <c r="J6" i="5"/>
  <c r="K6" i="5"/>
  <c r="L6" i="5"/>
  <c r="G7" i="5"/>
  <c r="H7" i="5"/>
  <c r="I7" i="5"/>
  <c r="J7" i="5"/>
  <c r="K7" i="5"/>
  <c r="I90" i="5" l="1"/>
  <c r="G89" i="5"/>
  <c r="K89" i="5"/>
  <c r="H90" i="5"/>
  <c r="L90" i="5"/>
  <c r="I89" i="5"/>
  <c r="J90" i="5"/>
  <c r="L89" i="5"/>
  <c r="J89" i="5"/>
  <c r="K90" i="5"/>
  <c r="Q76" i="5"/>
  <c r="R76" i="5"/>
  <c r="T76" i="5"/>
  <c r="T75" i="5" s="1"/>
  <c r="U76" i="5"/>
  <c r="U75" i="5" s="1"/>
  <c r="V76" i="5"/>
  <c r="V75" i="5" s="1"/>
  <c r="W76" i="5"/>
  <c r="W75" i="5" s="1"/>
  <c r="X76" i="5"/>
  <c r="Y76" i="5"/>
  <c r="Z76" i="5"/>
  <c r="AA76" i="5"/>
  <c r="P76" i="5"/>
  <c r="F75" i="5"/>
  <c r="F76" i="5"/>
  <c r="F27" i="5"/>
  <c r="F28" i="5"/>
  <c r="Q28" i="5"/>
  <c r="R28" i="5"/>
  <c r="T28" i="5"/>
  <c r="T27" i="5" s="1"/>
  <c r="U28" i="5"/>
  <c r="U27" i="5" s="1"/>
  <c r="V28" i="5"/>
  <c r="V27" i="5" s="1"/>
  <c r="W28" i="5"/>
  <c r="W27" i="5" s="1"/>
  <c r="X28" i="5"/>
  <c r="Y28" i="5"/>
  <c r="Z28" i="5"/>
  <c r="AA28" i="5"/>
  <c r="P28" i="5"/>
  <c r="G65" i="5" l="1"/>
  <c r="G90" i="5" s="1"/>
  <c r="F65" i="5"/>
  <c r="F64" i="5"/>
  <c r="F7" i="5"/>
  <c r="F6" i="5"/>
  <c r="Y7" i="5"/>
  <c r="Z7" i="5"/>
  <c r="AA7" i="5"/>
  <c r="AA80" i="5"/>
  <c r="Z80" i="5"/>
  <c r="Y80" i="5"/>
  <c r="X80" i="5"/>
  <c r="W80" i="5"/>
  <c r="V80" i="5"/>
  <c r="U80" i="5"/>
  <c r="T80" i="5"/>
  <c r="S80" i="5"/>
  <c r="R80" i="5"/>
  <c r="Q80" i="5"/>
  <c r="P80" i="5"/>
  <c r="X7" i="5"/>
  <c r="W7" i="5"/>
  <c r="W6" i="5" s="1"/>
  <c r="U7" i="5"/>
  <c r="U6" i="5" s="1"/>
  <c r="T7" i="5"/>
  <c r="T6" i="5" s="1"/>
  <c r="S7" i="5"/>
  <c r="S6" i="5" s="1"/>
  <c r="R7" i="5"/>
  <c r="Q7" i="5"/>
  <c r="P7" i="5"/>
  <c r="R54" i="5"/>
  <c r="T54" i="5"/>
  <c r="U54" i="5"/>
  <c r="V54" i="5"/>
  <c r="W54" i="5"/>
  <c r="X54" i="5"/>
  <c r="Y54" i="5"/>
  <c r="Z54" i="5"/>
  <c r="AA54" i="5"/>
  <c r="S54" i="5"/>
  <c r="Q54" i="5"/>
  <c r="P54" i="5"/>
  <c r="X90" i="5" l="1"/>
  <c r="V90" i="5"/>
  <c r="V89" i="5" s="1"/>
  <c r="AA90" i="5"/>
  <c r="AA89" i="5" s="1"/>
  <c r="W90" i="5"/>
  <c r="W89" i="5" s="1"/>
  <c r="Z90" i="5"/>
  <c r="Z89" i="5" s="1"/>
  <c r="Y90" i="5"/>
  <c r="U90" i="5"/>
  <c r="U89" i="5" s="1"/>
  <c r="T90" i="5"/>
  <c r="T89" i="5" s="1"/>
  <c r="R90" i="5"/>
  <c r="Q90" i="5"/>
  <c r="S90" i="5"/>
  <c r="S89" i="5" s="1"/>
  <c r="F89" i="5"/>
  <c r="F90" i="5"/>
  <c r="P90" i="5"/>
  <c r="H64" i="5"/>
  <c r="H89" i="5" s="1"/>
</calcChain>
</file>

<file path=xl/sharedStrings.xml><?xml version="1.0" encoding="utf-8"?>
<sst xmlns="http://schemas.openxmlformats.org/spreadsheetml/2006/main" count="143" uniqueCount="61">
  <si>
    <t>účet</t>
  </si>
  <si>
    <t>501 17 002 drogistické zboží</t>
  </si>
  <si>
    <t>501 19 002 prádlo pacientů</t>
  </si>
  <si>
    <t>501 19 099 netkaný textil</t>
  </si>
  <si>
    <t>518 07 411 stravné dodavatelsky</t>
  </si>
  <si>
    <t>skut.</t>
  </si>
  <si>
    <t>pl.</t>
  </si>
  <si>
    <t>501 12 002 motorová nafta</t>
  </si>
  <si>
    <t>501 12 003 oleje a mazadla</t>
  </si>
  <si>
    <t>501 16 010 nápoje-horké provozy</t>
  </si>
  <si>
    <t>501 17 006 prášky pro prádelnu</t>
  </si>
  <si>
    <t>501 17 011 obaly pro sterilizaci</t>
  </si>
  <si>
    <t>501 18 007 ND-doprava</t>
  </si>
  <si>
    <t>501 19 077 prádlo OOPP</t>
  </si>
  <si>
    <t>501 19 090 OOP pacient+doprovod</t>
  </si>
  <si>
    <t>501 19 092 lůžkoviny</t>
  </si>
  <si>
    <t>511 02 027 opravy vozového parku</t>
  </si>
  <si>
    <t>538 01 006 dálniční známky</t>
  </si>
  <si>
    <t>549 11 003 pojištění vozidel</t>
  </si>
  <si>
    <t>I. 8,33</t>
  </si>
  <si>
    <t>II. 16,67</t>
  </si>
  <si>
    <t>III. 25</t>
  </si>
  <si>
    <t>IV. 33,33</t>
  </si>
  <si>
    <t>V. 41,66</t>
  </si>
  <si>
    <t>VI. 50</t>
  </si>
  <si>
    <t>VII. 58,31</t>
  </si>
  <si>
    <t>VIII. 66,64</t>
  </si>
  <si>
    <t>IX. 74,97</t>
  </si>
  <si>
    <t>X. 83,3</t>
  </si>
  <si>
    <t>XI. 91,63</t>
  </si>
  <si>
    <t>XII. 99,96</t>
  </si>
  <si>
    <t>501 19 003 DDHM zdr lék nást.,příst.</t>
  </si>
  <si>
    <t>599 02 000 údržba ZVIT</t>
  </si>
  <si>
    <t>CELKEM STRAV</t>
  </si>
  <si>
    <t>501 12 001 aut. benzín</t>
  </si>
  <si>
    <t>518 08 011 revize sml.servis doprava</t>
  </si>
  <si>
    <t>CELKEM DOPR</t>
  </si>
  <si>
    <t xml:space="preserve">501 17 004 tiskopisy a kanc.potřeby </t>
  </si>
  <si>
    <t>501 18 001 ND-ostatní (všeob.sklad)</t>
  </si>
  <si>
    <t>558 06 001 DDHM ostatní (do 40000,-)</t>
  </si>
  <si>
    <t>558 02 001 kuchyň.zařízení a nádobí</t>
  </si>
  <si>
    <t>CELKEM VSEOB</t>
  </si>
  <si>
    <t>518 06 001 MW-DIAS úklid</t>
  </si>
  <si>
    <t>CELKEM OSL</t>
  </si>
  <si>
    <t>501 17 007 údržb.mat. ost.sklady</t>
  </si>
  <si>
    <t>CELKEM PRAD</t>
  </si>
  <si>
    <t>CELKEM PRÚ</t>
  </si>
  <si>
    <t>558 02 002 DDHM ost.prov.technika</t>
  </si>
  <si>
    <t>558 02 003 kancel.technika</t>
  </si>
  <si>
    <t>558 05 002 nábytek</t>
  </si>
  <si>
    <t>1785</t>
  </si>
  <si>
    <t>501 19 100-102 jednoráz.pom.a mater.</t>
  </si>
  <si>
    <t>1821</t>
  </si>
  <si>
    <t>Všeobecný materiál</t>
  </si>
  <si>
    <t>518 74 002 služby (ostraha)</t>
  </si>
  <si>
    <t>518 06 003 úklid (ostatní)</t>
  </si>
  <si>
    <t>pl./skut.</t>
  </si>
  <si>
    <t>501 12 004 plyn (CNG)</t>
  </si>
  <si>
    <t>518 06 002 úklid - více práce</t>
  </si>
  <si>
    <t>501 17 020 - 025 všeobecný materiál</t>
  </si>
  <si>
    <t>518 06 007 praní prádla (RENATEX)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</si>
</sst>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Border="1"/>
    <xf numFmtId="17" fontId="3" fillId="0" borderId="0" xfId="0" applyNumberFormat="1" applyFont="1" applyBorder="1"/>
    <xf numFmtId="0" fontId="0" fillId="3" borderId="1" xfId="0" applyFill="1" applyBorder="1"/>
    <xf numFmtId="0" fontId="0" fillId="3" borderId="0" xfId="0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3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0" fillId="0" borderId="0" xfId="0" applyFill="1"/>
    <xf numFmtId="0" fontId="8" fillId="0" borderId="0" xfId="0" applyNumberFormat="1" applyFont="1" applyFill="1" applyBorder="1"/>
    <xf numFmtId="0" fontId="0" fillId="3" borderId="2" xfId="0" applyFill="1" applyBorder="1"/>
    <xf numFmtId="0" fontId="0" fillId="3" borderId="10" xfId="0" applyFill="1" applyBorder="1"/>
    <xf numFmtId="0" fontId="5" fillId="8" borderId="1" xfId="0" applyFont="1" applyFill="1" applyBorder="1"/>
    <xf numFmtId="0" fontId="5" fillId="8" borderId="0" xfId="0" applyFont="1" applyFill="1" applyBorder="1"/>
    <xf numFmtId="0" fontId="5" fillId="8" borderId="10" xfId="0" applyFont="1" applyFill="1" applyBorder="1"/>
    <xf numFmtId="0" fontId="0" fillId="8" borderId="7" xfId="0" applyFill="1" applyBorder="1"/>
    <xf numFmtId="0" fontId="0" fillId="3" borderId="7" xfId="0" applyFill="1" applyBorder="1"/>
    <xf numFmtId="3" fontId="0" fillId="5" borderId="20" xfId="0" applyNumberFormat="1" applyFill="1" applyBorder="1"/>
    <xf numFmtId="3" fontId="0" fillId="0" borderId="0" xfId="0" applyNumberFormat="1" applyFill="1" applyBorder="1"/>
    <xf numFmtId="0" fontId="0" fillId="4" borderId="30" xfId="0" applyFill="1" applyBorder="1"/>
    <xf numFmtId="0" fontId="0" fillId="4" borderId="25" xfId="0" applyFill="1" applyBorder="1"/>
    <xf numFmtId="0" fontId="0" fillId="6" borderId="30" xfId="0" applyFill="1" applyBorder="1"/>
    <xf numFmtId="0" fontId="4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5" borderId="30" xfId="0" applyFill="1" applyBorder="1"/>
    <xf numFmtId="0" fontId="0" fillId="6" borderId="24" xfId="0" applyFill="1" applyBorder="1"/>
    <xf numFmtId="0" fontId="2" fillId="2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3" fontId="4" fillId="2" borderId="30" xfId="0" applyNumberFormat="1" applyFont="1" applyFill="1" applyBorder="1"/>
    <xf numFmtId="3" fontId="4" fillId="2" borderId="20" xfId="0" applyNumberFormat="1" applyFont="1" applyFill="1" applyBorder="1"/>
    <xf numFmtId="3" fontId="4" fillId="6" borderId="20" xfId="0" applyNumberFormat="1" applyFont="1" applyFill="1" applyBorder="1"/>
    <xf numFmtId="3" fontId="4" fillId="0" borderId="0" xfId="0" applyNumberFormat="1" applyFont="1" applyFill="1" applyBorder="1"/>
    <xf numFmtId="3" fontId="8" fillId="2" borderId="30" xfId="0" applyNumberFormat="1" applyFont="1" applyFill="1" applyBorder="1"/>
    <xf numFmtId="3" fontId="8" fillId="6" borderId="30" xfId="0" applyNumberFormat="1" applyFont="1" applyFill="1" applyBorder="1"/>
    <xf numFmtId="3" fontId="8" fillId="6" borderId="20" xfId="0" applyNumberFormat="1" applyFont="1" applyFill="1" applyBorder="1"/>
    <xf numFmtId="3" fontId="0" fillId="6" borderId="20" xfId="0" applyNumberFormat="1" applyFill="1" applyBorder="1"/>
    <xf numFmtId="3" fontId="0" fillId="4" borderId="19" xfId="0" applyNumberFormat="1" applyFill="1" applyBorder="1"/>
    <xf numFmtId="0" fontId="0" fillId="3" borderId="30" xfId="0" applyFill="1" applyBorder="1"/>
    <xf numFmtId="3" fontId="0" fillId="3" borderId="20" xfId="0" applyNumberFormat="1" applyFill="1" applyBorder="1"/>
    <xf numFmtId="3" fontId="8" fillId="2" borderId="20" xfId="0" applyNumberFormat="1" applyFont="1" applyFill="1" applyBorder="1"/>
    <xf numFmtId="3" fontId="8" fillId="2" borderId="23" xfId="0" applyNumberFormat="1" applyFont="1" applyFill="1" applyBorder="1"/>
    <xf numFmtId="3" fontId="8" fillId="6" borderId="20" xfId="0" applyNumberFormat="1" applyFont="1" applyFill="1" applyBorder="1" applyAlignment="1">
      <alignment horizontal="right"/>
    </xf>
    <xf numFmtId="0" fontId="5" fillId="0" borderId="0" xfId="0" applyFont="1" applyBorder="1"/>
    <xf numFmtId="3" fontId="0" fillId="0" borderId="0" xfId="0" applyNumberFormat="1" applyBorder="1"/>
    <xf numFmtId="0" fontId="1" fillId="7" borderId="30" xfId="0" applyFont="1" applyFill="1" applyBorder="1"/>
    <xf numFmtId="3" fontId="0" fillId="7" borderId="20" xfId="0" applyNumberFormat="1" applyFill="1" applyBorder="1"/>
    <xf numFmtId="3" fontId="0" fillId="7" borderId="23" xfId="0" applyNumberFormat="1" applyFill="1" applyBorder="1"/>
    <xf numFmtId="0" fontId="0" fillId="8" borderId="8" xfId="0" applyFill="1" applyBorder="1"/>
    <xf numFmtId="0" fontId="1" fillId="8" borderId="30" xfId="0" applyFont="1" applyFill="1" applyBorder="1"/>
    <xf numFmtId="3" fontId="0" fillId="8" borderId="20" xfId="0" applyNumberFormat="1" applyFill="1" applyBorder="1"/>
    <xf numFmtId="3" fontId="0" fillId="8" borderId="23" xfId="0" applyNumberFormat="1" applyFill="1" applyBorder="1"/>
    <xf numFmtId="3" fontId="0" fillId="0" borderId="0" xfId="0" applyNumberFormat="1" applyFill="1"/>
    <xf numFmtId="3" fontId="8" fillId="2" borderId="20" xfId="0" applyNumberFormat="1" applyFont="1" applyFill="1" applyBorder="1" applyAlignment="1">
      <alignment horizontal="right"/>
    </xf>
    <xf numFmtId="3" fontId="0" fillId="4" borderId="20" xfId="0" applyNumberFormat="1" applyFill="1" applyBorder="1"/>
    <xf numFmtId="3" fontId="8" fillId="2" borderId="9" xfId="0" applyNumberFormat="1" applyFont="1" applyFill="1" applyBorder="1"/>
    <xf numFmtId="3" fontId="8" fillId="2" borderId="6" xfId="0" applyNumberFormat="1" applyFont="1" applyFill="1" applyBorder="1"/>
    <xf numFmtId="3" fontId="8" fillId="0" borderId="0" xfId="0" applyNumberFormat="1" applyFont="1" applyFill="1" applyBorder="1"/>
    <xf numFmtId="3" fontId="8" fillId="2" borderId="8" xfId="0" applyNumberFormat="1" applyFont="1" applyFill="1" applyBorder="1"/>
    <xf numFmtId="3" fontId="8" fillId="2" borderId="7" xfId="0" applyNumberFormat="1" applyFont="1" applyFill="1" applyBorder="1"/>
    <xf numFmtId="3" fontId="9" fillId="0" borderId="0" xfId="0" applyNumberFormat="1" applyFont="1" applyFill="1" applyBorder="1"/>
    <xf numFmtId="3" fontId="8" fillId="2" borderId="25" xfId="0" applyNumberFormat="1" applyFont="1" applyFill="1" applyBorder="1"/>
    <xf numFmtId="3" fontId="8" fillId="6" borderId="25" xfId="0" applyNumberFormat="1" applyFont="1" applyFill="1" applyBorder="1"/>
    <xf numFmtId="3" fontId="8" fillId="6" borderId="19" xfId="0" applyNumberFormat="1" applyFont="1" applyFill="1" applyBorder="1"/>
    <xf numFmtId="3" fontId="4" fillId="6" borderId="30" xfId="0" applyNumberFormat="1" applyFont="1" applyFill="1" applyBorder="1"/>
    <xf numFmtId="17" fontId="2" fillId="0" borderId="13" xfId="0" applyNumberFormat="1" applyFont="1" applyBorder="1" applyAlignment="1">
      <alignment horizontal="center"/>
    </xf>
    <xf numFmtId="164" fontId="8" fillId="5" borderId="30" xfId="0" applyNumberFormat="1" applyFont="1" applyFill="1" applyBorder="1"/>
    <xf numFmtId="3" fontId="4" fillId="5" borderId="20" xfId="0" applyNumberFormat="1" applyFont="1" applyFill="1" applyBorder="1"/>
    <xf numFmtId="164" fontId="4" fillId="5" borderId="30" xfId="0" applyNumberFormat="1" applyFont="1" applyFill="1" applyBorder="1"/>
    <xf numFmtId="3" fontId="8" fillId="5" borderId="20" xfId="0" applyNumberFormat="1" applyFont="1" applyFill="1" applyBorder="1"/>
    <xf numFmtId="164" fontId="4" fillId="6" borderId="24" xfId="0" applyNumberFormat="1" applyFont="1" applyFill="1" applyBorder="1"/>
    <xf numFmtId="164" fontId="4" fillId="4" borderId="30" xfId="0" applyNumberFormat="1" applyFont="1" applyFill="1" applyBorder="1"/>
    <xf numFmtId="3" fontId="8" fillId="4" borderId="20" xfId="0" applyNumberFormat="1" applyFont="1" applyFill="1" applyBorder="1"/>
    <xf numFmtId="3" fontId="8" fillId="4" borderId="22" xfId="0" applyNumberFormat="1" applyFont="1" applyFill="1" applyBorder="1"/>
    <xf numFmtId="164" fontId="4" fillId="6" borderId="30" xfId="0" applyNumberFormat="1" applyFont="1" applyFill="1" applyBorder="1"/>
    <xf numFmtId="164" fontId="4" fillId="3" borderId="30" xfId="0" applyNumberFormat="1" applyFont="1" applyFill="1" applyBorder="1"/>
    <xf numFmtId="3" fontId="4" fillId="3" borderId="20" xfId="0" applyNumberFormat="1" applyFont="1" applyFill="1" applyBorder="1"/>
    <xf numFmtId="164" fontId="4" fillId="3" borderId="21" xfId="0" applyNumberFormat="1" applyFont="1" applyFill="1" applyBorder="1"/>
    <xf numFmtId="0" fontId="4" fillId="3" borderId="23" xfId="0" applyNumberFormat="1" applyFont="1" applyFill="1" applyBorder="1"/>
    <xf numFmtId="164" fontId="4" fillId="7" borderId="30" xfId="0" applyNumberFormat="1" applyFont="1" applyFill="1" applyBorder="1"/>
    <xf numFmtId="3" fontId="4" fillId="7" borderId="20" xfId="0" applyNumberFormat="1" applyFont="1" applyFill="1" applyBorder="1"/>
    <xf numFmtId="3" fontId="4" fillId="7" borderId="23" xfId="0" applyNumberFormat="1" applyFont="1" applyFill="1" applyBorder="1"/>
    <xf numFmtId="164" fontId="4" fillId="8" borderId="30" xfId="0" applyNumberFormat="1" applyFont="1" applyFill="1" applyBorder="1"/>
    <xf numFmtId="3" fontId="4" fillId="8" borderId="20" xfId="0" applyNumberFormat="1" applyFont="1" applyFill="1" applyBorder="1"/>
    <xf numFmtId="164" fontId="4" fillId="8" borderId="24" xfId="0" applyNumberFormat="1" applyFont="1" applyFill="1" applyBorder="1"/>
    <xf numFmtId="0" fontId="4" fillId="8" borderId="23" xfId="0" applyNumberFormat="1" applyFont="1" applyFill="1" applyBorder="1"/>
    <xf numFmtId="3" fontId="4" fillId="8" borderId="23" xfId="0" applyNumberFormat="1" applyFont="1" applyFill="1" applyBorder="1"/>
    <xf numFmtId="164" fontId="1" fillId="4" borderId="30" xfId="0" applyNumberFormat="1" applyFont="1" applyFill="1" applyBorder="1"/>
    <xf numFmtId="3" fontId="10" fillId="4" borderId="20" xfId="0" applyNumberFormat="1" applyFont="1" applyFill="1" applyBorder="1"/>
    <xf numFmtId="3" fontId="4" fillId="9" borderId="30" xfId="0" applyNumberFormat="1" applyFont="1" applyFill="1" applyBorder="1"/>
    <xf numFmtId="3" fontId="4" fillId="9" borderId="20" xfId="0" applyNumberFormat="1" applyFont="1" applyFill="1" applyBorder="1"/>
    <xf numFmtId="3" fontId="8" fillId="9" borderId="20" xfId="0" applyNumberFormat="1" applyFont="1" applyFill="1" applyBorder="1"/>
    <xf numFmtId="3" fontId="8" fillId="9" borderId="22" xfId="0" applyNumberFormat="1" applyFont="1" applyFill="1" applyBorder="1"/>
    <xf numFmtId="3" fontId="4" fillId="9" borderId="23" xfId="0" applyNumberFormat="1" applyFont="1" applyFill="1" applyBorder="1"/>
    <xf numFmtId="3" fontId="8" fillId="9" borderId="25" xfId="0" applyNumberFormat="1" applyFont="1" applyFill="1" applyBorder="1"/>
    <xf numFmtId="3" fontId="8" fillId="9" borderId="9" xfId="0" applyNumberFormat="1" applyFont="1" applyFill="1" applyBorder="1"/>
    <xf numFmtId="3" fontId="8" fillId="9" borderId="6" xfId="0" applyNumberFormat="1" applyFont="1" applyFill="1" applyBorder="1"/>
    <xf numFmtId="3" fontId="8" fillId="9" borderId="43" xfId="0" applyNumberFormat="1" applyFont="1" applyFill="1" applyBorder="1"/>
    <xf numFmtId="3" fontId="8" fillId="9" borderId="44" xfId="0" applyNumberFormat="1" applyFont="1" applyFill="1" applyBorder="1"/>
    <xf numFmtId="164" fontId="4" fillId="0" borderId="45" xfId="0" applyNumberFormat="1" applyFont="1" applyFill="1" applyBorder="1"/>
    <xf numFmtId="164" fontId="4" fillId="10" borderId="30" xfId="0" applyNumberFormat="1" applyFont="1" applyFill="1" applyBorder="1"/>
    <xf numFmtId="3" fontId="8" fillId="9" borderId="30" xfId="0" applyNumberFormat="1" applyFont="1" applyFill="1" applyBorder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3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5" fillId="6" borderId="3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42" xfId="0" applyFont="1" applyFill="1" applyBorder="1" applyAlignment="1">
      <alignment horizontal="left" vertical="center"/>
    </xf>
    <xf numFmtId="0" fontId="5" fillId="6" borderId="34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5" fillId="7" borderId="35" xfId="0" applyFont="1" applyFill="1" applyBorder="1" applyAlignment="1">
      <alignment horizontal="left" vertical="center"/>
    </xf>
    <xf numFmtId="0" fontId="5" fillId="7" borderId="36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horizontal="left" vertical="center"/>
    </xf>
    <xf numFmtId="0" fontId="5" fillId="6" borderId="33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/>
    </xf>
    <xf numFmtId="0" fontId="5" fillId="8" borderId="33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34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5" fillId="8" borderId="29" xfId="0" applyFont="1" applyFill="1" applyBorder="1" applyAlignment="1">
      <alignment horizontal="left" vertical="center"/>
    </xf>
    <xf numFmtId="0" fontId="5" fillId="8" borderId="35" xfId="0" applyFont="1" applyFill="1" applyBorder="1" applyAlignment="1">
      <alignment horizontal="left" vertical="center"/>
    </xf>
    <xf numFmtId="0" fontId="5" fillId="8" borderId="36" xfId="0" applyFont="1" applyFill="1" applyBorder="1" applyAlignment="1">
      <alignment horizontal="left" vertical="center"/>
    </xf>
    <xf numFmtId="0" fontId="5" fillId="8" borderId="37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E97"/>
  <sheetViews>
    <sheetView tabSelected="1" zoomScaleNormal="100" workbookViewId="0">
      <pane xSplit="5" ySplit="1" topLeftCell="J59" activePane="bottomRight" state="frozen"/>
      <selection pane="topRight" activeCell="F1" sqref="F1"/>
      <selection pane="bottomLeft" activeCell="A2" sqref="A2"/>
      <selection pane="bottomRight" activeCell="W89" sqref="W89"/>
    </sheetView>
  </sheetViews>
  <sheetFormatPr defaultRowHeight="12.75" x14ac:dyDescent="0.2"/>
  <cols>
    <col min="4" max="5" width="9.140625" customWidth="1"/>
    <col min="6" max="9" width="9.140625" hidden="1" customWidth="1"/>
    <col min="10" max="15" width="9.140625" customWidth="1"/>
    <col min="16" max="16" width="10.28515625" customWidth="1"/>
    <col min="17" max="22" width="9.140625" customWidth="1"/>
    <col min="23" max="23" width="9.7109375" customWidth="1"/>
    <col min="24" max="27" width="9.140625" customWidth="1"/>
  </cols>
  <sheetData>
    <row r="1" spans="1:135" s="28" customFormat="1" ht="13.5" thickBot="1" x14ac:dyDescent="0.25">
      <c r="A1" s="106" t="s">
        <v>0</v>
      </c>
      <c r="B1" s="107"/>
      <c r="C1" s="107"/>
      <c r="D1" s="108"/>
      <c r="E1" s="32" t="s">
        <v>56</v>
      </c>
      <c r="F1" s="31">
        <v>2013</v>
      </c>
      <c r="G1" s="31">
        <v>2014</v>
      </c>
      <c r="H1" s="31">
        <v>2015</v>
      </c>
      <c r="I1" s="31">
        <v>2016</v>
      </c>
      <c r="J1" s="31">
        <v>2017</v>
      </c>
      <c r="K1" s="31">
        <v>2018</v>
      </c>
      <c r="L1" s="31">
        <v>2019</v>
      </c>
      <c r="M1" s="31">
        <v>2020</v>
      </c>
      <c r="N1" s="31">
        <v>2021</v>
      </c>
      <c r="O1" s="31">
        <v>2022</v>
      </c>
      <c r="P1" s="69" t="s">
        <v>19</v>
      </c>
      <c r="Q1" s="69" t="s">
        <v>20</v>
      </c>
      <c r="R1" s="69" t="s">
        <v>21</v>
      </c>
      <c r="S1" s="69" t="s">
        <v>22</v>
      </c>
      <c r="T1" s="69" t="s">
        <v>23</v>
      </c>
      <c r="U1" s="69" t="s">
        <v>24</v>
      </c>
      <c r="V1" s="69" t="s">
        <v>25</v>
      </c>
      <c r="W1" s="69" t="s">
        <v>26</v>
      </c>
      <c r="X1" s="69" t="s">
        <v>27</v>
      </c>
      <c r="Y1" s="69" t="s">
        <v>28</v>
      </c>
      <c r="Z1" s="69" t="s">
        <v>29</v>
      </c>
      <c r="AA1" s="69" t="s">
        <v>30</v>
      </c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</row>
    <row r="2" spans="1:135" s="1" customFormat="1" x14ac:dyDescent="0.2">
      <c r="A2" s="109" t="s">
        <v>9</v>
      </c>
      <c r="B2" s="110"/>
      <c r="C2" s="110"/>
      <c r="D2" s="111"/>
      <c r="E2" s="29" t="s">
        <v>6</v>
      </c>
      <c r="F2" s="33">
        <v>150</v>
      </c>
      <c r="G2" s="33">
        <v>150</v>
      </c>
      <c r="H2" s="33">
        <v>90</v>
      </c>
      <c r="I2" s="33">
        <v>90</v>
      </c>
      <c r="J2" s="33">
        <v>80</v>
      </c>
      <c r="K2" s="33">
        <v>45</v>
      </c>
      <c r="L2" s="33">
        <v>45</v>
      </c>
      <c r="M2" s="33">
        <v>30</v>
      </c>
      <c r="N2" s="33">
        <v>30</v>
      </c>
      <c r="O2" s="33">
        <v>42.4</v>
      </c>
      <c r="P2" s="70">
        <f>P3/$O$2</f>
        <v>6.5382311320754713E-2</v>
      </c>
      <c r="Q2" s="70">
        <f t="shared" ref="Q2:AA2" si="0">Q3/$O$2</f>
        <v>0.17264858490566037</v>
      </c>
      <c r="R2" s="70">
        <f t="shared" si="0"/>
        <v>0.29802641509433964</v>
      </c>
      <c r="S2" s="70">
        <f t="shared" si="0"/>
        <v>0.3810643867924528</v>
      </c>
      <c r="T2" s="70">
        <f t="shared" si="0"/>
        <v>0.52925613207547173</v>
      </c>
      <c r="U2" s="70">
        <f t="shared" si="0"/>
        <v>0.70702594339622649</v>
      </c>
      <c r="V2" s="70">
        <f t="shared" si="0"/>
        <v>0.85251745283018876</v>
      </c>
      <c r="W2" s="70">
        <f t="shared" si="0"/>
        <v>1.0161443396226415</v>
      </c>
      <c r="X2" s="70">
        <f t="shared" si="0"/>
        <v>0</v>
      </c>
      <c r="Y2" s="70">
        <f t="shared" si="0"/>
        <v>0</v>
      </c>
      <c r="Z2" s="70">
        <f t="shared" si="0"/>
        <v>0</v>
      </c>
      <c r="AA2" s="70">
        <f t="shared" si="0"/>
        <v>0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</row>
    <row r="3" spans="1:135" s="22" customFormat="1" ht="13.5" thickBot="1" x14ac:dyDescent="0.25">
      <c r="A3" s="112"/>
      <c r="B3" s="113"/>
      <c r="C3" s="113"/>
      <c r="D3" s="114"/>
      <c r="E3" s="21" t="s">
        <v>5</v>
      </c>
      <c r="F3" s="34">
        <v>142</v>
      </c>
      <c r="G3" s="34">
        <v>118</v>
      </c>
      <c r="H3" s="34">
        <v>77.559299999999993</v>
      </c>
      <c r="I3" s="34">
        <v>61</v>
      </c>
      <c r="J3" s="34">
        <v>40.952399999999997</v>
      </c>
      <c r="K3" s="34">
        <v>40.991999999999997</v>
      </c>
      <c r="L3" s="94">
        <v>20.058</v>
      </c>
      <c r="M3" s="94">
        <v>42.261920000000003</v>
      </c>
      <c r="N3" s="94">
        <v>44.608179999999997</v>
      </c>
      <c r="O3" s="94"/>
      <c r="P3" s="71">
        <v>2.7722099999999998</v>
      </c>
      <c r="Q3" s="71">
        <v>7.3202999999999996</v>
      </c>
      <c r="R3" s="71">
        <v>12.63632</v>
      </c>
      <c r="S3" s="71">
        <v>16.157129999999999</v>
      </c>
      <c r="T3" s="71">
        <v>22.440460000000002</v>
      </c>
      <c r="U3" s="71">
        <v>29.977900000000002</v>
      </c>
      <c r="V3" s="71">
        <v>36.146740000000001</v>
      </c>
      <c r="W3" s="71">
        <v>43.084519999999998</v>
      </c>
      <c r="X3" s="71"/>
      <c r="Y3" s="71"/>
      <c r="Z3" s="71"/>
      <c r="AA3" s="71"/>
    </row>
    <row r="4" spans="1:135" s="8" customFormat="1" x14ac:dyDescent="0.2">
      <c r="A4" s="109" t="s">
        <v>4</v>
      </c>
      <c r="B4" s="110"/>
      <c r="C4" s="110"/>
      <c r="D4" s="111"/>
      <c r="E4" s="29" t="s">
        <v>6</v>
      </c>
      <c r="F4" s="33">
        <v>307</v>
      </c>
      <c r="G4" s="33">
        <v>350</v>
      </c>
      <c r="H4" s="33">
        <v>290</v>
      </c>
      <c r="I4" s="33">
        <v>255</v>
      </c>
      <c r="J4" s="33">
        <v>260</v>
      </c>
      <c r="K4" s="33">
        <v>300</v>
      </c>
      <c r="L4" s="93">
        <v>300</v>
      </c>
      <c r="M4" s="93">
        <v>320</v>
      </c>
      <c r="N4" s="93">
        <v>330</v>
      </c>
      <c r="O4" s="93">
        <v>434.6</v>
      </c>
      <c r="P4" s="72">
        <f>P5/$O$4</f>
        <v>8.5872066267832489E-2</v>
      </c>
      <c r="Q4" s="72">
        <f t="shared" ref="Q4:AA4" si="1">Q5/$O$4</f>
        <v>0.15393465255407271</v>
      </c>
      <c r="R4" s="72">
        <f t="shared" si="1"/>
        <v>0.24325816843074088</v>
      </c>
      <c r="S4" s="72">
        <f t="shared" si="1"/>
        <v>0.31104463874827426</v>
      </c>
      <c r="T4" s="72">
        <f t="shared" si="1"/>
        <v>0.39760699493787394</v>
      </c>
      <c r="U4" s="72">
        <f t="shared" si="1"/>
        <v>0.48637827887712837</v>
      </c>
      <c r="V4" s="72">
        <f t="shared" si="1"/>
        <v>0.53472995858260464</v>
      </c>
      <c r="W4" s="72">
        <f t="shared" si="1"/>
        <v>0.59359286700414171</v>
      </c>
      <c r="X4" s="72">
        <f t="shared" si="1"/>
        <v>0</v>
      </c>
      <c r="Y4" s="72">
        <f t="shared" si="1"/>
        <v>0</v>
      </c>
      <c r="Z4" s="72">
        <f t="shared" si="1"/>
        <v>0</v>
      </c>
      <c r="AA4" s="72">
        <f t="shared" si="1"/>
        <v>0</v>
      </c>
    </row>
    <row r="5" spans="1:135" s="22" customFormat="1" ht="13.5" thickBot="1" x14ac:dyDescent="0.25">
      <c r="A5" s="112"/>
      <c r="B5" s="113"/>
      <c r="C5" s="113"/>
      <c r="D5" s="114"/>
      <c r="E5" s="21" t="s">
        <v>5</v>
      </c>
      <c r="F5" s="34">
        <v>294</v>
      </c>
      <c r="G5" s="34">
        <v>269</v>
      </c>
      <c r="H5" s="34">
        <v>260.82</v>
      </c>
      <c r="I5" s="34">
        <v>261</v>
      </c>
      <c r="J5" s="34">
        <v>296.18401</v>
      </c>
      <c r="K5" s="34">
        <v>314.99200000000002</v>
      </c>
      <c r="L5" s="95">
        <v>327.14800000000002</v>
      </c>
      <c r="M5" s="95">
        <v>281.47897</v>
      </c>
      <c r="N5" s="95">
        <v>356.4991</v>
      </c>
      <c r="O5" s="95"/>
      <c r="P5" s="73">
        <v>37.32</v>
      </c>
      <c r="Q5" s="73">
        <v>66.900000000000006</v>
      </c>
      <c r="R5" s="73">
        <v>105.72</v>
      </c>
      <c r="S5" s="73">
        <v>135.18</v>
      </c>
      <c r="T5" s="73">
        <v>172.8</v>
      </c>
      <c r="U5" s="73">
        <v>211.38</v>
      </c>
      <c r="V5" s="73">
        <v>232.39364</v>
      </c>
      <c r="W5" s="73">
        <v>257.97546</v>
      </c>
      <c r="X5" s="73"/>
      <c r="Y5" s="73"/>
      <c r="Z5" s="73"/>
      <c r="AA5" s="73"/>
    </row>
    <row r="6" spans="1:135" s="8" customFormat="1" x14ac:dyDescent="0.2">
      <c r="A6" s="115" t="s">
        <v>33</v>
      </c>
      <c r="B6" s="116"/>
      <c r="C6" s="116"/>
      <c r="D6" s="117"/>
      <c r="E6" s="30" t="s">
        <v>6</v>
      </c>
      <c r="F6" s="68">
        <f t="shared" ref="F6:F7" si="2">F2+F4</f>
        <v>457</v>
      </c>
      <c r="G6" s="68">
        <f t="shared" ref="G6:O7" si="3">G2+G4</f>
        <v>500</v>
      </c>
      <c r="H6" s="68">
        <f t="shared" si="3"/>
        <v>380</v>
      </c>
      <c r="I6" s="68">
        <f t="shared" si="3"/>
        <v>345</v>
      </c>
      <c r="J6" s="68">
        <f t="shared" si="3"/>
        <v>340</v>
      </c>
      <c r="K6" s="68">
        <f t="shared" si="3"/>
        <v>345</v>
      </c>
      <c r="L6" s="68">
        <f t="shared" si="3"/>
        <v>345</v>
      </c>
      <c r="M6" s="68">
        <f t="shared" si="3"/>
        <v>350</v>
      </c>
      <c r="N6" s="68">
        <f t="shared" si="3"/>
        <v>360</v>
      </c>
      <c r="O6" s="68">
        <f t="shared" si="3"/>
        <v>477</v>
      </c>
      <c r="P6" s="74">
        <f>P7/$O$6</f>
        <v>8.4050754716981133E-2</v>
      </c>
      <c r="Q6" s="74">
        <f t="shared" ref="Q6:AA6" si="4">Q7/$O$6</f>
        <v>0.15559811320754718</v>
      </c>
      <c r="R6" s="74">
        <f t="shared" si="4"/>
        <v>0.2481264570230608</v>
      </c>
      <c r="S6" s="74">
        <f t="shared" si="4"/>
        <v>0.31726861635220127</v>
      </c>
      <c r="T6" s="74">
        <f t="shared" si="4"/>
        <v>0.40930914046121597</v>
      </c>
      <c r="U6" s="74">
        <f t="shared" si="4"/>
        <v>0.5059914046121593</v>
      </c>
      <c r="V6" s="74">
        <f t="shared" si="4"/>
        <v>0.56297773584905664</v>
      </c>
      <c r="W6" s="74">
        <f t="shared" si="4"/>
        <v>0.63115299790356394</v>
      </c>
      <c r="X6" s="74">
        <f t="shared" si="4"/>
        <v>0</v>
      </c>
      <c r="Y6" s="74">
        <f t="shared" si="4"/>
        <v>0</v>
      </c>
      <c r="Z6" s="74">
        <f t="shared" si="4"/>
        <v>0</v>
      </c>
      <c r="AA6" s="74">
        <f t="shared" si="4"/>
        <v>0</v>
      </c>
    </row>
    <row r="7" spans="1:135" s="22" customFormat="1" ht="13.5" thickBot="1" x14ac:dyDescent="0.25">
      <c r="A7" s="118"/>
      <c r="B7" s="119"/>
      <c r="C7" s="119"/>
      <c r="D7" s="120"/>
      <c r="E7" s="40" t="s">
        <v>5</v>
      </c>
      <c r="F7" s="35">
        <f t="shared" si="2"/>
        <v>436</v>
      </c>
      <c r="G7" s="35">
        <f t="shared" ref="G7:M7" si="5">G3+G5</f>
        <v>387</v>
      </c>
      <c r="H7" s="35">
        <f t="shared" si="5"/>
        <v>338.3793</v>
      </c>
      <c r="I7" s="35">
        <f t="shared" si="5"/>
        <v>322</v>
      </c>
      <c r="J7" s="35">
        <f t="shared" si="5"/>
        <v>337.13641000000001</v>
      </c>
      <c r="K7" s="35">
        <f t="shared" si="5"/>
        <v>355.98400000000004</v>
      </c>
      <c r="L7" s="35">
        <f t="shared" si="5"/>
        <v>347.20600000000002</v>
      </c>
      <c r="M7" s="35">
        <f t="shared" si="5"/>
        <v>323.74089000000004</v>
      </c>
      <c r="N7" s="39">
        <f t="shared" si="3"/>
        <v>401.10728</v>
      </c>
      <c r="O7" s="39">
        <f t="shared" si="3"/>
        <v>0</v>
      </c>
      <c r="P7" s="39">
        <f>P3+P5</f>
        <v>40.092210000000001</v>
      </c>
      <c r="Q7" s="39">
        <f>Q3+Q5</f>
        <v>74.220300000000009</v>
      </c>
      <c r="R7" s="39">
        <f>R3+R5</f>
        <v>118.35632</v>
      </c>
      <c r="S7" s="39">
        <f t="shared" ref="S7:AA7" si="6">S3+S5</f>
        <v>151.33713</v>
      </c>
      <c r="T7" s="39">
        <f t="shared" si="6"/>
        <v>195.24046000000001</v>
      </c>
      <c r="U7" s="39">
        <f t="shared" si="6"/>
        <v>241.3579</v>
      </c>
      <c r="V7" s="39">
        <f t="shared" si="6"/>
        <v>268.54038000000003</v>
      </c>
      <c r="W7" s="39">
        <f t="shared" si="6"/>
        <v>301.05998</v>
      </c>
      <c r="X7" s="39">
        <f t="shared" si="6"/>
        <v>0</v>
      </c>
      <c r="Y7" s="39">
        <f t="shared" si="6"/>
        <v>0</v>
      </c>
      <c r="Z7" s="39">
        <f t="shared" si="6"/>
        <v>0</v>
      </c>
      <c r="AA7" s="39">
        <f t="shared" si="6"/>
        <v>0</v>
      </c>
    </row>
    <row r="8" spans="1:135" s="8" customFormat="1" ht="13.5" thickBot="1" x14ac:dyDescent="0.25">
      <c r="A8" s="9"/>
      <c r="F8" s="36"/>
      <c r="G8" s="36"/>
      <c r="H8" s="36"/>
      <c r="I8" s="36"/>
      <c r="J8" s="36"/>
      <c r="K8" s="36"/>
      <c r="L8" s="36"/>
      <c r="M8" s="36"/>
      <c r="N8" s="36"/>
      <c r="O8" s="36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135" s="8" customFormat="1" x14ac:dyDescent="0.2">
      <c r="A9" s="121" t="s">
        <v>34</v>
      </c>
      <c r="B9" s="122"/>
      <c r="C9" s="122"/>
      <c r="D9" s="122"/>
      <c r="E9" s="24" t="s">
        <v>6</v>
      </c>
      <c r="F9" s="37">
        <v>750</v>
      </c>
      <c r="G9" s="37">
        <v>1000</v>
      </c>
      <c r="H9" s="37">
        <v>750</v>
      </c>
      <c r="I9" s="37">
        <v>620</v>
      </c>
      <c r="J9" s="37">
        <v>500</v>
      </c>
      <c r="K9" s="37">
        <v>550</v>
      </c>
      <c r="L9" s="37">
        <v>550</v>
      </c>
      <c r="M9" s="37">
        <v>550</v>
      </c>
      <c r="N9" s="37">
        <v>480</v>
      </c>
      <c r="O9" s="37">
        <v>508.8</v>
      </c>
      <c r="P9" s="75">
        <f>P10/$O$9</f>
        <v>5.6362205188679244E-2</v>
      </c>
      <c r="Q9" s="75">
        <f t="shared" ref="Q9:AA9" si="7">Q10/$O$9</f>
        <v>0.10349011399371068</v>
      </c>
      <c r="R9" s="75">
        <f t="shared" si="7"/>
        <v>0.1835940644654088</v>
      </c>
      <c r="S9" s="75">
        <f t="shared" si="7"/>
        <v>0.25083806996855346</v>
      </c>
      <c r="T9" s="75">
        <f t="shared" si="7"/>
        <v>0.34789231525157233</v>
      </c>
      <c r="U9" s="75">
        <f t="shared" si="7"/>
        <v>0.44490552279874213</v>
      </c>
      <c r="V9" s="75">
        <f t="shared" si="7"/>
        <v>0.51750693789308178</v>
      </c>
      <c r="W9" s="75">
        <f t="shared" si="7"/>
        <v>0.58473433569182387</v>
      </c>
      <c r="X9" s="75">
        <f t="shared" si="7"/>
        <v>0</v>
      </c>
      <c r="Y9" s="75">
        <f t="shared" si="7"/>
        <v>0</v>
      </c>
      <c r="Z9" s="75">
        <f t="shared" si="7"/>
        <v>0</v>
      </c>
      <c r="AA9" s="75">
        <f t="shared" si="7"/>
        <v>0</v>
      </c>
    </row>
    <row r="10" spans="1:135" s="22" customFormat="1" ht="13.5" thickBot="1" x14ac:dyDescent="0.25">
      <c r="A10" s="123"/>
      <c r="B10" s="124"/>
      <c r="C10" s="124"/>
      <c r="D10" s="124"/>
      <c r="E10" s="41" t="s">
        <v>5</v>
      </c>
      <c r="F10" s="34">
        <v>929</v>
      </c>
      <c r="G10" s="34">
        <v>604</v>
      </c>
      <c r="H10" s="34">
        <v>465.08049999999997</v>
      </c>
      <c r="I10" s="34">
        <v>425</v>
      </c>
      <c r="J10" s="34">
        <v>516.16247999999996</v>
      </c>
      <c r="K10" s="34">
        <v>477.15</v>
      </c>
      <c r="L10" s="95">
        <v>462.85300000000001</v>
      </c>
      <c r="M10" s="95">
        <v>290.08321999999998</v>
      </c>
      <c r="N10" s="95">
        <v>389.46242999999998</v>
      </c>
      <c r="O10" s="95"/>
      <c r="P10" s="76">
        <v>28.67709</v>
      </c>
      <c r="Q10" s="76">
        <v>52.655769999999997</v>
      </c>
      <c r="R10" s="76">
        <v>93.412660000000002</v>
      </c>
      <c r="S10" s="76">
        <v>127.62641000000001</v>
      </c>
      <c r="T10" s="76">
        <v>177.00761</v>
      </c>
      <c r="U10" s="76">
        <v>226.36793</v>
      </c>
      <c r="V10" s="76">
        <v>263.30752999999999</v>
      </c>
      <c r="W10" s="76">
        <v>297.51283000000001</v>
      </c>
      <c r="X10" s="76"/>
      <c r="Y10" s="76"/>
      <c r="Z10" s="76"/>
      <c r="AA10" s="76"/>
    </row>
    <row r="11" spans="1:135" s="8" customFormat="1" x14ac:dyDescent="0.2">
      <c r="A11" s="121" t="s">
        <v>7</v>
      </c>
      <c r="B11" s="122"/>
      <c r="C11" s="122"/>
      <c r="D11" s="122"/>
      <c r="E11" s="24" t="s">
        <v>6</v>
      </c>
      <c r="F11" s="37">
        <v>4000</v>
      </c>
      <c r="G11" s="37">
        <v>3100</v>
      </c>
      <c r="H11" s="37">
        <v>3460</v>
      </c>
      <c r="I11" s="37">
        <v>3000</v>
      </c>
      <c r="J11" s="37">
        <v>2500</v>
      </c>
      <c r="K11" s="37">
        <v>2400</v>
      </c>
      <c r="L11" s="37">
        <v>2300</v>
      </c>
      <c r="M11" s="37">
        <v>2500</v>
      </c>
      <c r="N11" s="105">
        <v>2600</v>
      </c>
      <c r="O11" s="105">
        <v>2862</v>
      </c>
      <c r="P11" s="75">
        <f>P12/$O$11</f>
        <v>7.5091502445842062E-2</v>
      </c>
      <c r="Q11" s="75">
        <f t="shared" ref="Q11:AA11" si="8">Q12/$O$11</f>
        <v>0.1448206254367575</v>
      </c>
      <c r="R11" s="75">
        <f t="shared" si="8"/>
        <v>0.24816899371069184</v>
      </c>
      <c r="S11" s="75">
        <f t="shared" si="8"/>
        <v>0.33371189727463313</v>
      </c>
      <c r="T11" s="75">
        <f t="shared" si="8"/>
        <v>0.43332513277428369</v>
      </c>
      <c r="U11" s="75">
        <f t="shared" si="8"/>
        <v>0.55038999650593989</v>
      </c>
      <c r="V11" s="75">
        <f t="shared" si="8"/>
        <v>0.64660229210342413</v>
      </c>
      <c r="W11" s="75">
        <f t="shared" si="8"/>
        <v>0.73878874563242491</v>
      </c>
      <c r="X11" s="75">
        <f t="shared" si="8"/>
        <v>0</v>
      </c>
      <c r="Y11" s="75">
        <f t="shared" si="8"/>
        <v>0</v>
      </c>
      <c r="Z11" s="75">
        <f t="shared" si="8"/>
        <v>0</v>
      </c>
      <c r="AA11" s="75">
        <f t="shared" si="8"/>
        <v>0</v>
      </c>
    </row>
    <row r="12" spans="1:135" s="22" customFormat="1" ht="13.5" thickBot="1" x14ac:dyDescent="0.25">
      <c r="A12" s="123"/>
      <c r="B12" s="124"/>
      <c r="C12" s="124"/>
      <c r="D12" s="124"/>
      <c r="E12" s="41" t="s">
        <v>5</v>
      </c>
      <c r="F12" s="34">
        <v>2807</v>
      </c>
      <c r="G12" s="34">
        <v>2775</v>
      </c>
      <c r="H12" s="34">
        <v>2443.1441</v>
      </c>
      <c r="I12" s="34">
        <v>2102</v>
      </c>
      <c r="J12" s="34">
        <v>2140.8692500000002</v>
      </c>
      <c r="K12" s="34">
        <v>2322.0929999999998</v>
      </c>
      <c r="L12" s="95">
        <v>2550.6379999999999</v>
      </c>
      <c r="M12" s="95">
        <v>2235.9048400000001</v>
      </c>
      <c r="N12" s="95">
        <v>2266.7501699999998</v>
      </c>
      <c r="O12" s="95"/>
      <c r="P12" s="76">
        <v>214.91188</v>
      </c>
      <c r="Q12" s="76">
        <v>414.47663</v>
      </c>
      <c r="R12" s="76">
        <v>710.25966000000005</v>
      </c>
      <c r="S12" s="76">
        <v>955.08344999999997</v>
      </c>
      <c r="T12" s="76">
        <v>1240.17653</v>
      </c>
      <c r="U12" s="76">
        <v>1575.2161699999999</v>
      </c>
      <c r="V12" s="76">
        <v>1850.5757599999999</v>
      </c>
      <c r="W12" s="76">
        <v>2114.4133900000002</v>
      </c>
      <c r="X12" s="76"/>
      <c r="Y12" s="76"/>
      <c r="Z12" s="76"/>
      <c r="AA12" s="76"/>
    </row>
    <row r="13" spans="1:135" s="8" customFormat="1" x14ac:dyDescent="0.2">
      <c r="A13" s="121" t="s">
        <v>8</v>
      </c>
      <c r="B13" s="122"/>
      <c r="C13" s="122"/>
      <c r="D13" s="122"/>
      <c r="E13" s="24" t="s">
        <v>6</v>
      </c>
      <c r="F13" s="37">
        <v>10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105">
        <v>0</v>
      </c>
      <c r="O13" s="10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</row>
    <row r="14" spans="1:135" s="22" customFormat="1" ht="13.5" thickBot="1" x14ac:dyDescent="0.25">
      <c r="A14" s="123"/>
      <c r="B14" s="124"/>
      <c r="C14" s="124"/>
      <c r="D14" s="124"/>
      <c r="E14" s="41" t="s">
        <v>5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1.9970000000000001</v>
      </c>
      <c r="L14" s="95">
        <v>0</v>
      </c>
      <c r="M14" s="95">
        <v>0</v>
      </c>
      <c r="N14" s="95">
        <v>0</v>
      </c>
      <c r="O14" s="95"/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  <c r="AA14" s="76">
        <v>0</v>
      </c>
    </row>
    <row r="15" spans="1:135" s="22" customFormat="1" x14ac:dyDescent="0.2">
      <c r="A15" s="121" t="s">
        <v>57</v>
      </c>
      <c r="B15" s="122"/>
      <c r="C15" s="122"/>
      <c r="D15" s="135"/>
      <c r="E15" s="24" t="s">
        <v>6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150</v>
      </c>
      <c r="L15" s="37">
        <v>190</v>
      </c>
      <c r="M15" s="37">
        <v>200</v>
      </c>
      <c r="N15" s="105">
        <v>180</v>
      </c>
      <c r="O15" s="105">
        <v>212</v>
      </c>
      <c r="P15" s="75">
        <f>P16/$O$15</f>
        <v>5.7849339622641514E-2</v>
      </c>
      <c r="Q15" s="75">
        <f t="shared" ref="Q15:AA15" si="9">Q16/$O$15</f>
        <v>0.12890051886792453</v>
      </c>
      <c r="R15" s="75">
        <f t="shared" si="9"/>
        <v>0.22142349056603775</v>
      </c>
      <c r="S15" s="75">
        <f t="shared" si="9"/>
        <v>0.33744127358490567</v>
      </c>
      <c r="T15" s="75">
        <f t="shared" si="9"/>
        <v>0.44591042452830193</v>
      </c>
      <c r="U15" s="75">
        <f t="shared" si="9"/>
        <v>0.5269794339622641</v>
      </c>
      <c r="V15" s="75">
        <f t="shared" si="9"/>
        <v>0.62290023584905652</v>
      </c>
      <c r="W15" s="75">
        <f t="shared" si="9"/>
        <v>0.72241334905660382</v>
      </c>
      <c r="X15" s="75">
        <f t="shared" si="9"/>
        <v>0</v>
      </c>
      <c r="Y15" s="75">
        <f t="shared" si="9"/>
        <v>0</v>
      </c>
      <c r="Z15" s="75">
        <f t="shared" si="9"/>
        <v>0</v>
      </c>
      <c r="AA15" s="75">
        <f t="shared" si="9"/>
        <v>0</v>
      </c>
    </row>
    <row r="16" spans="1:135" s="22" customFormat="1" ht="13.5" thickBot="1" x14ac:dyDescent="0.25">
      <c r="A16" s="123"/>
      <c r="B16" s="124"/>
      <c r="C16" s="124"/>
      <c r="D16" s="136"/>
      <c r="E16" s="41" t="s">
        <v>5</v>
      </c>
      <c r="F16" s="34">
        <v>0</v>
      </c>
      <c r="G16" s="34">
        <v>0</v>
      </c>
      <c r="H16" s="34">
        <v>0</v>
      </c>
      <c r="I16" s="34">
        <v>0</v>
      </c>
      <c r="J16" s="34">
        <v>145.31582</v>
      </c>
      <c r="K16" s="34">
        <v>172.45500000000001</v>
      </c>
      <c r="L16" s="96">
        <v>168.18299999999999</v>
      </c>
      <c r="M16" s="96">
        <v>160.85266999999999</v>
      </c>
      <c r="N16" s="96">
        <v>165.33618999999999</v>
      </c>
      <c r="O16" s="96"/>
      <c r="P16" s="77">
        <v>12.264060000000001</v>
      </c>
      <c r="Q16" s="77">
        <v>27.326910000000002</v>
      </c>
      <c r="R16" s="77">
        <v>46.941780000000001</v>
      </c>
      <c r="S16" s="77">
        <v>71.537549999999996</v>
      </c>
      <c r="T16" s="77">
        <v>94.533010000000004</v>
      </c>
      <c r="U16" s="77">
        <v>111.71964</v>
      </c>
      <c r="V16" s="77">
        <v>132.05484999999999</v>
      </c>
      <c r="W16" s="77">
        <v>153.15163000000001</v>
      </c>
      <c r="X16" s="77"/>
      <c r="Y16" s="77"/>
      <c r="Z16" s="77"/>
      <c r="AA16" s="77"/>
    </row>
    <row r="17" spans="1:27" s="8" customFormat="1" x14ac:dyDescent="0.2">
      <c r="A17" s="121" t="s">
        <v>12</v>
      </c>
      <c r="B17" s="122"/>
      <c r="C17" s="122"/>
      <c r="D17" s="122"/>
      <c r="E17" s="24" t="s">
        <v>6</v>
      </c>
      <c r="F17" s="37">
        <v>820</v>
      </c>
      <c r="G17" s="37">
        <v>900</v>
      </c>
      <c r="H17" s="37">
        <v>800</v>
      </c>
      <c r="I17" s="37">
        <v>600</v>
      </c>
      <c r="J17" s="37">
        <v>400</v>
      </c>
      <c r="K17" s="37">
        <v>450</v>
      </c>
      <c r="L17" s="37">
        <v>450</v>
      </c>
      <c r="M17" s="37">
        <v>550</v>
      </c>
      <c r="N17" s="105">
        <v>500</v>
      </c>
      <c r="O17" s="105">
        <v>530</v>
      </c>
      <c r="P17" s="75">
        <f>P18/$O$17</f>
        <v>5.1991075471698116E-2</v>
      </c>
      <c r="Q17" s="75">
        <f t="shared" ref="Q17:AA17" si="10">Q18/$O$17</f>
        <v>0.14200837735849056</v>
      </c>
      <c r="R17" s="75">
        <f t="shared" si="10"/>
        <v>0.23796898113207546</v>
      </c>
      <c r="S17" s="75">
        <f t="shared" si="10"/>
        <v>0.28047996226415095</v>
      </c>
      <c r="T17" s="75">
        <f t="shared" si="10"/>
        <v>0.31447511320754717</v>
      </c>
      <c r="U17" s="75">
        <f t="shared" si="10"/>
        <v>0.44994356603773583</v>
      </c>
      <c r="V17" s="75">
        <f t="shared" si="10"/>
        <v>0.52431067924528296</v>
      </c>
      <c r="W17" s="75">
        <f t="shared" si="10"/>
        <v>0.54778496226415097</v>
      </c>
      <c r="X17" s="75">
        <f t="shared" si="10"/>
        <v>0</v>
      </c>
      <c r="Y17" s="75">
        <f t="shared" si="10"/>
        <v>0</v>
      </c>
      <c r="Z17" s="75">
        <f t="shared" si="10"/>
        <v>0</v>
      </c>
      <c r="AA17" s="75">
        <f t="shared" si="10"/>
        <v>0</v>
      </c>
    </row>
    <row r="18" spans="1:27" s="22" customFormat="1" ht="13.5" thickBot="1" x14ac:dyDescent="0.25">
      <c r="A18" s="123"/>
      <c r="B18" s="124"/>
      <c r="C18" s="124"/>
      <c r="D18" s="124"/>
      <c r="E18" s="41" t="s">
        <v>5</v>
      </c>
      <c r="F18" s="34">
        <v>699</v>
      </c>
      <c r="G18" s="34">
        <v>557</v>
      </c>
      <c r="H18" s="34">
        <v>504.59070000000003</v>
      </c>
      <c r="I18" s="34">
        <v>538</v>
      </c>
      <c r="J18" s="34">
        <v>434.51805000000002</v>
      </c>
      <c r="K18" s="34">
        <v>492.17599999999999</v>
      </c>
      <c r="L18" s="95">
        <v>458.358</v>
      </c>
      <c r="M18" s="95">
        <v>518.12639999999999</v>
      </c>
      <c r="N18" s="95">
        <v>465.29642000000001</v>
      </c>
      <c r="O18" s="95"/>
      <c r="P18" s="76">
        <v>27.55527</v>
      </c>
      <c r="Q18" s="76">
        <v>75.264439999999993</v>
      </c>
      <c r="R18" s="76">
        <v>126.12356</v>
      </c>
      <c r="S18" s="76">
        <v>148.65438</v>
      </c>
      <c r="T18" s="76">
        <v>166.67180999999999</v>
      </c>
      <c r="U18" s="76">
        <v>238.47009</v>
      </c>
      <c r="V18" s="76">
        <v>277.88466</v>
      </c>
      <c r="W18" s="76">
        <v>290.32603</v>
      </c>
      <c r="X18" s="76"/>
      <c r="Y18" s="76"/>
      <c r="Z18" s="76"/>
      <c r="AA18" s="76"/>
    </row>
    <row r="19" spans="1:27" s="8" customFormat="1" x14ac:dyDescent="0.2">
      <c r="A19" s="121" t="s">
        <v>16</v>
      </c>
      <c r="B19" s="122"/>
      <c r="C19" s="122"/>
      <c r="D19" s="122"/>
      <c r="E19" s="24" t="s">
        <v>6</v>
      </c>
      <c r="F19" s="37">
        <v>1950</v>
      </c>
      <c r="G19" s="37">
        <v>2800</v>
      </c>
      <c r="H19" s="37">
        <v>3300</v>
      </c>
      <c r="I19" s="37">
        <v>2500</v>
      </c>
      <c r="J19" s="37">
        <v>1800</v>
      </c>
      <c r="K19" s="37">
        <v>2500</v>
      </c>
      <c r="L19" s="37">
        <v>2600</v>
      </c>
      <c r="M19" s="37">
        <v>2900</v>
      </c>
      <c r="N19" s="105">
        <v>3000</v>
      </c>
      <c r="O19" s="105">
        <v>2786</v>
      </c>
      <c r="P19" s="75">
        <f>P20/$O$19</f>
        <v>4.9677997128499636E-2</v>
      </c>
      <c r="Q19" s="75">
        <f t="shared" ref="Q19:AA19" si="11">Q20/$O$19</f>
        <v>0.29199582555635317</v>
      </c>
      <c r="R19" s="75">
        <f t="shared" si="11"/>
        <v>0.68654159727207464</v>
      </c>
      <c r="S19" s="75">
        <f t="shared" si="11"/>
        <v>0.78932087580760946</v>
      </c>
      <c r="T19" s="75">
        <f t="shared" si="11"/>
        <v>0.94936667264895913</v>
      </c>
      <c r="U19" s="75">
        <f t="shared" si="11"/>
        <v>0.99941299353912416</v>
      </c>
      <c r="V19" s="75">
        <f t="shared" si="11"/>
        <v>1.0682359188801149</v>
      </c>
      <c r="W19" s="75">
        <f t="shared" si="11"/>
        <v>1.3664436862885858</v>
      </c>
      <c r="X19" s="75">
        <f t="shared" si="11"/>
        <v>0</v>
      </c>
      <c r="Y19" s="75">
        <f t="shared" si="11"/>
        <v>0</v>
      </c>
      <c r="Z19" s="75">
        <f t="shared" si="11"/>
        <v>0</v>
      </c>
      <c r="AA19" s="75">
        <f t="shared" si="11"/>
        <v>0</v>
      </c>
    </row>
    <row r="20" spans="1:27" s="22" customFormat="1" ht="13.5" thickBot="1" x14ac:dyDescent="0.25">
      <c r="A20" s="123"/>
      <c r="B20" s="124"/>
      <c r="C20" s="124"/>
      <c r="D20" s="124"/>
      <c r="E20" s="41" t="s">
        <v>5</v>
      </c>
      <c r="F20" s="34">
        <v>2087</v>
      </c>
      <c r="G20" s="34">
        <v>2968</v>
      </c>
      <c r="H20" s="34">
        <v>2602.5461</v>
      </c>
      <c r="I20" s="34">
        <v>2503</v>
      </c>
      <c r="J20" s="34">
        <v>2636.07987</v>
      </c>
      <c r="K20" s="34">
        <v>2840.011</v>
      </c>
      <c r="L20" s="95">
        <v>2929.4340000000002</v>
      </c>
      <c r="M20" s="95">
        <v>2618.4447300000002</v>
      </c>
      <c r="N20" s="95">
        <v>3146.65706</v>
      </c>
      <c r="O20" s="95"/>
      <c r="P20" s="76">
        <v>138.40289999999999</v>
      </c>
      <c r="Q20" s="76">
        <v>813.50036999999998</v>
      </c>
      <c r="R20" s="76">
        <v>1912.70489</v>
      </c>
      <c r="S20" s="76">
        <v>2199.0479599999999</v>
      </c>
      <c r="T20" s="76">
        <v>2644.9355500000001</v>
      </c>
      <c r="U20" s="76">
        <v>2784.3645999999999</v>
      </c>
      <c r="V20" s="76">
        <v>2976.10527</v>
      </c>
      <c r="W20" s="76">
        <v>3806.9121100000002</v>
      </c>
      <c r="X20" s="76"/>
      <c r="Y20" s="76"/>
      <c r="Z20" s="76"/>
      <c r="AA20" s="76"/>
    </row>
    <row r="21" spans="1:27" s="8" customFormat="1" x14ac:dyDescent="0.2">
      <c r="A21" s="121" t="s">
        <v>35</v>
      </c>
      <c r="B21" s="122"/>
      <c r="C21" s="122"/>
      <c r="D21" s="122"/>
      <c r="E21" s="24" t="s">
        <v>6</v>
      </c>
      <c r="F21" s="37">
        <v>60</v>
      </c>
      <c r="G21" s="37">
        <v>60</v>
      </c>
      <c r="H21" s="37">
        <v>150</v>
      </c>
      <c r="I21" s="37">
        <v>150</v>
      </c>
      <c r="J21" s="37">
        <v>300</v>
      </c>
      <c r="K21" s="37">
        <v>330</v>
      </c>
      <c r="L21" s="37">
        <v>330</v>
      </c>
      <c r="M21" s="37">
        <v>400</v>
      </c>
      <c r="N21" s="105">
        <v>350</v>
      </c>
      <c r="O21" s="105">
        <v>371</v>
      </c>
      <c r="P21" s="75">
        <f>P22/$O$21</f>
        <v>5.0784258760107816E-2</v>
      </c>
      <c r="Q21" s="75">
        <f t="shared" ref="Q21:AA21" si="12">Q22/$O$21</f>
        <v>8.1822749326145555E-2</v>
      </c>
      <c r="R21" s="75">
        <f t="shared" si="12"/>
        <v>0.16598161725067387</v>
      </c>
      <c r="S21" s="75">
        <f t="shared" si="12"/>
        <v>0.21882579514824799</v>
      </c>
      <c r="T21" s="75">
        <f t="shared" si="12"/>
        <v>0.25176045822102427</v>
      </c>
      <c r="U21" s="75">
        <f t="shared" si="12"/>
        <v>0.28775436657681941</v>
      </c>
      <c r="V21" s="75">
        <f t="shared" si="12"/>
        <v>0.3710719946091644</v>
      </c>
      <c r="W21" s="75">
        <f t="shared" si="12"/>
        <v>0.40483218328840964</v>
      </c>
      <c r="X21" s="75">
        <f t="shared" si="12"/>
        <v>0</v>
      </c>
      <c r="Y21" s="75">
        <f t="shared" si="12"/>
        <v>0</v>
      </c>
      <c r="Z21" s="75">
        <f t="shared" si="12"/>
        <v>0</v>
      </c>
      <c r="AA21" s="75">
        <f t="shared" si="12"/>
        <v>0</v>
      </c>
    </row>
    <row r="22" spans="1:27" s="22" customFormat="1" ht="13.5" thickBot="1" x14ac:dyDescent="0.25">
      <c r="A22" s="123"/>
      <c r="B22" s="124"/>
      <c r="C22" s="124"/>
      <c r="D22" s="124"/>
      <c r="E22" s="41" t="s">
        <v>5</v>
      </c>
      <c r="F22" s="34">
        <v>100</v>
      </c>
      <c r="G22" s="34">
        <v>102</v>
      </c>
      <c r="H22" s="34">
        <v>184.49430000000001</v>
      </c>
      <c r="I22" s="34">
        <v>286</v>
      </c>
      <c r="J22" s="34">
        <v>280.90543000000002</v>
      </c>
      <c r="K22" s="34">
        <v>356.93799999999999</v>
      </c>
      <c r="L22" s="95">
        <v>319.709</v>
      </c>
      <c r="M22" s="95">
        <v>379.27193</v>
      </c>
      <c r="N22" s="95">
        <v>336.32922000000002</v>
      </c>
      <c r="O22" s="95"/>
      <c r="P22" s="76">
        <v>18.840959999999999</v>
      </c>
      <c r="Q22" s="76">
        <v>30.35624</v>
      </c>
      <c r="R22" s="76">
        <v>61.579180000000001</v>
      </c>
      <c r="S22" s="76">
        <v>81.184370000000001</v>
      </c>
      <c r="T22" s="76">
        <v>93.403130000000004</v>
      </c>
      <c r="U22" s="76">
        <v>106.75687000000001</v>
      </c>
      <c r="V22" s="76">
        <v>137.66771</v>
      </c>
      <c r="W22" s="76">
        <v>150.19273999999999</v>
      </c>
      <c r="X22" s="76"/>
      <c r="Y22" s="76"/>
      <c r="Z22" s="76"/>
      <c r="AA22" s="76"/>
    </row>
    <row r="23" spans="1:27" s="8" customFormat="1" x14ac:dyDescent="0.2">
      <c r="A23" s="121" t="s">
        <v>17</v>
      </c>
      <c r="B23" s="122"/>
      <c r="C23" s="122"/>
      <c r="D23" s="122"/>
      <c r="E23" s="24" t="s">
        <v>6</v>
      </c>
      <c r="F23" s="37">
        <v>35</v>
      </c>
      <c r="G23" s="37">
        <v>25</v>
      </c>
      <c r="H23" s="37">
        <v>30</v>
      </c>
      <c r="I23" s="37">
        <v>30</v>
      </c>
      <c r="J23" s="37">
        <v>30</v>
      </c>
      <c r="K23" s="37">
        <v>30</v>
      </c>
      <c r="L23" s="37">
        <v>25</v>
      </c>
      <c r="M23" s="37">
        <v>25</v>
      </c>
      <c r="N23" s="105">
        <v>20</v>
      </c>
      <c r="O23" s="105">
        <v>20</v>
      </c>
      <c r="P23" s="75">
        <f>P24/$O$23</f>
        <v>0.67500000000000004</v>
      </c>
      <c r="Q23" s="75">
        <f t="shared" ref="Q23:AA23" si="13">Q24/$O$23</f>
        <v>0.67500000000000004</v>
      </c>
      <c r="R23" s="75">
        <f t="shared" si="13"/>
        <v>0.67500000000000004</v>
      </c>
      <c r="S23" s="75">
        <f t="shared" si="13"/>
        <v>0.67500000000000004</v>
      </c>
      <c r="T23" s="75">
        <f t="shared" si="13"/>
        <v>0.67500000000000004</v>
      </c>
      <c r="U23" s="75">
        <f t="shared" si="13"/>
        <v>0.67500000000000004</v>
      </c>
      <c r="V23" s="75">
        <f t="shared" si="13"/>
        <v>0.75</v>
      </c>
      <c r="W23" s="75">
        <f t="shared" si="13"/>
        <v>0.75</v>
      </c>
      <c r="X23" s="75">
        <f t="shared" si="13"/>
        <v>0</v>
      </c>
      <c r="Y23" s="75">
        <f t="shared" si="13"/>
        <v>0</v>
      </c>
      <c r="Z23" s="75">
        <f t="shared" si="13"/>
        <v>0</v>
      </c>
      <c r="AA23" s="75">
        <f t="shared" si="13"/>
        <v>0</v>
      </c>
    </row>
    <row r="24" spans="1:27" s="22" customFormat="1" ht="13.5" thickBot="1" x14ac:dyDescent="0.25">
      <c r="A24" s="123"/>
      <c r="B24" s="124"/>
      <c r="C24" s="124"/>
      <c r="D24" s="124"/>
      <c r="E24" s="41" t="s">
        <v>5</v>
      </c>
      <c r="F24" s="34">
        <v>27</v>
      </c>
      <c r="G24" s="34">
        <v>31</v>
      </c>
      <c r="H24" s="34">
        <v>27</v>
      </c>
      <c r="I24" s="34">
        <v>20</v>
      </c>
      <c r="J24" s="34">
        <v>20.135000000000002</v>
      </c>
      <c r="K24" s="34">
        <v>17.099</v>
      </c>
      <c r="L24" s="95">
        <v>18.13</v>
      </c>
      <c r="M24" s="95">
        <v>15</v>
      </c>
      <c r="N24" s="95">
        <v>16.5</v>
      </c>
      <c r="O24" s="95"/>
      <c r="P24" s="76">
        <v>13.5</v>
      </c>
      <c r="Q24" s="76">
        <v>13.5</v>
      </c>
      <c r="R24" s="76">
        <v>13.5</v>
      </c>
      <c r="S24" s="76">
        <v>13.5</v>
      </c>
      <c r="T24" s="76">
        <v>13.5</v>
      </c>
      <c r="U24" s="76">
        <v>13.5</v>
      </c>
      <c r="V24" s="76">
        <v>15</v>
      </c>
      <c r="W24" s="76">
        <v>15</v>
      </c>
      <c r="X24" s="76"/>
      <c r="Y24" s="76"/>
      <c r="Z24" s="76"/>
      <c r="AA24" s="76"/>
    </row>
    <row r="25" spans="1:27" s="8" customFormat="1" x14ac:dyDescent="0.2">
      <c r="A25" s="121" t="s">
        <v>18</v>
      </c>
      <c r="B25" s="122"/>
      <c r="C25" s="122"/>
      <c r="D25" s="122"/>
      <c r="E25" s="24" t="s">
        <v>6</v>
      </c>
      <c r="F25" s="37">
        <v>475</v>
      </c>
      <c r="G25" s="37">
        <v>600</v>
      </c>
      <c r="H25" s="37">
        <v>630</v>
      </c>
      <c r="I25" s="37">
        <v>710</v>
      </c>
      <c r="J25" s="37">
        <v>660</v>
      </c>
      <c r="K25" s="37">
        <v>800</v>
      </c>
      <c r="L25" s="37">
        <v>810</v>
      </c>
      <c r="M25" s="37">
        <v>900</v>
      </c>
      <c r="N25" s="105">
        <v>900</v>
      </c>
      <c r="O25" s="105">
        <v>960</v>
      </c>
      <c r="P25" s="75">
        <f>P26/$O$25</f>
        <v>0.24329791666666667</v>
      </c>
      <c r="Q25" s="75">
        <f t="shared" ref="Q25:AA25" si="14">Q26/$O$25</f>
        <v>0.24329791666666667</v>
      </c>
      <c r="R25" s="75">
        <f t="shared" si="14"/>
        <v>0.24329791666666667</v>
      </c>
      <c r="S25" s="75">
        <f t="shared" si="14"/>
        <v>0.4800864583333333</v>
      </c>
      <c r="T25" s="75">
        <f t="shared" si="14"/>
        <v>0.4800864583333333</v>
      </c>
      <c r="U25" s="75">
        <f t="shared" si="14"/>
        <v>0.47901145833333331</v>
      </c>
      <c r="V25" s="75">
        <f t="shared" si="14"/>
        <v>0.71756249999999999</v>
      </c>
      <c r="W25" s="75">
        <f t="shared" si="14"/>
        <v>0.71756249999999999</v>
      </c>
      <c r="X25" s="75">
        <f t="shared" si="14"/>
        <v>0</v>
      </c>
      <c r="Y25" s="75">
        <f t="shared" si="14"/>
        <v>0</v>
      </c>
      <c r="Z25" s="75">
        <f t="shared" si="14"/>
        <v>0</v>
      </c>
      <c r="AA25" s="75">
        <f t="shared" si="14"/>
        <v>0</v>
      </c>
    </row>
    <row r="26" spans="1:27" s="22" customFormat="1" ht="13.5" thickBot="1" x14ac:dyDescent="0.25">
      <c r="A26" s="123"/>
      <c r="B26" s="124"/>
      <c r="C26" s="124"/>
      <c r="D26" s="124"/>
      <c r="E26" s="41" t="s">
        <v>5</v>
      </c>
      <c r="F26" s="34">
        <v>579</v>
      </c>
      <c r="G26" s="34">
        <v>582</v>
      </c>
      <c r="H26" s="34">
        <v>626</v>
      </c>
      <c r="I26" s="34">
        <v>626</v>
      </c>
      <c r="J26" s="34">
        <v>708.76400000000001</v>
      </c>
      <c r="K26" s="34">
        <v>808.63300000000004</v>
      </c>
      <c r="L26" s="95">
        <v>780.19500000000005</v>
      </c>
      <c r="M26" s="95">
        <v>872.78</v>
      </c>
      <c r="N26" s="95">
        <v>923.44299999999998</v>
      </c>
      <c r="O26" s="95"/>
      <c r="P26" s="76">
        <v>233.566</v>
      </c>
      <c r="Q26" s="76">
        <v>233.566</v>
      </c>
      <c r="R26" s="76">
        <v>233.566</v>
      </c>
      <c r="S26" s="76">
        <v>460.88299999999998</v>
      </c>
      <c r="T26" s="76">
        <v>460.88299999999998</v>
      </c>
      <c r="U26" s="76">
        <v>459.851</v>
      </c>
      <c r="V26" s="76">
        <v>688.86</v>
      </c>
      <c r="W26" s="76">
        <v>688.86</v>
      </c>
      <c r="X26" s="76"/>
      <c r="Y26" s="76"/>
      <c r="Z26" s="76"/>
      <c r="AA26" s="76"/>
    </row>
    <row r="27" spans="1:27" s="8" customFormat="1" x14ac:dyDescent="0.2">
      <c r="A27" s="131" t="s">
        <v>36</v>
      </c>
      <c r="B27" s="132"/>
      <c r="C27" s="132"/>
      <c r="D27" s="132"/>
      <c r="E27" s="25" t="s">
        <v>6</v>
      </c>
      <c r="F27" s="38">
        <f>F9+F11+F13+F15+F17+F19+F21+F23+F25</f>
        <v>8100</v>
      </c>
      <c r="G27" s="38">
        <f t="shared" ref="G27:O27" si="15">G9+G11+G13+G15+G17+G19+G21+G23+G25</f>
        <v>8485</v>
      </c>
      <c r="H27" s="38">
        <f t="shared" si="15"/>
        <v>9120</v>
      </c>
      <c r="I27" s="38">
        <f t="shared" si="15"/>
        <v>7610</v>
      </c>
      <c r="J27" s="38">
        <f t="shared" si="15"/>
        <v>6190</v>
      </c>
      <c r="K27" s="38">
        <f t="shared" si="15"/>
        <v>7210</v>
      </c>
      <c r="L27" s="38">
        <f t="shared" si="15"/>
        <v>7255</v>
      </c>
      <c r="M27" s="38">
        <f t="shared" si="15"/>
        <v>8025</v>
      </c>
      <c r="N27" s="38">
        <f t="shared" si="15"/>
        <v>8030</v>
      </c>
      <c r="O27" s="38">
        <f t="shared" si="15"/>
        <v>8249.7999999999993</v>
      </c>
      <c r="P27" s="78">
        <f>P28/$O$27</f>
        <v>8.3361797861766354E-2</v>
      </c>
      <c r="Q27" s="78">
        <f t="shared" ref="Q27:AA27" si="16">Q28/$O$27</f>
        <v>0.20129534776600647</v>
      </c>
      <c r="R27" s="78">
        <f t="shared" si="16"/>
        <v>0.38765639530655288</v>
      </c>
      <c r="S27" s="78">
        <f t="shared" si="16"/>
        <v>0.49183218017406483</v>
      </c>
      <c r="T27" s="78">
        <f t="shared" si="16"/>
        <v>0.59287626851560038</v>
      </c>
      <c r="U27" s="78">
        <f t="shared" si="16"/>
        <v>0.66865212489999759</v>
      </c>
      <c r="V27" s="78">
        <f t="shared" si="16"/>
        <v>0.76867994133191109</v>
      </c>
      <c r="W27" s="78">
        <f t="shared" si="16"/>
        <v>0.91109708477781304</v>
      </c>
      <c r="X27" s="78">
        <f t="shared" si="16"/>
        <v>0</v>
      </c>
      <c r="Y27" s="78">
        <f t="shared" si="16"/>
        <v>0</v>
      </c>
      <c r="Z27" s="78">
        <f t="shared" si="16"/>
        <v>0</v>
      </c>
      <c r="AA27" s="78">
        <f t="shared" si="16"/>
        <v>0</v>
      </c>
    </row>
    <row r="28" spans="1:27" s="22" customFormat="1" ht="13.5" thickBot="1" x14ac:dyDescent="0.25">
      <c r="A28" s="133"/>
      <c r="B28" s="134"/>
      <c r="C28" s="134"/>
      <c r="D28" s="134"/>
      <c r="E28" s="40" t="s">
        <v>5</v>
      </c>
      <c r="F28" s="39">
        <f>F10+F12+F14+F16+F18+F20+F22+F24+F26</f>
        <v>7228</v>
      </c>
      <c r="G28" s="39">
        <f t="shared" ref="G28:O28" si="17">G10+G12+G14+G16+G18+G20+G22+G24+G26</f>
        <v>7619</v>
      </c>
      <c r="H28" s="39">
        <f t="shared" si="17"/>
        <v>6852.8557000000001</v>
      </c>
      <c r="I28" s="39">
        <f t="shared" si="17"/>
        <v>6500</v>
      </c>
      <c r="J28" s="39">
        <f t="shared" si="17"/>
        <v>6882.7499000000007</v>
      </c>
      <c r="K28" s="39">
        <f t="shared" si="17"/>
        <v>7488.5519999999997</v>
      </c>
      <c r="L28" s="39">
        <f t="shared" si="17"/>
        <v>7687.5</v>
      </c>
      <c r="M28" s="39">
        <f t="shared" si="17"/>
        <v>7090.4637899999998</v>
      </c>
      <c r="N28" s="39">
        <f t="shared" si="17"/>
        <v>7709.7744899999998</v>
      </c>
      <c r="O28" s="39">
        <f t="shared" si="17"/>
        <v>0</v>
      </c>
      <c r="P28" s="39">
        <f t="shared" ref="P28:AA28" si="18">P10+P12+P14+P16+P18+P20+P22+P24+P26</f>
        <v>687.71816000000001</v>
      </c>
      <c r="Q28" s="39">
        <f t="shared" si="18"/>
        <v>1660.64636</v>
      </c>
      <c r="R28" s="39">
        <f t="shared" si="18"/>
        <v>3198.0877299999997</v>
      </c>
      <c r="S28" s="39">
        <f>S10+S12+S14+S16+S18+S20+S22+S24+S26</f>
        <v>4057.5171199999995</v>
      </c>
      <c r="T28" s="39">
        <f t="shared" si="18"/>
        <v>4891.1106399999999</v>
      </c>
      <c r="U28" s="39">
        <f t="shared" si="18"/>
        <v>5516.2462999999998</v>
      </c>
      <c r="V28" s="39">
        <f t="shared" si="18"/>
        <v>6341.4557799999993</v>
      </c>
      <c r="W28" s="39">
        <f t="shared" si="18"/>
        <v>7516.3687300000011</v>
      </c>
      <c r="X28" s="39">
        <f t="shared" si="18"/>
        <v>0</v>
      </c>
      <c r="Y28" s="39">
        <f t="shared" si="18"/>
        <v>0</v>
      </c>
      <c r="Z28" s="39">
        <f t="shared" si="18"/>
        <v>0</v>
      </c>
      <c r="AA28" s="39">
        <f t="shared" si="18"/>
        <v>0</v>
      </c>
    </row>
    <row r="29" spans="1:27" s="8" customFormat="1" ht="13.5" thickBot="1" x14ac:dyDescent="0.25">
      <c r="A29" s="9"/>
      <c r="B29" s="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s="8" customFormat="1" x14ac:dyDescent="0.2">
      <c r="A30" s="125" t="s">
        <v>1</v>
      </c>
      <c r="B30" s="126"/>
      <c r="C30" s="126"/>
      <c r="D30" s="127"/>
      <c r="E30" s="42" t="s">
        <v>6</v>
      </c>
      <c r="F30" s="37">
        <v>1900</v>
      </c>
      <c r="G30" s="37">
        <v>1900</v>
      </c>
      <c r="H30" s="37">
        <v>1800</v>
      </c>
      <c r="I30" s="37">
        <v>1900</v>
      </c>
      <c r="J30" s="37">
        <v>3500</v>
      </c>
      <c r="K30" s="37">
        <v>3100</v>
      </c>
      <c r="L30" s="65">
        <v>2677</v>
      </c>
      <c r="M30" s="65">
        <v>2641</v>
      </c>
      <c r="N30" s="65">
        <v>2720</v>
      </c>
      <c r="O30" s="65">
        <v>2989.2</v>
      </c>
      <c r="P30" s="79">
        <f>P31/$O$30</f>
        <v>7.4722664927070789E-2</v>
      </c>
      <c r="Q30" s="79">
        <f t="shared" ref="Q30:AA30" si="19">Q31/$O$30</f>
        <v>0.14132133012177173</v>
      </c>
      <c r="R30" s="79">
        <f t="shared" si="19"/>
        <v>0.21209450020072262</v>
      </c>
      <c r="S30" s="79">
        <f t="shared" si="19"/>
        <v>0.30612375551987153</v>
      </c>
      <c r="T30" s="79">
        <f t="shared" si="19"/>
        <v>0.37952989094071993</v>
      </c>
      <c r="U30" s="79">
        <f t="shared" si="19"/>
        <v>0.45707754917703736</v>
      </c>
      <c r="V30" s="79">
        <f t="shared" si="19"/>
        <v>0.53685367656898164</v>
      </c>
      <c r="W30" s="79">
        <f t="shared" si="19"/>
        <v>0.61676248494580499</v>
      </c>
      <c r="X30" s="79">
        <f t="shared" si="19"/>
        <v>0</v>
      </c>
      <c r="Y30" s="79">
        <f t="shared" si="19"/>
        <v>0</v>
      </c>
      <c r="Z30" s="79">
        <f t="shared" si="19"/>
        <v>0</v>
      </c>
      <c r="AA30" s="79">
        <f t="shared" si="19"/>
        <v>0</v>
      </c>
    </row>
    <row r="31" spans="1:27" s="22" customFormat="1" ht="13.5" thickBot="1" x14ac:dyDescent="0.25">
      <c r="A31" s="128"/>
      <c r="B31" s="129"/>
      <c r="C31" s="129"/>
      <c r="D31" s="130"/>
      <c r="E31" s="43" t="s">
        <v>5</v>
      </c>
      <c r="F31" s="44">
        <v>1890</v>
      </c>
      <c r="G31" s="44">
        <v>1813</v>
      </c>
      <c r="H31" s="44">
        <v>1667.8593000000001</v>
      </c>
      <c r="I31" s="44">
        <v>1839</v>
      </c>
      <c r="J31" s="44">
        <v>2455.3067599999999</v>
      </c>
      <c r="K31" s="44">
        <v>239.88399999999999</v>
      </c>
      <c r="L31" s="94">
        <v>2628.3409999999999</v>
      </c>
      <c r="M31" s="94">
        <v>2717.43768</v>
      </c>
      <c r="N31" s="94">
        <v>2866.5271400000001</v>
      </c>
      <c r="O31" s="94"/>
      <c r="P31" s="80">
        <v>223.36098999999999</v>
      </c>
      <c r="Q31" s="80">
        <v>422.43772000000001</v>
      </c>
      <c r="R31" s="80">
        <v>633.99288000000001</v>
      </c>
      <c r="S31" s="80">
        <v>915.06512999999995</v>
      </c>
      <c r="T31" s="80">
        <v>1134.4907499999999</v>
      </c>
      <c r="U31" s="80">
        <v>1366.29621</v>
      </c>
      <c r="V31" s="80">
        <v>1604.7630099999999</v>
      </c>
      <c r="W31" s="80">
        <v>1843.6264200000001</v>
      </c>
      <c r="X31" s="80"/>
      <c r="Y31" s="80"/>
      <c r="Z31" s="80"/>
      <c r="AA31" s="80"/>
    </row>
    <row r="32" spans="1:27" s="8" customFormat="1" x14ac:dyDescent="0.2">
      <c r="A32" s="125" t="s">
        <v>37</v>
      </c>
      <c r="B32" s="126"/>
      <c r="C32" s="126"/>
      <c r="D32" s="127"/>
      <c r="E32" s="42" t="s">
        <v>6</v>
      </c>
      <c r="F32" s="37">
        <v>5500</v>
      </c>
      <c r="G32" s="37">
        <v>5200</v>
      </c>
      <c r="H32" s="37">
        <v>5300</v>
      </c>
      <c r="I32" s="37">
        <v>4813</v>
      </c>
      <c r="J32" s="37">
        <v>5100</v>
      </c>
      <c r="K32" s="37">
        <v>5300</v>
      </c>
      <c r="L32" s="65">
        <v>5370</v>
      </c>
      <c r="M32" s="65">
        <v>5781</v>
      </c>
      <c r="N32" s="98">
        <v>5415.5</v>
      </c>
      <c r="O32" s="98">
        <v>5939.18</v>
      </c>
      <c r="P32" s="79">
        <f>P33/$O$32</f>
        <v>7.5665664283621634E-2</v>
      </c>
      <c r="Q32" s="79">
        <f t="shared" ref="Q32:AA32" si="20">Q33/$O$32</f>
        <v>0.15093489842032065</v>
      </c>
      <c r="R32" s="79">
        <f t="shared" si="20"/>
        <v>0.24387459043167573</v>
      </c>
      <c r="S32" s="79">
        <f t="shared" si="20"/>
        <v>0.33210866819998719</v>
      </c>
      <c r="T32" s="79">
        <f t="shared" si="20"/>
        <v>0.42238085897379768</v>
      </c>
      <c r="U32" s="79">
        <f t="shared" si="20"/>
        <v>0.5082692408716355</v>
      </c>
      <c r="V32" s="79">
        <f t="shared" si="20"/>
        <v>0.59896254365080703</v>
      </c>
      <c r="W32" s="79">
        <f t="shared" si="20"/>
        <v>0.67633052037486652</v>
      </c>
      <c r="X32" s="79">
        <f t="shared" si="20"/>
        <v>0</v>
      </c>
      <c r="Y32" s="79">
        <f t="shared" si="20"/>
        <v>0</v>
      </c>
      <c r="Z32" s="79">
        <f t="shared" si="20"/>
        <v>0</v>
      </c>
      <c r="AA32" s="79">
        <f t="shared" si="20"/>
        <v>0</v>
      </c>
    </row>
    <row r="33" spans="1:27" s="22" customFormat="1" ht="13.5" thickBot="1" x14ac:dyDescent="0.25">
      <c r="A33" s="128"/>
      <c r="B33" s="129"/>
      <c r="C33" s="129"/>
      <c r="D33" s="130"/>
      <c r="E33" s="43" t="s">
        <v>5</v>
      </c>
      <c r="F33" s="44">
        <v>5058</v>
      </c>
      <c r="G33" s="44">
        <v>4776</v>
      </c>
      <c r="H33" s="44">
        <v>5013.2416000000003</v>
      </c>
      <c r="I33" s="44">
        <v>4959</v>
      </c>
      <c r="J33" s="44">
        <v>5326.1034499999996</v>
      </c>
      <c r="K33" s="44">
        <v>5652.3140000000003</v>
      </c>
      <c r="L33" s="94">
        <v>5691.6880000000001</v>
      </c>
      <c r="M33" s="94">
        <v>5356.1434900000004</v>
      </c>
      <c r="N33" s="94">
        <v>5465.2919899999997</v>
      </c>
      <c r="O33" s="94"/>
      <c r="P33" s="80">
        <v>449.392</v>
      </c>
      <c r="Q33" s="80">
        <v>896.42953</v>
      </c>
      <c r="R33" s="80">
        <v>1448.41509</v>
      </c>
      <c r="S33" s="80">
        <v>1972.45316</v>
      </c>
      <c r="T33" s="80">
        <v>2508.5959499999999</v>
      </c>
      <c r="U33" s="80">
        <v>3018.7025100000001</v>
      </c>
      <c r="V33" s="80">
        <v>3557.34636</v>
      </c>
      <c r="W33" s="80">
        <v>4016.8487</v>
      </c>
      <c r="X33" s="80"/>
      <c r="Y33" s="80"/>
      <c r="Z33" s="80"/>
      <c r="AA33" s="80"/>
    </row>
    <row r="34" spans="1:27" s="8" customFormat="1" x14ac:dyDescent="0.2">
      <c r="A34" s="125" t="s">
        <v>11</v>
      </c>
      <c r="B34" s="126"/>
      <c r="C34" s="126"/>
      <c r="D34" s="127"/>
      <c r="E34" s="42" t="s">
        <v>6</v>
      </c>
      <c r="F34" s="37">
        <v>2800</v>
      </c>
      <c r="G34" s="37">
        <v>2900</v>
      </c>
      <c r="H34" s="37">
        <v>3500</v>
      </c>
      <c r="I34" s="37">
        <v>3500</v>
      </c>
      <c r="J34" s="37">
        <v>3300</v>
      </c>
      <c r="K34" s="37">
        <v>3100</v>
      </c>
      <c r="L34" s="65">
        <v>3367</v>
      </c>
      <c r="M34" s="65">
        <v>3147</v>
      </c>
      <c r="N34" s="98">
        <v>3123</v>
      </c>
      <c r="O34" s="98">
        <v>3219.22</v>
      </c>
      <c r="P34" s="79">
        <f>P35/$O$34</f>
        <v>5.002833295021776E-2</v>
      </c>
      <c r="Q34" s="79">
        <f t="shared" ref="Q34:AA34" si="21">Q35/$O$34</f>
        <v>6.8201253719845187E-2</v>
      </c>
      <c r="R34" s="79">
        <f t="shared" si="21"/>
        <v>0.10735474742328888</v>
      </c>
      <c r="S34" s="79">
        <f t="shared" si="21"/>
        <v>0.14866230639720182</v>
      </c>
      <c r="T34" s="79">
        <f t="shared" si="21"/>
        <v>0.19143107957828295</v>
      </c>
      <c r="U34" s="79">
        <f t="shared" si="21"/>
        <v>0.22432940898727022</v>
      </c>
      <c r="V34" s="79">
        <f t="shared" si="21"/>
        <v>0.3087817452674872</v>
      </c>
      <c r="W34" s="79">
        <f t="shared" si="21"/>
        <v>0.35409510688924645</v>
      </c>
      <c r="X34" s="79">
        <f t="shared" si="21"/>
        <v>0</v>
      </c>
      <c r="Y34" s="79">
        <f t="shared" si="21"/>
        <v>0</v>
      </c>
      <c r="Z34" s="79">
        <f t="shared" si="21"/>
        <v>0</v>
      </c>
      <c r="AA34" s="79">
        <f t="shared" si="21"/>
        <v>0</v>
      </c>
    </row>
    <row r="35" spans="1:27" s="22" customFormat="1" ht="13.5" thickBot="1" x14ac:dyDescent="0.25">
      <c r="A35" s="128"/>
      <c r="B35" s="129"/>
      <c r="C35" s="129"/>
      <c r="D35" s="130"/>
      <c r="E35" s="43" t="s">
        <v>5</v>
      </c>
      <c r="F35" s="44">
        <v>2833</v>
      </c>
      <c r="G35" s="44">
        <v>3316</v>
      </c>
      <c r="H35" s="44">
        <v>3234.8519000000001</v>
      </c>
      <c r="I35" s="44">
        <v>2991</v>
      </c>
      <c r="J35" s="44">
        <v>3030.12482</v>
      </c>
      <c r="K35" s="44">
        <v>3244</v>
      </c>
      <c r="L35" s="94">
        <v>3091.3539999999998</v>
      </c>
      <c r="M35" s="94">
        <v>2926.7005899999999</v>
      </c>
      <c r="N35" s="94">
        <v>2930.7260500000002</v>
      </c>
      <c r="O35" s="94"/>
      <c r="P35" s="80">
        <v>161.05221</v>
      </c>
      <c r="Q35" s="80">
        <v>219.55484000000001</v>
      </c>
      <c r="R35" s="80">
        <v>345.59854999999999</v>
      </c>
      <c r="S35" s="80">
        <v>478.57666999999998</v>
      </c>
      <c r="T35" s="80">
        <v>616.25876000000005</v>
      </c>
      <c r="U35" s="80">
        <v>722.16571999999996</v>
      </c>
      <c r="V35" s="80">
        <v>994.03637000000003</v>
      </c>
      <c r="W35" s="80">
        <v>1139.91005</v>
      </c>
      <c r="X35" s="80"/>
      <c r="Y35" s="80"/>
      <c r="Z35" s="80"/>
      <c r="AA35" s="80"/>
    </row>
    <row r="36" spans="1:27" s="8" customFormat="1" x14ac:dyDescent="0.2">
      <c r="A36" s="125" t="s">
        <v>59</v>
      </c>
      <c r="B36" s="126"/>
      <c r="C36" s="126"/>
      <c r="D36" s="127"/>
      <c r="E36" s="42" t="s">
        <v>6</v>
      </c>
      <c r="F36" s="37">
        <v>7300</v>
      </c>
      <c r="G36" s="37">
        <v>6500</v>
      </c>
      <c r="H36" s="37">
        <v>5125</v>
      </c>
      <c r="I36" s="37">
        <v>5840</v>
      </c>
      <c r="J36" s="37">
        <v>7640</v>
      </c>
      <c r="K36" s="37">
        <v>8865</v>
      </c>
      <c r="L36" s="65">
        <f>400+450+100+180+8200+5</f>
        <v>9335</v>
      </c>
      <c r="M36" s="65">
        <f>450+300+120+180+8309+5</f>
        <v>9364</v>
      </c>
      <c r="N36" s="98">
        <v>9524.5</v>
      </c>
      <c r="O36" s="98">
        <f>318+371+106+84.8+10309.56+5.3</f>
        <v>11194.659999999998</v>
      </c>
      <c r="P36" s="79">
        <f>P37/$O$36</f>
        <v>6.4530626209281933E-2</v>
      </c>
      <c r="Q36" s="79">
        <f t="shared" ref="Q36:AA36" si="22">Q37/$O$36</f>
        <v>0.13497805024895801</v>
      </c>
      <c r="R36" s="79">
        <f t="shared" si="22"/>
        <v>0.22156719721724469</v>
      </c>
      <c r="S36" s="79">
        <f t="shared" si="22"/>
        <v>0.30230839078632138</v>
      </c>
      <c r="T36" s="79">
        <f t="shared" si="22"/>
        <v>0.37723324960293569</v>
      </c>
      <c r="U36" s="79">
        <f t="shared" si="22"/>
        <v>0.45139540548797374</v>
      </c>
      <c r="V36" s="79">
        <f t="shared" si="22"/>
        <v>0.54056506763045964</v>
      </c>
      <c r="W36" s="79">
        <f t="shared" si="22"/>
        <v>0.63496395245590309</v>
      </c>
      <c r="X36" s="79">
        <f t="shared" si="22"/>
        <v>0</v>
      </c>
      <c r="Y36" s="79">
        <f t="shared" si="22"/>
        <v>0</v>
      </c>
      <c r="Z36" s="79">
        <f t="shared" si="22"/>
        <v>0</v>
      </c>
      <c r="AA36" s="79">
        <f t="shared" si="22"/>
        <v>0</v>
      </c>
    </row>
    <row r="37" spans="1:27" s="22" customFormat="1" ht="13.5" thickBot="1" x14ac:dyDescent="0.25">
      <c r="A37" s="128" t="s">
        <v>53</v>
      </c>
      <c r="B37" s="129"/>
      <c r="C37" s="129"/>
      <c r="D37" s="130"/>
      <c r="E37" s="43" t="s">
        <v>5</v>
      </c>
      <c r="F37" s="44">
        <v>7069</v>
      </c>
      <c r="G37" s="44">
        <v>7886</v>
      </c>
      <c r="H37" s="44">
        <v>5793.8991999999998</v>
      </c>
      <c r="I37" s="44">
        <v>8344</v>
      </c>
      <c r="J37" s="44">
        <v>8963.6679500000009</v>
      </c>
      <c r="K37" s="44">
        <v>9631</v>
      </c>
      <c r="L37" s="94">
        <f>347.437+304.102+66.051+156.495+8368.195+4.162</f>
        <v>9246.4419999999991</v>
      </c>
      <c r="M37" s="94">
        <v>9861.0174299999999</v>
      </c>
      <c r="N37" s="94">
        <f>237.41763+265.83622+80.85091+83.15409+10135.58372+0.19722</f>
        <v>10803.039790000001</v>
      </c>
      <c r="O37" s="94"/>
      <c r="P37" s="80">
        <f>1.6819+34.21816+4.10818+6.91461+674.76888+0.70669</f>
        <v>722.39841999999999</v>
      </c>
      <c r="Q37" s="80">
        <f>16.71453+58.98996+5.56901+12.9656+1416.08759+0.70669</f>
        <v>1511.0333800000001</v>
      </c>
      <c r="R37" s="80">
        <f>21.31875+176.57789+11.73889+18.00045+2252.02677+0.70669</f>
        <v>2480.3694399999999</v>
      </c>
      <c r="S37" s="80">
        <f>22.8922+200.26632+14.90555+19.19757+3126.27132+0.70669</f>
        <v>3384.23965</v>
      </c>
      <c r="T37" s="80">
        <f>39.31494+263.73204+26.03542+34.88043+3858.32845+0.70669</f>
        <v>4222.9979699999994</v>
      </c>
      <c r="U37" s="80">
        <f>48.14134+275.69887+32.86539+39.14306+4656.66274+0.70669</f>
        <v>5053.2180899999994</v>
      </c>
      <c r="V37" s="80">
        <f>75.93204+290.14452+37.41649+41.65477+5605.58763+0.70669</f>
        <v>6051.4421400000001</v>
      </c>
      <c r="W37" s="80">
        <f>80.04297+340.34691+48.14096+52.38004+6586.58799+0.70669</f>
        <v>7108.2055599999994</v>
      </c>
      <c r="X37" s="80"/>
      <c r="Y37" s="80"/>
      <c r="Z37" s="80"/>
      <c r="AA37" s="80"/>
    </row>
    <row r="38" spans="1:27" s="8" customFormat="1" x14ac:dyDescent="0.2">
      <c r="A38" s="125" t="s">
        <v>38</v>
      </c>
      <c r="B38" s="126"/>
      <c r="C38" s="126"/>
      <c r="D38" s="127"/>
      <c r="E38" s="42" t="s">
        <v>6</v>
      </c>
      <c r="F38" s="37">
        <v>230</v>
      </c>
      <c r="G38" s="37">
        <v>200</v>
      </c>
      <c r="H38" s="37">
        <v>150</v>
      </c>
      <c r="I38" s="37">
        <v>150</v>
      </c>
      <c r="J38" s="37">
        <v>100</v>
      </c>
      <c r="K38" s="37">
        <v>100</v>
      </c>
      <c r="L38" s="65">
        <v>140</v>
      </c>
      <c r="M38" s="65">
        <v>0</v>
      </c>
      <c r="N38" s="98">
        <v>120</v>
      </c>
      <c r="O38" s="98">
        <v>180.2</v>
      </c>
      <c r="P38" s="79">
        <f>P39/$O$38</f>
        <v>8.6723973362930085E-2</v>
      </c>
      <c r="Q38" s="79">
        <f t="shared" ref="Q38:AA38" si="23">Q39/$O$38</f>
        <v>0.22823146503884575</v>
      </c>
      <c r="R38" s="79">
        <f t="shared" si="23"/>
        <v>0.39870987791342954</v>
      </c>
      <c r="S38" s="79">
        <f t="shared" si="23"/>
        <v>0.57626698113207553</v>
      </c>
      <c r="T38" s="79">
        <f t="shared" si="23"/>
        <v>0.75024317425083242</v>
      </c>
      <c r="U38" s="79">
        <f t="shared" si="23"/>
        <v>0.87262447280799116</v>
      </c>
      <c r="V38" s="79">
        <f t="shared" si="23"/>
        <v>1.0316215316315207</v>
      </c>
      <c r="W38" s="79">
        <f t="shared" si="23"/>
        <v>1.2747370699223086</v>
      </c>
      <c r="X38" s="79">
        <f t="shared" si="23"/>
        <v>0</v>
      </c>
      <c r="Y38" s="79">
        <f t="shared" si="23"/>
        <v>0</v>
      </c>
      <c r="Z38" s="79">
        <f t="shared" si="23"/>
        <v>0</v>
      </c>
      <c r="AA38" s="79">
        <f t="shared" si="23"/>
        <v>0</v>
      </c>
    </row>
    <row r="39" spans="1:27" s="22" customFormat="1" ht="13.5" thickBot="1" x14ac:dyDescent="0.25">
      <c r="A39" s="128"/>
      <c r="B39" s="129"/>
      <c r="C39" s="129"/>
      <c r="D39" s="130"/>
      <c r="E39" s="43" t="s">
        <v>5</v>
      </c>
      <c r="F39" s="44">
        <v>127</v>
      </c>
      <c r="G39" s="44">
        <v>63</v>
      </c>
      <c r="H39" s="44">
        <v>118.96380000000001</v>
      </c>
      <c r="I39" s="44">
        <v>89</v>
      </c>
      <c r="J39" s="44">
        <v>226.27035000000001</v>
      </c>
      <c r="K39" s="44">
        <v>170</v>
      </c>
      <c r="L39" s="94">
        <v>245.31200000000001</v>
      </c>
      <c r="M39" s="94">
        <v>207.07066</v>
      </c>
      <c r="N39" s="94">
        <f>300.32609</f>
        <v>300.32609000000002</v>
      </c>
      <c r="O39" s="94"/>
      <c r="P39" s="80">
        <v>15.627660000000001</v>
      </c>
      <c r="Q39" s="80">
        <v>41.127310000000001</v>
      </c>
      <c r="R39" s="80">
        <v>71.847520000000003</v>
      </c>
      <c r="S39" s="80">
        <v>103.84331</v>
      </c>
      <c r="T39" s="80">
        <v>135.19381999999999</v>
      </c>
      <c r="U39" s="80">
        <v>157.24692999999999</v>
      </c>
      <c r="V39" s="80">
        <v>185.8982</v>
      </c>
      <c r="W39" s="80">
        <v>229.70761999999999</v>
      </c>
      <c r="X39" s="80"/>
      <c r="Y39" s="80"/>
      <c r="Z39" s="80"/>
      <c r="AA39" s="80"/>
    </row>
    <row r="40" spans="1:27" s="8" customFormat="1" x14ac:dyDescent="0.2">
      <c r="A40" s="125" t="s">
        <v>2</v>
      </c>
      <c r="B40" s="126"/>
      <c r="C40" s="126"/>
      <c r="D40" s="127"/>
      <c r="E40" s="42" t="s">
        <v>6</v>
      </c>
      <c r="F40" s="37">
        <v>2200</v>
      </c>
      <c r="G40" s="37">
        <v>2200</v>
      </c>
      <c r="H40" s="37">
        <v>3060</v>
      </c>
      <c r="I40" s="37">
        <v>3060</v>
      </c>
      <c r="J40" s="37">
        <v>3100</v>
      </c>
      <c r="K40" s="37">
        <v>2020</v>
      </c>
      <c r="L40" s="65">
        <v>2000</v>
      </c>
      <c r="M40" s="65">
        <v>400</v>
      </c>
      <c r="N40" s="98">
        <v>0</v>
      </c>
      <c r="O40" s="98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  <c r="AA40" s="104">
        <v>0</v>
      </c>
    </row>
    <row r="41" spans="1:27" s="22" customFormat="1" ht="13.5" thickBot="1" x14ac:dyDescent="0.25">
      <c r="A41" s="128"/>
      <c r="B41" s="129"/>
      <c r="C41" s="129"/>
      <c r="D41" s="130"/>
      <c r="E41" s="43" t="s">
        <v>5</v>
      </c>
      <c r="F41" s="44">
        <v>2473</v>
      </c>
      <c r="G41" s="44">
        <v>2074</v>
      </c>
      <c r="H41" s="44">
        <v>2750.0173</v>
      </c>
      <c r="I41" s="44">
        <v>3229</v>
      </c>
      <c r="J41" s="44">
        <v>3238.79412</v>
      </c>
      <c r="K41" s="44">
        <v>1490</v>
      </c>
      <c r="L41" s="94">
        <v>293.52600000000001</v>
      </c>
      <c r="M41" s="94">
        <v>5.3674999999999997</v>
      </c>
      <c r="N41" s="94">
        <v>6.4497200000000001</v>
      </c>
      <c r="O41" s="94"/>
      <c r="P41" s="80">
        <v>0</v>
      </c>
      <c r="Q41" s="80">
        <v>0</v>
      </c>
      <c r="R41" s="80">
        <v>0</v>
      </c>
      <c r="S41" s="80">
        <v>9.4</v>
      </c>
      <c r="T41" s="80">
        <v>9.4</v>
      </c>
      <c r="U41" s="80">
        <v>9.4</v>
      </c>
      <c r="V41" s="80">
        <v>9.4</v>
      </c>
      <c r="W41" s="80">
        <v>9.4</v>
      </c>
      <c r="X41" s="80">
        <v>0</v>
      </c>
      <c r="Y41" s="80">
        <v>0</v>
      </c>
      <c r="Z41" s="80">
        <v>0</v>
      </c>
      <c r="AA41" s="80">
        <v>0</v>
      </c>
    </row>
    <row r="42" spans="1:27" s="8" customFormat="1" x14ac:dyDescent="0.2">
      <c r="A42" s="125" t="s">
        <v>13</v>
      </c>
      <c r="B42" s="126"/>
      <c r="C42" s="126"/>
      <c r="D42" s="127"/>
      <c r="E42" s="42" t="s">
        <v>6</v>
      </c>
      <c r="F42" s="37">
        <v>1480</v>
      </c>
      <c r="G42" s="37">
        <v>1600</v>
      </c>
      <c r="H42" s="37">
        <v>1500</v>
      </c>
      <c r="I42" s="37">
        <v>1500</v>
      </c>
      <c r="J42" s="37">
        <v>2115</v>
      </c>
      <c r="K42" s="37">
        <v>2900</v>
      </c>
      <c r="L42" s="65">
        <v>2900</v>
      </c>
      <c r="M42" s="65">
        <v>1000</v>
      </c>
      <c r="N42" s="98">
        <v>1800</v>
      </c>
      <c r="O42" s="98">
        <v>2120</v>
      </c>
      <c r="P42" s="79">
        <f>P43/$O$42</f>
        <v>0.10794119339622642</v>
      </c>
      <c r="Q42" s="79">
        <f t="shared" ref="Q42:AA42" si="24">Q43/$O$42</f>
        <v>0.17891823113207547</v>
      </c>
      <c r="R42" s="79">
        <f t="shared" si="24"/>
        <v>0.34713433962264151</v>
      </c>
      <c r="S42" s="79">
        <f t="shared" si="24"/>
        <v>0.44041288207547169</v>
      </c>
      <c r="T42" s="79">
        <f t="shared" si="24"/>
        <v>0.58262066037735849</v>
      </c>
      <c r="U42" s="79">
        <f t="shared" si="24"/>
        <v>0.75248141981132077</v>
      </c>
      <c r="V42" s="79">
        <f t="shared" si="24"/>
        <v>0.9079390801886793</v>
      </c>
      <c r="W42" s="79">
        <f t="shared" si="24"/>
        <v>1.0573586037735849</v>
      </c>
      <c r="X42" s="79">
        <f t="shared" si="24"/>
        <v>0</v>
      </c>
      <c r="Y42" s="79">
        <f t="shared" si="24"/>
        <v>0</v>
      </c>
      <c r="Z42" s="79">
        <f t="shared" si="24"/>
        <v>0</v>
      </c>
      <c r="AA42" s="79">
        <f t="shared" si="24"/>
        <v>0</v>
      </c>
    </row>
    <row r="43" spans="1:27" s="22" customFormat="1" ht="13.5" thickBot="1" x14ac:dyDescent="0.25">
      <c r="A43" s="128"/>
      <c r="B43" s="129"/>
      <c r="C43" s="129"/>
      <c r="D43" s="130"/>
      <c r="E43" s="43" t="s">
        <v>5</v>
      </c>
      <c r="F43" s="57" t="s">
        <v>50</v>
      </c>
      <c r="G43" s="57" t="s">
        <v>52</v>
      </c>
      <c r="H43" s="57">
        <v>1739</v>
      </c>
      <c r="I43" s="57">
        <v>2094</v>
      </c>
      <c r="J43" s="57">
        <v>2592.6892200000002</v>
      </c>
      <c r="K43" s="57">
        <v>3654</v>
      </c>
      <c r="L43" s="94">
        <v>2164.5390000000002</v>
      </c>
      <c r="M43" s="94">
        <v>2100.7148299999999</v>
      </c>
      <c r="N43" s="94">
        <v>3300.3358600000001</v>
      </c>
      <c r="O43" s="94"/>
      <c r="P43" s="80">
        <v>228.83533</v>
      </c>
      <c r="Q43" s="80">
        <v>379.30664999999999</v>
      </c>
      <c r="R43" s="80">
        <v>735.9248</v>
      </c>
      <c r="S43" s="80">
        <v>933.67530999999997</v>
      </c>
      <c r="T43" s="80">
        <v>1235.1558</v>
      </c>
      <c r="U43" s="80">
        <v>1595.26061</v>
      </c>
      <c r="V43" s="80">
        <v>1924.8308500000001</v>
      </c>
      <c r="W43" s="80">
        <v>2241.6002400000002</v>
      </c>
      <c r="X43" s="80"/>
      <c r="Y43" s="80"/>
      <c r="Z43" s="80"/>
      <c r="AA43" s="80"/>
    </row>
    <row r="44" spans="1:27" s="8" customFormat="1" x14ac:dyDescent="0.2">
      <c r="A44" s="125" t="s">
        <v>14</v>
      </c>
      <c r="B44" s="126"/>
      <c r="C44" s="126"/>
      <c r="D44" s="127"/>
      <c r="E44" s="42" t="s">
        <v>6</v>
      </c>
      <c r="F44" s="37">
        <v>90</v>
      </c>
      <c r="G44" s="37">
        <v>50</v>
      </c>
      <c r="H44" s="37">
        <v>80</v>
      </c>
      <c r="I44" s="37">
        <v>30</v>
      </c>
      <c r="J44" s="37">
        <v>30</v>
      </c>
      <c r="K44" s="37">
        <v>90</v>
      </c>
      <c r="L44" s="65">
        <v>64</v>
      </c>
      <c r="M44" s="65">
        <v>125</v>
      </c>
      <c r="N44" s="98">
        <v>100</v>
      </c>
      <c r="O44" s="98">
        <v>127.2</v>
      </c>
      <c r="P44" s="79">
        <f>P45/$O$44</f>
        <v>0.13998875786163523</v>
      </c>
      <c r="Q44" s="79">
        <f t="shared" ref="Q44:AA44" si="25">Q45/$O$44</f>
        <v>0.27221014150943396</v>
      </c>
      <c r="R44" s="79">
        <f t="shared" si="25"/>
        <v>0.38168254716981131</v>
      </c>
      <c r="S44" s="79">
        <f t="shared" si="25"/>
        <v>0.50416139937106919</v>
      </c>
      <c r="T44" s="79">
        <f t="shared" si="25"/>
        <v>0.60115196540880511</v>
      </c>
      <c r="U44" s="79">
        <f t="shared" si="25"/>
        <v>0.74594205974842764</v>
      </c>
      <c r="V44" s="79">
        <f t="shared" si="25"/>
        <v>1.0091764150943396</v>
      </c>
      <c r="W44" s="79">
        <f t="shared" si="25"/>
        <v>1.1020185534591196</v>
      </c>
      <c r="X44" s="79">
        <f t="shared" si="25"/>
        <v>0</v>
      </c>
      <c r="Y44" s="79">
        <f t="shared" si="25"/>
        <v>0</v>
      </c>
      <c r="Z44" s="79">
        <f t="shared" si="25"/>
        <v>0</v>
      </c>
      <c r="AA44" s="79">
        <f t="shared" si="25"/>
        <v>0</v>
      </c>
    </row>
    <row r="45" spans="1:27" s="22" customFormat="1" ht="13.5" thickBot="1" x14ac:dyDescent="0.25">
      <c r="A45" s="128"/>
      <c r="B45" s="129"/>
      <c r="C45" s="129"/>
      <c r="D45" s="130"/>
      <c r="E45" s="43" t="s">
        <v>5</v>
      </c>
      <c r="F45" s="44">
        <v>48</v>
      </c>
      <c r="G45" s="44">
        <v>76</v>
      </c>
      <c r="H45" s="44">
        <v>27.234300000000001</v>
      </c>
      <c r="I45" s="44">
        <v>75</v>
      </c>
      <c r="J45" s="44">
        <v>94.187939999999998</v>
      </c>
      <c r="K45" s="44">
        <v>66</v>
      </c>
      <c r="L45" s="94">
        <v>145.05000000000001</v>
      </c>
      <c r="M45" s="94">
        <v>138.71097</v>
      </c>
      <c r="N45" s="94">
        <v>176.13726</v>
      </c>
      <c r="O45" s="94"/>
      <c r="P45" s="80">
        <v>17.806570000000001</v>
      </c>
      <c r="Q45" s="80">
        <v>34.625129999999999</v>
      </c>
      <c r="R45" s="80">
        <v>48.550020000000004</v>
      </c>
      <c r="S45" s="80">
        <v>64.129329999999996</v>
      </c>
      <c r="T45" s="80">
        <v>76.466530000000006</v>
      </c>
      <c r="U45" s="80">
        <v>94.883830000000003</v>
      </c>
      <c r="V45" s="80">
        <v>128.36724000000001</v>
      </c>
      <c r="W45" s="80">
        <v>140.17676</v>
      </c>
      <c r="X45" s="80"/>
      <c r="Y45" s="80"/>
      <c r="Z45" s="80"/>
      <c r="AA45" s="80"/>
    </row>
    <row r="46" spans="1:27" s="8" customFormat="1" x14ac:dyDescent="0.2">
      <c r="A46" s="125" t="s">
        <v>15</v>
      </c>
      <c r="B46" s="126"/>
      <c r="C46" s="126"/>
      <c r="D46" s="127"/>
      <c r="E46" s="42" t="s">
        <v>6</v>
      </c>
      <c r="F46" s="37">
        <v>210</v>
      </c>
      <c r="G46" s="37">
        <v>170</v>
      </c>
      <c r="H46" s="37">
        <v>170</v>
      </c>
      <c r="I46" s="37">
        <v>170</v>
      </c>
      <c r="J46" s="37">
        <v>430</v>
      </c>
      <c r="K46" s="37">
        <v>1600</v>
      </c>
      <c r="L46" s="65">
        <v>1524</v>
      </c>
      <c r="M46" s="65">
        <v>250</v>
      </c>
      <c r="N46" s="98">
        <v>150</v>
      </c>
      <c r="O46" s="98">
        <v>159</v>
      </c>
      <c r="P46" s="79">
        <f>P47/$O$46</f>
        <v>6.7389182389937116E-2</v>
      </c>
      <c r="Q46" s="79">
        <f t="shared" ref="Q46:AA46" si="26">Q47/$O$46</f>
        <v>0.36002421383647798</v>
      </c>
      <c r="R46" s="79">
        <f t="shared" si="26"/>
        <v>0.78605591194968549</v>
      </c>
      <c r="S46" s="79">
        <f t="shared" si="26"/>
        <v>1.0334215094339623</v>
      </c>
      <c r="T46" s="79">
        <f t="shared" si="26"/>
        <v>1.2116846540880504</v>
      </c>
      <c r="U46" s="79">
        <f t="shared" si="26"/>
        <v>2.4511247798742137</v>
      </c>
      <c r="V46" s="79">
        <f t="shared" si="26"/>
        <v>2.4999165408805033</v>
      </c>
      <c r="W46" s="79">
        <f t="shared" si="26"/>
        <v>3.9061240251572324</v>
      </c>
      <c r="X46" s="79">
        <f t="shared" si="26"/>
        <v>0</v>
      </c>
      <c r="Y46" s="79">
        <f t="shared" si="26"/>
        <v>0</v>
      </c>
      <c r="Z46" s="79">
        <f t="shared" si="26"/>
        <v>0</v>
      </c>
      <c r="AA46" s="79">
        <f t="shared" si="26"/>
        <v>0</v>
      </c>
    </row>
    <row r="47" spans="1:27" s="22" customFormat="1" ht="13.5" thickBot="1" x14ac:dyDescent="0.25">
      <c r="A47" s="128"/>
      <c r="B47" s="129"/>
      <c r="C47" s="129"/>
      <c r="D47" s="130"/>
      <c r="E47" s="43" t="s">
        <v>5</v>
      </c>
      <c r="F47" s="44">
        <v>106</v>
      </c>
      <c r="G47" s="44">
        <v>195</v>
      </c>
      <c r="H47" s="44">
        <v>263.8143</v>
      </c>
      <c r="I47" s="44">
        <v>256</v>
      </c>
      <c r="J47" s="44">
        <v>190.79435000000001</v>
      </c>
      <c r="K47" s="44">
        <v>2203</v>
      </c>
      <c r="L47" s="94">
        <v>439.18200000000002</v>
      </c>
      <c r="M47" s="94">
        <v>256.92975000000001</v>
      </c>
      <c r="N47" s="94">
        <v>385.93921</v>
      </c>
      <c r="O47" s="94"/>
      <c r="P47" s="80">
        <v>10.714880000000001</v>
      </c>
      <c r="Q47" s="80">
        <v>57.243850000000002</v>
      </c>
      <c r="R47" s="80">
        <v>124.98289</v>
      </c>
      <c r="S47" s="80">
        <v>164.31402</v>
      </c>
      <c r="T47" s="80">
        <v>192.65786</v>
      </c>
      <c r="U47" s="80">
        <v>389.72883999999999</v>
      </c>
      <c r="V47" s="80">
        <v>397.48673000000002</v>
      </c>
      <c r="W47" s="80">
        <v>621.07371999999998</v>
      </c>
      <c r="X47" s="80"/>
      <c r="Y47" s="80"/>
      <c r="Z47" s="80"/>
      <c r="AA47" s="80"/>
    </row>
    <row r="48" spans="1:27" s="8" customFormat="1" x14ac:dyDescent="0.2">
      <c r="A48" s="125" t="s">
        <v>3</v>
      </c>
      <c r="B48" s="126"/>
      <c r="C48" s="126"/>
      <c r="D48" s="127"/>
      <c r="E48" s="42" t="s">
        <v>6</v>
      </c>
      <c r="F48" s="37">
        <v>12902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65">
        <v>0</v>
      </c>
      <c r="M48" s="65">
        <v>0</v>
      </c>
      <c r="N48" s="98">
        <v>0</v>
      </c>
      <c r="O48" s="98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0</v>
      </c>
      <c r="W48" s="79">
        <v>0</v>
      </c>
      <c r="X48" s="79">
        <v>0</v>
      </c>
      <c r="Y48" s="79">
        <v>0</v>
      </c>
      <c r="Z48" s="79">
        <v>0</v>
      </c>
      <c r="AA48" s="79">
        <v>0</v>
      </c>
    </row>
    <row r="49" spans="1:28" s="22" customFormat="1" ht="13.5" thickBot="1" x14ac:dyDescent="0.25">
      <c r="A49" s="128"/>
      <c r="B49" s="129"/>
      <c r="C49" s="129"/>
      <c r="D49" s="130"/>
      <c r="E49" s="43" t="s">
        <v>5</v>
      </c>
      <c r="F49" s="44">
        <v>12587</v>
      </c>
      <c r="G49" s="44">
        <v>0</v>
      </c>
      <c r="H49" s="44">
        <v>0</v>
      </c>
      <c r="I49" s="44">
        <v>0</v>
      </c>
      <c r="J49" s="44">
        <v>-0.53239999999999998</v>
      </c>
      <c r="K49" s="44">
        <v>-12</v>
      </c>
      <c r="L49" s="94">
        <v>-18.027999999999999</v>
      </c>
      <c r="M49" s="94">
        <v>-14.424239999999999</v>
      </c>
      <c r="N49" s="94"/>
      <c r="O49" s="94"/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>
        <v>0</v>
      </c>
      <c r="Z49" s="80">
        <v>0</v>
      </c>
      <c r="AA49" s="80">
        <v>0</v>
      </c>
    </row>
    <row r="50" spans="1:28" s="8" customFormat="1" x14ac:dyDescent="0.2">
      <c r="A50" s="125" t="s">
        <v>51</v>
      </c>
      <c r="B50" s="126"/>
      <c r="C50" s="126"/>
      <c r="D50" s="127"/>
      <c r="E50" s="42" t="s">
        <v>6</v>
      </c>
      <c r="F50" s="37">
        <v>0</v>
      </c>
      <c r="G50" s="37">
        <v>17100</v>
      </c>
      <c r="H50" s="37">
        <v>25300</v>
      </c>
      <c r="I50" s="37">
        <v>23500</v>
      </c>
      <c r="J50" s="37">
        <v>22800</v>
      </c>
      <c r="K50" s="37">
        <v>24350</v>
      </c>
      <c r="L50" s="65">
        <f>6648+13152+5824</f>
        <v>25624</v>
      </c>
      <c r="M50" s="65">
        <f>6905+14250.706+5919</f>
        <v>27074.705999999998</v>
      </c>
      <c r="N50" s="98">
        <v>46757.36</v>
      </c>
      <c r="O50" s="98">
        <f>25544.94+16698.18+8329.48</f>
        <v>50572.599999999991</v>
      </c>
      <c r="P50" s="79">
        <f>P51/$O$50</f>
        <v>5.3013723043703512E-2</v>
      </c>
      <c r="Q50" s="79">
        <f t="shared" ref="Q50:AA50" si="27">Q51/$O$50</f>
        <v>9.8389190193899481E-2</v>
      </c>
      <c r="R50" s="79">
        <f t="shared" si="27"/>
        <v>0.1525981367380756</v>
      </c>
      <c r="S50" s="79">
        <f t="shared" si="27"/>
        <v>0.20842092872424992</v>
      </c>
      <c r="T50" s="79">
        <f t="shared" si="27"/>
        <v>0.25883815109367531</v>
      </c>
      <c r="U50" s="79">
        <f t="shared" si="27"/>
        <v>0.32317178966475923</v>
      </c>
      <c r="V50" s="79">
        <f t="shared" si="27"/>
        <v>0.36556556396151285</v>
      </c>
      <c r="W50" s="79">
        <f t="shared" si="27"/>
        <v>0.41369711701593359</v>
      </c>
      <c r="X50" s="79">
        <f t="shared" si="27"/>
        <v>0</v>
      </c>
      <c r="Y50" s="79">
        <f t="shared" si="27"/>
        <v>0</v>
      </c>
      <c r="Z50" s="79">
        <f t="shared" si="27"/>
        <v>0</v>
      </c>
      <c r="AA50" s="79">
        <f t="shared" si="27"/>
        <v>0</v>
      </c>
    </row>
    <row r="51" spans="1:28" s="22" customFormat="1" ht="13.5" thickBot="1" x14ac:dyDescent="0.25">
      <c r="A51" s="128"/>
      <c r="B51" s="129"/>
      <c r="C51" s="129"/>
      <c r="D51" s="130"/>
      <c r="E51" s="43" t="s">
        <v>5</v>
      </c>
      <c r="F51" s="44"/>
      <c r="G51" s="44">
        <v>19988</v>
      </c>
      <c r="H51" s="44">
        <v>24624.534</v>
      </c>
      <c r="I51" s="44">
        <v>23748</v>
      </c>
      <c r="J51" s="44">
        <v>24210.658369999997</v>
      </c>
      <c r="K51" s="44">
        <v>25599</v>
      </c>
      <c r="L51" s="94">
        <f>6626.177+13876.703+5955.428</f>
        <v>26458.307999999997</v>
      </c>
      <c r="M51" s="94">
        <v>45346.01872</v>
      </c>
      <c r="N51" s="94">
        <f>26106.2769+14017.32276+8179.08684</f>
        <v>48302.686499999996</v>
      </c>
      <c r="O51" s="94"/>
      <c r="P51" s="80">
        <f>950.51383+1195.47069+535.05729</f>
        <v>2681.0418099999997</v>
      </c>
      <c r="Q51" s="80">
        <f>1713.32635+2267.51511+994.9557</f>
        <v>4975.7971600000001</v>
      </c>
      <c r="R51" s="80">
        <f>2349.02395+3720.06055+1648.20003</f>
        <v>7717.2845299999999</v>
      </c>
      <c r="S51" s="80">
        <f>3086.34371+5274.76941+2179.27514</f>
        <v>10540.38826</v>
      </c>
      <c r="T51" s="80">
        <f>3762.50698+6644.77957+2682.83173</f>
        <v>13090.118280000001</v>
      </c>
      <c r="U51" s="80">
        <f>4589.12545+8366.24666+3388.26554</f>
        <v>16343.637650000001</v>
      </c>
      <c r="V51" s="80">
        <f>5135.0056+9431.83475+3920.76069</f>
        <v>18487.601040000001</v>
      </c>
      <c r="W51" s="80">
        <f>5745.24615+10709.14813+4467.34454</f>
        <v>20921.738819999999</v>
      </c>
      <c r="X51" s="80"/>
      <c r="Y51" s="80"/>
      <c r="Z51" s="80"/>
      <c r="AA51" s="80"/>
    </row>
    <row r="52" spans="1:28" s="8" customFormat="1" x14ac:dyDescent="0.2">
      <c r="A52" s="125" t="s">
        <v>40</v>
      </c>
      <c r="B52" s="126"/>
      <c r="C52" s="126"/>
      <c r="D52" s="127"/>
      <c r="E52" s="42" t="s">
        <v>6</v>
      </c>
      <c r="F52" s="37">
        <v>80</v>
      </c>
      <c r="G52" s="37">
        <v>70</v>
      </c>
      <c r="H52" s="37">
        <v>100</v>
      </c>
      <c r="I52" s="37">
        <v>200</v>
      </c>
      <c r="J52" s="37">
        <v>735</v>
      </c>
      <c r="K52" s="37">
        <v>900</v>
      </c>
      <c r="L52" s="65">
        <v>860</v>
      </c>
      <c r="M52" s="98">
        <v>860</v>
      </c>
      <c r="N52" s="98">
        <v>520</v>
      </c>
      <c r="O52" s="98">
        <v>1346.2</v>
      </c>
      <c r="P52" s="79">
        <f>P53/$O$52</f>
        <v>6.9276935076511656E-2</v>
      </c>
      <c r="Q52" s="79">
        <f t="shared" ref="Q52:AA52" si="28">Q53/$O$52</f>
        <v>0.10743615361759025</v>
      </c>
      <c r="R52" s="79">
        <f t="shared" si="28"/>
        <v>0.18056054078145892</v>
      </c>
      <c r="S52" s="79">
        <f t="shared" si="28"/>
        <v>0.25907114098945178</v>
      </c>
      <c r="T52" s="79">
        <f t="shared" si="28"/>
        <v>0.30359292824246026</v>
      </c>
      <c r="U52" s="79">
        <f t="shared" si="28"/>
        <v>0.37548061952161638</v>
      </c>
      <c r="V52" s="79">
        <f t="shared" si="28"/>
        <v>0.41136451493091664</v>
      </c>
      <c r="W52" s="79">
        <f t="shared" si="28"/>
        <v>0.50150534095973853</v>
      </c>
      <c r="X52" s="79">
        <f t="shared" si="28"/>
        <v>0</v>
      </c>
      <c r="Y52" s="79">
        <f t="shared" si="28"/>
        <v>0</v>
      </c>
      <c r="Z52" s="79">
        <f t="shared" si="28"/>
        <v>0</v>
      </c>
      <c r="AA52" s="79">
        <f t="shared" si="28"/>
        <v>0</v>
      </c>
    </row>
    <row r="53" spans="1:28" s="22" customFormat="1" ht="13.5" thickBot="1" x14ac:dyDescent="0.25">
      <c r="A53" s="128"/>
      <c r="B53" s="129"/>
      <c r="C53" s="129"/>
      <c r="D53" s="130"/>
      <c r="E53" s="43" t="s">
        <v>5</v>
      </c>
      <c r="F53" s="44">
        <v>37</v>
      </c>
      <c r="G53" s="44">
        <v>59</v>
      </c>
      <c r="H53" s="44">
        <v>524.37419999999997</v>
      </c>
      <c r="I53" s="44">
        <v>475</v>
      </c>
      <c r="J53" s="44">
        <v>655.05777999999998</v>
      </c>
      <c r="K53" s="44">
        <v>783</v>
      </c>
      <c r="L53" s="94">
        <v>919.90599999999995</v>
      </c>
      <c r="M53" s="94">
        <v>890.39522999999997</v>
      </c>
      <c r="N53" s="94">
        <v>883.84702000000004</v>
      </c>
      <c r="O53" s="94"/>
      <c r="P53" s="80">
        <v>93.26061</v>
      </c>
      <c r="Q53" s="80">
        <v>144.63055</v>
      </c>
      <c r="R53" s="80">
        <v>243.07060000000001</v>
      </c>
      <c r="S53" s="80">
        <v>348.76157000000001</v>
      </c>
      <c r="T53" s="80">
        <v>408.6968</v>
      </c>
      <c r="U53" s="80">
        <v>505.47201000000001</v>
      </c>
      <c r="V53" s="80">
        <v>553.77891</v>
      </c>
      <c r="W53" s="80">
        <v>675.12648999999999</v>
      </c>
      <c r="X53" s="80"/>
      <c r="Y53" s="80"/>
      <c r="Z53" s="80"/>
      <c r="AA53" s="80"/>
    </row>
    <row r="54" spans="1:28" s="8" customFormat="1" ht="14.25" hidden="1" thickTop="1" thickBot="1" x14ac:dyDescent="0.25">
      <c r="A54" s="5" t="s">
        <v>31</v>
      </c>
      <c r="B54" s="6"/>
      <c r="C54" s="6"/>
      <c r="D54" s="7"/>
      <c r="E54" s="14" t="s">
        <v>6</v>
      </c>
      <c r="F54" s="59"/>
      <c r="G54" s="59"/>
      <c r="H54" s="59"/>
      <c r="I54" s="59"/>
      <c r="J54" s="59"/>
      <c r="K54" s="59"/>
      <c r="L54" s="59"/>
      <c r="M54" s="101"/>
      <c r="N54" s="101"/>
      <c r="O54" s="101"/>
      <c r="P54" s="81" t="e">
        <f>P55/G54</f>
        <v>#DIV/0!</v>
      </c>
      <c r="Q54" s="81" t="e">
        <f>Q55/G54</f>
        <v>#DIV/0!</v>
      </c>
      <c r="R54" s="81" t="e">
        <f>R55/G54</f>
        <v>#DIV/0!</v>
      </c>
      <c r="S54" s="81" t="e">
        <f>S55/G54</f>
        <v>#DIV/0!</v>
      </c>
      <c r="T54" s="81" t="e">
        <f>T55/G54</f>
        <v>#DIV/0!</v>
      </c>
      <c r="U54" s="81" t="e">
        <f>U55/G54</f>
        <v>#DIV/0!</v>
      </c>
      <c r="V54" s="81" t="e">
        <f>V55/G54</f>
        <v>#DIV/0!</v>
      </c>
      <c r="W54" s="81" t="e">
        <f>W55/G54</f>
        <v>#DIV/0!</v>
      </c>
      <c r="X54" s="81" t="e">
        <f>X55/G54</f>
        <v>#DIV/0!</v>
      </c>
      <c r="Y54" s="81" t="e">
        <f>Y55/G54</f>
        <v>#DIV/0!</v>
      </c>
      <c r="Z54" s="81" t="e">
        <f>Z55/G54</f>
        <v>#DIV/0!</v>
      </c>
      <c r="AA54" s="81" t="e">
        <f>AA55/G54</f>
        <v>#DIV/0!</v>
      </c>
    </row>
    <row r="55" spans="1:28" s="8" customFormat="1" ht="13.5" hidden="1" thickBot="1" x14ac:dyDescent="0.25">
      <c r="A55" s="3"/>
      <c r="B55" s="4"/>
      <c r="C55" s="4"/>
      <c r="D55" s="15"/>
      <c r="E55" s="20" t="s">
        <v>5</v>
      </c>
      <c r="F55" s="60"/>
      <c r="G55" s="60"/>
      <c r="H55" s="60"/>
      <c r="I55" s="60"/>
      <c r="J55" s="60"/>
      <c r="K55" s="60"/>
      <c r="L55" s="60"/>
      <c r="M55" s="102"/>
      <c r="N55" s="102"/>
      <c r="O55" s="102"/>
      <c r="P55" s="82">
        <v>89</v>
      </c>
      <c r="Q55" s="82">
        <v>532</v>
      </c>
      <c r="R55" s="82">
        <v>935</v>
      </c>
      <c r="S55" s="82">
        <v>1342</v>
      </c>
      <c r="T55" s="82">
        <v>1778</v>
      </c>
      <c r="U55" s="82">
        <v>2014</v>
      </c>
      <c r="V55" s="82">
        <v>2120</v>
      </c>
      <c r="W55" s="82">
        <v>2102</v>
      </c>
      <c r="X55" s="82">
        <v>1343</v>
      </c>
      <c r="Y55" s="82">
        <v>1455</v>
      </c>
      <c r="Z55" s="82">
        <v>2463</v>
      </c>
      <c r="AA55" s="82">
        <v>9920</v>
      </c>
    </row>
    <row r="56" spans="1:28" s="8" customFormat="1" x14ac:dyDescent="0.2">
      <c r="A56" s="125" t="s">
        <v>47</v>
      </c>
      <c r="B56" s="126"/>
      <c r="C56" s="126"/>
      <c r="D56" s="127"/>
      <c r="E56" s="42" t="s">
        <v>6</v>
      </c>
      <c r="F56" s="37">
        <v>700</v>
      </c>
      <c r="G56" s="37">
        <v>500</v>
      </c>
      <c r="H56" s="37">
        <v>596</v>
      </c>
      <c r="I56" s="37">
        <v>670</v>
      </c>
      <c r="J56" s="37">
        <v>2690</v>
      </c>
      <c r="K56" s="37">
        <v>611</v>
      </c>
      <c r="L56" s="65">
        <v>480</v>
      </c>
      <c r="M56" s="98">
        <v>510</v>
      </c>
      <c r="N56" s="98">
        <v>850</v>
      </c>
      <c r="O56" s="98">
        <v>1000</v>
      </c>
      <c r="P56" s="79">
        <f>P57/$O$56</f>
        <v>2.067246E-2</v>
      </c>
      <c r="Q56" s="79">
        <f t="shared" ref="Q56:AA56" si="29">Q57/$O$56</f>
        <v>7.3165170000000002E-2</v>
      </c>
      <c r="R56" s="79">
        <f t="shared" si="29"/>
        <v>0.17451896</v>
      </c>
      <c r="S56" s="79">
        <f t="shared" si="29"/>
        <v>0.32035946999999998</v>
      </c>
      <c r="T56" s="79">
        <f t="shared" si="29"/>
        <v>0.48732059</v>
      </c>
      <c r="U56" s="79">
        <f t="shared" si="29"/>
        <v>0.61810112000000006</v>
      </c>
      <c r="V56" s="79">
        <f t="shared" si="29"/>
        <v>0.70384258</v>
      </c>
      <c r="W56" s="79">
        <f t="shared" si="29"/>
        <v>1.01081058</v>
      </c>
      <c r="X56" s="79">
        <f t="shared" si="29"/>
        <v>0</v>
      </c>
      <c r="Y56" s="79">
        <f t="shared" si="29"/>
        <v>0</v>
      </c>
      <c r="Z56" s="79">
        <f t="shared" si="29"/>
        <v>0</v>
      </c>
      <c r="AA56" s="79">
        <f t="shared" si="29"/>
        <v>0</v>
      </c>
    </row>
    <row r="57" spans="1:28" s="22" customFormat="1" ht="13.5" thickBot="1" x14ac:dyDescent="0.25">
      <c r="A57" s="128"/>
      <c r="B57" s="129"/>
      <c r="C57" s="129"/>
      <c r="D57" s="130"/>
      <c r="E57" s="43" t="s">
        <v>5</v>
      </c>
      <c r="F57" s="44">
        <v>557</v>
      </c>
      <c r="G57" s="44">
        <v>801</v>
      </c>
      <c r="H57" s="44">
        <v>451.4418</v>
      </c>
      <c r="I57" s="44">
        <v>443</v>
      </c>
      <c r="J57" s="44">
        <v>491.48545000000001</v>
      </c>
      <c r="K57" s="44">
        <v>333</v>
      </c>
      <c r="L57" s="94">
        <v>597.40899999999999</v>
      </c>
      <c r="M57" s="94">
        <v>973.03315999999995</v>
      </c>
      <c r="N57" s="94">
        <v>1171.3294699999999</v>
      </c>
      <c r="O57" s="94"/>
      <c r="P57" s="80">
        <v>20.672460000000001</v>
      </c>
      <c r="Q57" s="80">
        <v>73.165170000000003</v>
      </c>
      <c r="R57" s="80">
        <v>174.51895999999999</v>
      </c>
      <c r="S57" s="80">
        <v>320.35946999999999</v>
      </c>
      <c r="T57" s="80">
        <v>487.32058999999998</v>
      </c>
      <c r="U57" s="80">
        <v>618.10112000000004</v>
      </c>
      <c r="V57" s="80">
        <v>703.84258</v>
      </c>
      <c r="W57" s="80">
        <v>1010.81058</v>
      </c>
      <c r="X57" s="80"/>
      <c r="Y57" s="80"/>
      <c r="Z57" s="80"/>
      <c r="AA57" s="80"/>
    </row>
    <row r="58" spans="1:28" s="8" customFormat="1" x14ac:dyDescent="0.2">
      <c r="A58" s="125" t="s">
        <v>48</v>
      </c>
      <c r="B58" s="126"/>
      <c r="C58" s="126"/>
      <c r="D58" s="127"/>
      <c r="E58" s="42" t="s">
        <v>6</v>
      </c>
      <c r="F58" s="37">
        <v>350</v>
      </c>
      <c r="G58" s="37">
        <v>350</v>
      </c>
      <c r="H58" s="37">
        <v>80</v>
      </c>
      <c r="I58" s="37">
        <v>80</v>
      </c>
      <c r="J58" s="37">
        <v>90</v>
      </c>
      <c r="K58" s="37">
        <v>205</v>
      </c>
      <c r="L58" s="65">
        <v>205</v>
      </c>
      <c r="M58" s="98">
        <v>200</v>
      </c>
      <c r="N58" s="98">
        <v>250</v>
      </c>
      <c r="O58" s="98">
        <v>200</v>
      </c>
      <c r="P58" s="79">
        <f>P59/$O$58</f>
        <v>5.1422049999999997E-2</v>
      </c>
      <c r="Q58" s="79">
        <f t="shared" ref="Q58:AA58" si="30">Q59/$O$58</f>
        <v>0.18713425</v>
      </c>
      <c r="R58" s="79">
        <f t="shared" si="30"/>
        <v>0.35474069999999996</v>
      </c>
      <c r="S58" s="79">
        <f t="shared" si="30"/>
        <v>0.38492719999999997</v>
      </c>
      <c r="T58" s="79">
        <f t="shared" si="30"/>
        <v>0.43968024999999999</v>
      </c>
      <c r="U58" s="79">
        <f t="shared" si="30"/>
        <v>0.72861720000000008</v>
      </c>
      <c r="V58" s="79">
        <f t="shared" si="30"/>
        <v>0.72861720000000008</v>
      </c>
      <c r="W58" s="79">
        <f t="shared" si="30"/>
        <v>0.78247060000000002</v>
      </c>
      <c r="X58" s="79">
        <f t="shared" si="30"/>
        <v>0</v>
      </c>
      <c r="Y58" s="79">
        <f t="shared" si="30"/>
        <v>0</v>
      </c>
      <c r="Z58" s="79">
        <f t="shared" si="30"/>
        <v>0</v>
      </c>
      <c r="AA58" s="79">
        <f t="shared" si="30"/>
        <v>0</v>
      </c>
    </row>
    <row r="59" spans="1:28" s="22" customFormat="1" ht="13.5" thickBot="1" x14ac:dyDescent="0.25">
      <c r="A59" s="128"/>
      <c r="B59" s="129"/>
      <c r="C59" s="129"/>
      <c r="D59" s="130"/>
      <c r="E59" s="43" t="s">
        <v>5</v>
      </c>
      <c r="F59" s="44">
        <v>245</v>
      </c>
      <c r="G59" s="44">
        <v>159</v>
      </c>
      <c r="H59" s="44">
        <v>38.531100000000002</v>
      </c>
      <c r="I59" s="44">
        <v>107</v>
      </c>
      <c r="J59" s="44">
        <v>100.09638</v>
      </c>
      <c r="K59" s="44">
        <v>214</v>
      </c>
      <c r="L59" s="94">
        <v>151.19399999999999</v>
      </c>
      <c r="M59" s="94">
        <v>235.74321</v>
      </c>
      <c r="N59" s="94">
        <v>186.56073000000001</v>
      </c>
      <c r="O59" s="94"/>
      <c r="P59" s="80">
        <v>10.284409999999999</v>
      </c>
      <c r="Q59" s="80">
        <v>37.426850000000002</v>
      </c>
      <c r="R59" s="80">
        <v>70.948139999999995</v>
      </c>
      <c r="S59" s="80">
        <v>76.985439999999997</v>
      </c>
      <c r="T59" s="80">
        <v>87.936049999999994</v>
      </c>
      <c r="U59" s="80">
        <v>145.72344000000001</v>
      </c>
      <c r="V59" s="80">
        <v>145.72344000000001</v>
      </c>
      <c r="W59" s="80">
        <v>156.49412000000001</v>
      </c>
      <c r="X59" s="80"/>
      <c r="Y59" s="80"/>
      <c r="Z59" s="80"/>
      <c r="AA59" s="80"/>
    </row>
    <row r="60" spans="1:28" s="8" customFormat="1" x14ac:dyDescent="0.2">
      <c r="A60" s="125" t="s">
        <v>49</v>
      </c>
      <c r="B60" s="126"/>
      <c r="C60" s="126"/>
      <c r="D60" s="127"/>
      <c r="E60" s="42" t="s">
        <v>6</v>
      </c>
      <c r="F60" s="37">
        <v>3000</v>
      </c>
      <c r="G60" s="37">
        <v>13500</v>
      </c>
      <c r="H60" s="37">
        <v>6870</v>
      </c>
      <c r="I60" s="37">
        <v>7500</v>
      </c>
      <c r="J60" s="37">
        <v>8540</v>
      </c>
      <c r="K60" s="37">
        <v>30434</v>
      </c>
      <c r="L60" s="65">
        <v>9000</v>
      </c>
      <c r="M60" s="98">
        <v>13500</v>
      </c>
      <c r="N60" s="98">
        <v>12250</v>
      </c>
      <c r="O60" s="98">
        <v>13801.2</v>
      </c>
      <c r="P60" s="79">
        <f>P61/$O$60</f>
        <v>2.1859773063211893E-3</v>
      </c>
      <c r="Q60" s="79">
        <f t="shared" ref="Q60:AA60" si="31">Q61/$O$60</f>
        <v>9.7739022693678814E-3</v>
      </c>
      <c r="R60" s="79">
        <f t="shared" si="31"/>
        <v>5.9189049502941772E-2</v>
      </c>
      <c r="S60" s="79">
        <f t="shared" si="31"/>
        <v>9.1179557574703654E-2</v>
      </c>
      <c r="T60" s="79">
        <f t="shared" si="31"/>
        <v>0.34132696359736836</v>
      </c>
      <c r="U60" s="79">
        <f t="shared" si="31"/>
        <v>0.39733558096397409</v>
      </c>
      <c r="V60" s="79">
        <f t="shared" si="31"/>
        <v>0.44194172825551398</v>
      </c>
      <c r="W60" s="79">
        <f t="shared" si="31"/>
        <v>0.4959034460771527</v>
      </c>
      <c r="X60" s="79">
        <f t="shared" si="31"/>
        <v>0</v>
      </c>
      <c r="Y60" s="79">
        <f t="shared" si="31"/>
        <v>0</v>
      </c>
      <c r="Z60" s="79">
        <f t="shared" si="31"/>
        <v>0</v>
      </c>
      <c r="AA60" s="79">
        <f t="shared" si="31"/>
        <v>0</v>
      </c>
    </row>
    <row r="61" spans="1:28" s="22" customFormat="1" x14ac:dyDescent="0.2">
      <c r="A61" s="128"/>
      <c r="B61" s="129"/>
      <c r="C61" s="129"/>
      <c r="D61" s="130"/>
      <c r="E61" s="43" t="s">
        <v>5</v>
      </c>
      <c r="F61" s="44">
        <v>3801</v>
      </c>
      <c r="G61" s="44">
        <v>7527</v>
      </c>
      <c r="H61" s="44">
        <v>5672.8467000000001</v>
      </c>
      <c r="I61" s="44">
        <v>4322</v>
      </c>
      <c r="J61" s="44">
        <v>7109.32089</v>
      </c>
      <c r="K61" s="44">
        <v>11407</v>
      </c>
      <c r="L61" s="94">
        <v>5181.5320000000002</v>
      </c>
      <c r="M61" s="94">
        <v>8880.5187800000003</v>
      </c>
      <c r="N61" s="94">
        <v>10650.502339999999</v>
      </c>
      <c r="O61" s="94"/>
      <c r="P61" s="80">
        <v>30.16911</v>
      </c>
      <c r="Q61" s="80">
        <v>134.89158</v>
      </c>
      <c r="R61" s="80">
        <v>816.87991</v>
      </c>
      <c r="S61" s="80">
        <v>1258.3873100000001</v>
      </c>
      <c r="T61" s="80">
        <v>4710.7216900000003</v>
      </c>
      <c r="U61" s="80">
        <v>5483.7078199999996</v>
      </c>
      <c r="V61" s="80">
        <v>6099.32618</v>
      </c>
      <c r="W61" s="80">
        <v>6844.0626400000001</v>
      </c>
      <c r="X61" s="80"/>
      <c r="Y61" s="80"/>
      <c r="Z61" s="80"/>
      <c r="AA61" s="80"/>
    </row>
    <row r="62" spans="1:28" s="8" customFormat="1" x14ac:dyDescent="0.2">
      <c r="A62" s="125" t="s">
        <v>39</v>
      </c>
      <c r="B62" s="126"/>
      <c r="C62" s="126"/>
      <c r="D62" s="127"/>
      <c r="E62" s="42" t="s">
        <v>6</v>
      </c>
      <c r="F62" s="37">
        <v>1105</v>
      </c>
      <c r="G62" s="37">
        <v>5000</v>
      </c>
      <c r="H62" s="37">
        <v>2152</v>
      </c>
      <c r="I62" s="37">
        <v>2300</v>
      </c>
      <c r="J62" s="37">
        <v>2050</v>
      </c>
      <c r="K62" s="37">
        <v>1937</v>
      </c>
      <c r="L62" s="65">
        <v>1500</v>
      </c>
      <c r="M62" s="98">
        <v>1000</v>
      </c>
      <c r="N62" s="98">
        <v>900</v>
      </c>
      <c r="O62" s="98">
        <v>848</v>
      </c>
      <c r="P62" s="79">
        <f>P63/$O$62</f>
        <v>3.7969457547169808E-2</v>
      </c>
      <c r="Q62" s="79">
        <f t="shared" ref="Q62:AA62" si="32">Q63/$O$62</f>
        <v>0.17443371462264151</v>
      </c>
      <c r="R62" s="79">
        <f t="shared" si="32"/>
        <v>0.42092062500000005</v>
      </c>
      <c r="S62" s="79">
        <f t="shared" si="32"/>
        <v>0.46680299528301888</v>
      </c>
      <c r="T62" s="79">
        <f t="shared" si="32"/>
        <v>0.57986058962264153</v>
      </c>
      <c r="U62" s="79">
        <f t="shared" si="32"/>
        <v>0.65524310141509434</v>
      </c>
      <c r="V62" s="79">
        <f t="shared" si="32"/>
        <v>0.69013466981132077</v>
      </c>
      <c r="W62" s="79">
        <f t="shared" si="32"/>
        <v>0.8200157193396227</v>
      </c>
      <c r="X62" s="79">
        <f t="shared" si="32"/>
        <v>0</v>
      </c>
      <c r="Y62" s="79">
        <f t="shared" si="32"/>
        <v>0</v>
      </c>
      <c r="Z62" s="79">
        <f t="shared" si="32"/>
        <v>0</v>
      </c>
      <c r="AA62" s="79">
        <f t="shared" si="32"/>
        <v>0</v>
      </c>
    </row>
    <row r="63" spans="1:28" s="22" customFormat="1" ht="13.5" thickBot="1" x14ac:dyDescent="0.25">
      <c r="A63" s="128"/>
      <c r="B63" s="129"/>
      <c r="C63" s="129"/>
      <c r="D63" s="130"/>
      <c r="E63" s="43" t="s">
        <v>5</v>
      </c>
      <c r="F63" s="44">
        <v>660</v>
      </c>
      <c r="G63" s="44">
        <v>1300</v>
      </c>
      <c r="H63" s="44">
        <v>2289.3777</v>
      </c>
      <c r="I63" s="44">
        <v>1656</v>
      </c>
      <c r="J63" s="44">
        <v>1222.1398300000001</v>
      </c>
      <c r="K63" s="44">
        <v>1811</v>
      </c>
      <c r="L63" s="94">
        <v>739.40800000000002</v>
      </c>
      <c r="M63" s="94">
        <v>895.57737999999995</v>
      </c>
      <c r="N63" s="94">
        <v>523.29483000000005</v>
      </c>
      <c r="O63" s="94"/>
      <c r="P63" s="80">
        <v>32.198099999999997</v>
      </c>
      <c r="Q63" s="80">
        <v>147.91979000000001</v>
      </c>
      <c r="R63" s="80">
        <v>356.94069000000002</v>
      </c>
      <c r="S63" s="80">
        <v>395.84894000000003</v>
      </c>
      <c r="T63" s="80">
        <v>491.72178000000002</v>
      </c>
      <c r="U63" s="80">
        <v>555.64615000000003</v>
      </c>
      <c r="V63" s="80">
        <v>585.23419999999999</v>
      </c>
      <c r="W63" s="80">
        <v>695.37333000000001</v>
      </c>
      <c r="X63" s="80"/>
      <c r="Y63" s="80"/>
      <c r="Z63" s="80"/>
      <c r="AA63" s="80"/>
    </row>
    <row r="64" spans="1:28" s="8" customFormat="1" x14ac:dyDescent="0.2">
      <c r="A64" s="143" t="s">
        <v>41</v>
      </c>
      <c r="B64" s="144"/>
      <c r="C64" s="144"/>
      <c r="D64" s="145"/>
      <c r="E64" s="25" t="s">
        <v>6</v>
      </c>
      <c r="F64" s="38" t="e">
        <f>#REF!+F36+F30+F32+F34+#REF!+F38+F62+F60+F52+F42+F44+F46+F50+F48+#REF!</f>
        <v>#REF!</v>
      </c>
      <c r="G64" s="38" t="e">
        <f>#REF!+G36+G30+G32+G34+#REF!+G38+G62+G60+G52+G42+G44+G46+G50+G48+#REF!</f>
        <v>#REF!</v>
      </c>
      <c r="H64" s="38" t="e">
        <f>#REF!+H36+H30+H32+H34+#REF!+H38+H62+H60+H52+H42+H44+H46+H50+H48+#REF!</f>
        <v>#REF!</v>
      </c>
      <c r="I64" s="38" t="e">
        <f>#REF!+I36+I30+I32+I34+#REF!+I38+I62+I60+I52+I42+I44+I46+I50+I48+#REF!</f>
        <v>#REF!</v>
      </c>
      <c r="J64" s="38">
        <f>+J36+J30+J32+J34+J38+J62+J60+J52+J42+J44+J46+J50+J48+J40+J56+J58</f>
        <v>62220</v>
      </c>
      <c r="K64" s="38">
        <f t="shared" ref="K64:O64" si="33">+K36+K30+K32+K34+K38+K62+K60+K52+K42+K44+K46+K50+K48+K40+K56+K58</f>
        <v>85512</v>
      </c>
      <c r="L64" s="38">
        <f t="shared" si="33"/>
        <v>65046</v>
      </c>
      <c r="M64" s="38">
        <f t="shared" si="33"/>
        <v>65852.706000000006</v>
      </c>
      <c r="N64" s="38">
        <f t="shared" si="33"/>
        <v>84480.36</v>
      </c>
      <c r="O64" s="38">
        <f t="shared" si="33"/>
        <v>93696.659999999989</v>
      </c>
      <c r="P64" s="78">
        <f>P65/$O$64</f>
        <v>5.0127876063031492E-2</v>
      </c>
      <c r="Q64" s="78">
        <f t="shared" ref="Q64:AA64" si="34">Q65/$O$64</f>
        <v>9.6861398367882059E-2</v>
      </c>
      <c r="R64" s="78">
        <f t="shared" si="34"/>
        <v>0.16296551040346585</v>
      </c>
      <c r="S64" s="78">
        <f t="shared" si="34"/>
        <v>0.22376920980961329</v>
      </c>
      <c r="T64" s="78">
        <f t="shared" si="34"/>
        <v>0.31386105577295925</v>
      </c>
      <c r="U64" s="78">
        <f t="shared" si="34"/>
        <v>0.38485033436624105</v>
      </c>
      <c r="V64" s="78">
        <f t="shared" si="34"/>
        <v>0.44216172967104705</v>
      </c>
      <c r="W64" s="78">
        <f t="shared" si="34"/>
        <v>0.50860036046108803</v>
      </c>
      <c r="X64" s="78">
        <f t="shared" si="34"/>
        <v>0</v>
      </c>
      <c r="Y64" s="78">
        <f t="shared" si="34"/>
        <v>0</v>
      </c>
      <c r="Z64" s="78">
        <f t="shared" si="34"/>
        <v>0</v>
      </c>
      <c r="AA64" s="78">
        <f t="shared" si="34"/>
        <v>0</v>
      </c>
      <c r="AB64" s="103"/>
    </row>
    <row r="65" spans="1:81" s="22" customFormat="1" ht="13.5" thickBot="1" x14ac:dyDescent="0.25">
      <c r="A65" s="118"/>
      <c r="B65" s="119"/>
      <c r="C65" s="119"/>
      <c r="D65" s="120"/>
      <c r="E65" s="40" t="s">
        <v>5</v>
      </c>
      <c r="F65" s="46" t="e">
        <f>#REF!+F37+F31+F33+F35+#REF!+F39+F63+F61+F53+F57+F59+F41+F43+F45+F47+F51+F49+#REF!</f>
        <v>#REF!</v>
      </c>
      <c r="G65" s="46" t="e">
        <f>#REF!+G37+G31+G33+G35+#REF!+G39+G63+G61+G53+G57+G59+G41+G43+G45+G47+G51+G49+#REF!</f>
        <v>#REF!</v>
      </c>
      <c r="H65" s="46" t="e">
        <f>#REF!+H37+H31+H33+H35+#REF!+H39+H63+H61+H53+H57+H59+H41+H43+H45+H47+H51+H49+#REF!</f>
        <v>#REF!</v>
      </c>
      <c r="I65" s="46" t="e">
        <f>#REF!+I37+I31+I33+I35+#REF!+I39+I63+I61+I53+I57+I59+I41+I43+I45+I47+I51+I49+#REF!</f>
        <v>#REF!</v>
      </c>
      <c r="J65" s="46">
        <f>+J37+J31+J33+J35+J39+J63+J61+J53+J57+J59+J41+J43+J45+J47+J51+J49</f>
        <v>59906.165260000002</v>
      </c>
      <c r="K65" s="46">
        <f t="shared" ref="K65:O65" si="35">+K37+K31+K33+K35+K39+K63+K61+K53+K57+K59+K41+K43+K45+K47+K51+K49</f>
        <v>66485.198000000004</v>
      </c>
      <c r="L65" s="46">
        <f t="shared" si="35"/>
        <v>57975.162999999993</v>
      </c>
      <c r="M65" s="46">
        <f t="shared" si="35"/>
        <v>80776.955140000005</v>
      </c>
      <c r="N65" s="46">
        <f t="shared" si="35"/>
        <v>87952.993999999977</v>
      </c>
      <c r="O65" s="46">
        <f t="shared" si="35"/>
        <v>0</v>
      </c>
      <c r="P65" s="35">
        <f>+P37+P31+P33+P35+P39+P63+P61+P53+P57+P59+P41+P43+P45+P47+P51+P49</f>
        <v>4696.8145599999998</v>
      </c>
      <c r="Q65" s="35">
        <f t="shared" ref="Q65:AA65" si="36">+Q37+Q31+Q33+Q35+Q39+Q63+Q61+Q53+Q57+Q59+Q41+Q43+Q45+Q47+Q51+Q49</f>
        <v>9075.5895099999998</v>
      </c>
      <c r="R65" s="35">
        <f t="shared" si="36"/>
        <v>15269.32402</v>
      </c>
      <c r="S65" s="35">
        <f t="shared" si="36"/>
        <v>20966.42757</v>
      </c>
      <c r="T65" s="35">
        <f t="shared" si="36"/>
        <v>29407.732629999999</v>
      </c>
      <c r="U65" s="35">
        <f t="shared" si="36"/>
        <v>36059.190929999997</v>
      </c>
      <c r="V65" s="35">
        <f t="shared" si="36"/>
        <v>41429.077250000002</v>
      </c>
      <c r="W65" s="35">
        <f t="shared" si="36"/>
        <v>47654.155050000001</v>
      </c>
      <c r="X65" s="35">
        <f t="shared" si="36"/>
        <v>0</v>
      </c>
      <c r="Y65" s="35">
        <f t="shared" si="36"/>
        <v>0</v>
      </c>
      <c r="Z65" s="35">
        <f t="shared" si="36"/>
        <v>0</v>
      </c>
      <c r="AA65" s="35">
        <f t="shared" si="36"/>
        <v>0</v>
      </c>
    </row>
    <row r="66" spans="1:81" s="8" customFormat="1" ht="13.5" thickBot="1" x14ac:dyDescent="0.25">
      <c r="A66" s="9"/>
      <c r="B66" s="9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1"/>
      <c r="AC66" s="1"/>
      <c r="AD66" s="1"/>
      <c r="AE66" s="1"/>
      <c r="AF66" s="1"/>
      <c r="AG66" s="1"/>
      <c r="AH66" s="1"/>
      <c r="AI66" s="1"/>
    </row>
    <row r="67" spans="1:81" s="1" customFormat="1" x14ac:dyDescent="0.2">
      <c r="A67" s="137" t="s">
        <v>42</v>
      </c>
      <c r="B67" s="138"/>
      <c r="C67" s="138"/>
      <c r="D67" s="139"/>
      <c r="E67" s="49" t="s">
        <v>6</v>
      </c>
      <c r="F67" s="37">
        <v>38500</v>
      </c>
      <c r="G67" s="37">
        <v>40000</v>
      </c>
      <c r="H67" s="37">
        <v>40500</v>
      </c>
      <c r="I67" s="37">
        <v>39871</v>
      </c>
      <c r="J67" s="37">
        <v>41100</v>
      </c>
      <c r="K67" s="37">
        <v>46750</v>
      </c>
      <c r="L67" s="65">
        <v>49000</v>
      </c>
      <c r="M67" s="65">
        <v>55700</v>
      </c>
      <c r="N67" s="65">
        <v>60000</v>
      </c>
      <c r="O67" s="65">
        <v>65000</v>
      </c>
      <c r="P67" s="83">
        <f>P68/$O$67</f>
        <v>7.9419896000000004E-2</v>
      </c>
      <c r="Q67" s="83">
        <f t="shared" ref="Q67:AA67" si="37">Q68/$O$67</f>
        <v>0.15869049123076923</v>
      </c>
      <c r="R67" s="83">
        <f t="shared" si="37"/>
        <v>0.23765331769230769</v>
      </c>
      <c r="S67" s="83">
        <f t="shared" si="37"/>
        <v>0.3166264046153846</v>
      </c>
      <c r="T67" s="83">
        <f t="shared" si="37"/>
        <v>0.39558542092307697</v>
      </c>
      <c r="U67" s="83">
        <f t="shared" si="37"/>
        <v>0.47415954800000004</v>
      </c>
      <c r="V67" s="83">
        <f t="shared" si="37"/>
        <v>0.54918159476923079</v>
      </c>
      <c r="W67" s="83">
        <f t="shared" si="37"/>
        <v>0.62643609338461537</v>
      </c>
      <c r="X67" s="83">
        <f t="shared" si="37"/>
        <v>0</v>
      </c>
      <c r="Y67" s="83">
        <f t="shared" si="37"/>
        <v>0</v>
      </c>
      <c r="Z67" s="83">
        <f t="shared" si="37"/>
        <v>0</v>
      </c>
      <c r="AA67" s="83">
        <f t="shared" si="37"/>
        <v>0</v>
      </c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</row>
    <row r="68" spans="1:81" s="48" customFormat="1" ht="13.5" thickBot="1" x14ac:dyDescent="0.25">
      <c r="A68" s="146"/>
      <c r="B68" s="147"/>
      <c r="C68" s="147"/>
      <c r="D68" s="148"/>
      <c r="E68" s="50" t="s">
        <v>5</v>
      </c>
      <c r="F68" s="44">
        <v>39846</v>
      </c>
      <c r="G68" s="44">
        <v>37693</v>
      </c>
      <c r="H68" s="44">
        <v>38797.184000000001</v>
      </c>
      <c r="I68" s="44">
        <v>39556</v>
      </c>
      <c r="J68" s="44">
        <v>40931.802000000003</v>
      </c>
      <c r="K68" s="44">
        <v>44541</v>
      </c>
      <c r="L68" s="94">
        <v>47797.521999999997</v>
      </c>
      <c r="M68" s="94">
        <v>53670.366309999998</v>
      </c>
      <c r="N68" s="94">
        <v>57929.631970000002</v>
      </c>
      <c r="O68" s="94"/>
      <c r="P68" s="84">
        <v>5162.29324</v>
      </c>
      <c r="Q68" s="84">
        <v>10314.88193</v>
      </c>
      <c r="R68" s="84">
        <v>15447.46565</v>
      </c>
      <c r="S68" s="84">
        <v>20580.7163</v>
      </c>
      <c r="T68" s="84">
        <v>25713.052360000001</v>
      </c>
      <c r="U68" s="84">
        <v>30820.370620000002</v>
      </c>
      <c r="V68" s="84">
        <v>35696.803659999998</v>
      </c>
      <c r="W68" s="84">
        <v>40718.34607</v>
      </c>
      <c r="X68" s="84"/>
      <c r="Y68" s="84"/>
      <c r="Z68" s="84"/>
      <c r="AA68" s="84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</row>
    <row r="69" spans="1:81" s="1" customFormat="1" x14ac:dyDescent="0.2">
      <c r="A69" s="137" t="s">
        <v>58</v>
      </c>
      <c r="B69" s="138"/>
      <c r="C69" s="138"/>
      <c r="D69" s="139"/>
      <c r="E69" s="49" t="s">
        <v>6</v>
      </c>
      <c r="F69" s="37">
        <v>0</v>
      </c>
      <c r="G69" s="37">
        <v>0</v>
      </c>
      <c r="H69" s="37">
        <v>0</v>
      </c>
      <c r="I69" s="37">
        <v>1500</v>
      </c>
      <c r="J69" s="37">
        <v>2100</v>
      </c>
      <c r="K69" s="37">
        <v>1300</v>
      </c>
      <c r="L69" s="98">
        <v>1500</v>
      </c>
      <c r="M69" s="98">
        <v>2200</v>
      </c>
      <c r="N69" s="98">
        <v>2800</v>
      </c>
      <c r="O69" s="98">
        <v>4000</v>
      </c>
      <c r="P69" s="83">
        <f>P70/$O$69</f>
        <v>0.15754895999999999</v>
      </c>
      <c r="Q69" s="83">
        <f t="shared" ref="Q69:AA69" si="38">Q70/$O$69</f>
        <v>0.2954578175</v>
      </c>
      <c r="R69" s="83">
        <f t="shared" si="38"/>
        <v>0.4499646625</v>
      </c>
      <c r="S69" s="83">
        <f t="shared" si="38"/>
        <v>0.58953443249999993</v>
      </c>
      <c r="T69" s="83">
        <f t="shared" si="38"/>
        <v>0.70357670250000004</v>
      </c>
      <c r="U69" s="83">
        <f t="shared" si="38"/>
        <v>0.81505065499999996</v>
      </c>
      <c r="V69" s="83">
        <f t="shared" si="38"/>
        <v>0.92091797250000007</v>
      </c>
      <c r="W69" s="83">
        <f t="shared" si="38"/>
        <v>1.0396041625000001</v>
      </c>
      <c r="X69" s="83">
        <f t="shared" si="38"/>
        <v>0</v>
      </c>
      <c r="Y69" s="83">
        <f t="shared" si="38"/>
        <v>0</v>
      </c>
      <c r="Z69" s="83">
        <f t="shared" si="38"/>
        <v>0</v>
      </c>
      <c r="AA69" s="83">
        <f t="shared" si="38"/>
        <v>0</v>
      </c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</row>
    <row r="70" spans="1:81" s="48" customFormat="1" ht="13.5" thickBot="1" x14ac:dyDescent="0.25">
      <c r="A70" s="140"/>
      <c r="B70" s="141"/>
      <c r="C70" s="141"/>
      <c r="D70" s="142"/>
      <c r="E70" s="51" t="s">
        <v>5</v>
      </c>
      <c r="F70" s="45">
        <v>0</v>
      </c>
      <c r="G70" s="45">
        <v>0</v>
      </c>
      <c r="H70" s="45">
        <v>0</v>
      </c>
      <c r="I70" s="45">
        <v>1537.3869999999999</v>
      </c>
      <c r="J70" s="45">
        <v>1306.1559999999999</v>
      </c>
      <c r="K70" s="45">
        <v>2720</v>
      </c>
      <c r="L70" s="97">
        <v>3594.299</v>
      </c>
      <c r="M70" s="97">
        <v>3531.6731599999998</v>
      </c>
      <c r="N70" s="97">
        <v>5707.6125499999998</v>
      </c>
      <c r="O70" s="97"/>
      <c r="P70" s="85">
        <v>630.19583999999998</v>
      </c>
      <c r="Q70" s="85">
        <v>1181.8312699999999</v>
      </c>
      <c r="R70" s="85">
        <v>1799.8586499999999</v>
      </c>
      <c r="S70" s="85">
        <v>2358.1377299999999</v>
      </c>
      <c r="T70" s="85">
        <v>2814.30681</v>
      </c>
      <c r="U70" s="85">
        <v>3260.20262</v>
      </c>
      <c r="V70" s="85">
        <v>3683.6718900000001</v>
      </c>
      <c r="W70" s="85">
        <v>4158.4166500000001</v>
      </c>
      <c r="X70" s="85"/>
      <c r="Y70" s="85"/>
      <c r="Z70" s="85"/>
      <c r="AA70" s="85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</row>
    <row r="71" spans="1:81" s="1" customFormat="1" x14ac:dyDescent="0.2">
      <c r="A71" s="137" t="s">
        <v>55</v>
      </c>
      <c r="B71" s="138"/>
      <c r="C71" s="138"/>
      <c r="D71" s="139"/>
      <c r="E71" s="49" t="s">
        <v>6</v>
      </c>
      <c r="F71" s="37">
        <v>670</v>
      </c>
      <c r="G71" s="37">
        <v>550</v>
      </c>
      <c r="H71" s="37">
        <v>600</v>
      </c>
      <c r="I71" s="37">
        <v>600</v>
      </c>
      <c r="J71" s="37">
        <v>600</v>
      </c>
      <c r="K71" s="37">
        <v>600</v>
      </c>
      <c r="L71" s="98">
        <v>50</v>
      </c>
      <c r="M71" s="98">
        <v>0</v>
      </c>
      <c r="N71" s="98">
        <v>0</v>
      </c>
      <c r="O71" s="98">
        <v>0</v>
      </c>
      <c r="P71" s="83">
        <f>IF(O71,+P71/O71,0)</f>
        <v>0</v>
      </c>
      <c r="Q71" s="83">
        <f t="shared" ref="Q71:AA71" si="39">IF(P71,+Q71/P71,0)</f>
        <v>0</v>
      </c>
      <c r="R71" s="83">
        <f t="shared" si="39"/>
        <v>0</v>
      </c>
      <c r="S71" s="83">
        <f t="shared" si="39"/>
        <v>0</v>
      </c>
      <c r="T71" s="83">
        <f t="shared" si="39"/>
        <v>0</v>
      </c>
      <c r="U71" s="83">
        <f t="shared" si="39"/>
        <v>0</v>
      </c>
      <c r="V71" s="83">
        <f t="shared" si="39"/>
        <v>0</v>
      </c>
      <c r="W71" s="83">
        <f t="shared" si="39"/>
        <v>0</v>
      </c>
      <c r="X71" s="83">
        <f t="shared" si="39"/>
        <v>0</v>
      </c>
      <c r="Y71" s="83">
        <f t="shared" si="39"/>
        <v>0</v>
      </c>
      <c r="Z71" s="83">
        <f t="shared" si="39"/>
        <v>0</v>
      </c>
      <c r="AA71" s="83">
        <f t="shared" si="39"/>
        <v>0</v>
      </c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</row>
    <row r="72" spans="1:81" s="48" customFormat="1" ht="13.5" thickBot="1" x14ac:dyDescent="0.25">
      <c r="A72" s="140"/>
      <c r="B72" s="141"/>
      <c r="C72" s="141"/>
      <c r="D72" s="142"/>
      <c r="E72" s="51" t="s">
        <v>5</v>
      </c>
      <c r="F72" s="45">
        <v>570</v>
      </c>
      <c r="G72" s="45">
        <v>524</v>
      </c>
      <c r="H72" s="45">
        <v>663.31399999999996</v>
      </c>
      <c r="I72" s="45">
        <v>620</v>
      </c>
      <c r="J72" s="45">
        <v>414.05</v>
      </c>
      <c r="K72" s="45">
        <v>38</v>
      </c>
      <c r="L72" s="97">
        <v>0</v>
      </c>
      <c r="M72" s="97">
        <v>0</v>
      </c>
      <c r="N72" s="97">
        <v>0</v>
      </c>
      <c r="O72" s="97"/>
      <c r="P72" s="85">
        <v>0</v>
      </c>
      <c r="Q72" s="85">
        <v>0</v>
      </c>
      <c r="R72" s="85">
        <v>0</v>
      </c>
      <c r="S72" s="85">
        <v>0</v>
      </c>
      <c r="T72" s="85">
        <v>0</v>
      </c>
      <c r="U72" s="85">
        <v>0</v>
      </c>
      <c r="V72" s="85">
        <v>0</v>
      </c>
      <c r="W72" s="85">
        <v>0</v>
      </c>
      <c r="X72" s="85">
        <v>0</v>
      </c>
      <c r="Y72" s="85">
        <v>0</v>
      </c>
      <c r="Z72" s="85">
        <v>0</v>
      </c>
      <c r="AA72" s="85">
        <v>0</v>
      </c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</row>
    <row r="73" spans="1:81" s="1" customFormat="1" x14ac:dyDescent="0.2">
      <c r="A73" s="137" t="s">
        <v>54</v>
      </c>
      <c r="B73" s="138"/>
      <c r="C73" s="138"/>
      <c r="D73" s="139"/>
      <c r="E73" s="49" t="s">
        <v>6</v>
      </c>
      <c r="F73" s="37">
        <v>5800</v>
      </c>
      <c r="G73" s="37">
        <v>5900</v>
      </c>
      <c r="H73" s="37">
        <v>746</v>
      </c>
      <c r="I73" s="37">
        <v>350</v>
      </c>
      <c r="J73" s="37">
        <v>330</v>
      </c>
      <c r="K73" s="37">
        <v>330</v>
      </c>
      <c r="L73" s="98">
        <v>1830</v>
      </c>
      <c r="M73" s="98">
        <v>1830</v>
      </c>
      <c r="N73" s="98">
        <v>830</v>
      </c>
      <c r="O73" s="98">
        <v>84.8</v>
      </c>
      <c r="P73" s="83">
        <f>P74/$O$73</f>
        <v>7.41314858490566E-2</v>
      </c>
      <c r="Q73" s="83">
        <f t="shared" ref="Q73:AA73" si="40">Q74/$O$73</f>
        <v>0.14332087264150944</v>
      </c>
      <c r="R73" s="83">
        <f t="shared" si="40"/>
        <v>0.49290860849056606</v>
      </c>
      <c r="S73" s="83">
        <f t="shared" si="40"/>
        <v>0.38901379716981138</v>
      </c>
      <c r="T73" s="83">
        <f t="shared" si="40"/>
        <v>0.54998502358490575</v>
      </c>
      <c r="U73" s="83">
        <f t="shared" si="40"/>
        <v>0.66859540094339631</v>
      </c>
      <c r="V73" s="83">
        <f t="shared" si="40"/>
        <v>0.76178926886792453</v>
      </c>
      <c r="W73" s="83">
        <f t="shared" si="40"/>
        <v>0.86345530660377368</v>
      </c>
      <c r="X73" s="83">
        <f t="shared" si="40"/>
        <v>0</v>
      </c>
      <c r="Y73" s="83">
        <f t="shared" si="40"/>
        <v>0</v>
      </c>
      <c r="Z73" s="83">
        <f t="shared" si="40"/>
        <v>0</v>
      </c>
      <c r="AA73" s="83">
        <f t="shared" si="40"/>
        <v>0</v>
      </c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</row>
    <row r="74" spans="1:81" s="48" customFormat="1" ht="13.5" thickBot="1" x14ac:dyDescent="0.25">
      <c r="A74" s="146"/>
      <c r="B74" s="147"/>
      <c r="C74" s="147"/>
      <c r="D74" s="148"/>
      <c r="E74" s="50" t="s">
        <v>5</v>
      </c>
      <c r="F74" s="44">
        <v>5851</v>
      </c>
      <c r="G74" s="44">
        <v>5864</v>
      </c>
      <c r="H74" s="44">
        <v>1250.0707</v>
      </c>
      <c r="I74" s="44">
        <v>313</v>
      </c>
      <c r="J74" s="44">
        <v>315.142</v>
      </c>
      <c r="K74" s="44">
        <v>324</v>
      </c>
      <c r="L74" s="94">
        <v>336.74400000000003</v>
      </c>
      <c r="M74" s="94">
        <v>284.28949999999998</v>
      </c>
      <c r="N74" s="94">
        <v>72.647959999999998</v>
      </c>
      <c r="O74" s="94"/>
      <c r="P74" s="84">
        <v>6.2863499999999997</v>
      </c>
      <c r="Q74" s="84">
        <v>12.15361</v>
      </c>
      <c r="R74" s="84">
        <v>41.798650000000002</v>
      </c>
      <c r="S74" s="84">
        <v>32.988370000000003</v>
      </c>
      <c r="T74" s="84">
        <v>46.638730000000002</v>
      </c>
      <c r="U74" s="84">
        <v>56.696890000000003</v>
      </c>
      <c r="V74" s="84">
        <v>64.599729999999994</v>
      </c>
      <c r="W74" s="84">
        <v>73.221010000000007</v>
      </c>
      <c r="X74" s="84"/>
      <c r="Y74" s="84"/>
      <c r="Z74" s="84"/>
      <c r="AA74" s="84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</row>
    <row r="75" spans="1:81" s="8" customFormat="1" x14ac:dyDescent="0.2">
      <c r="A75" s="143" t="s">
        <v>43</v>
      </c>
      <c r="B75" s="144"/>
      <c r="C75" s="144"/>
      <c r="D75" s="149"/>
      <c r="E75" s="25" t="s">
        <v>6</v>
      </c>
      <c r="F75" s="38">
        <f t="shared" ref="F75:O76" si="41">F67+F73+F71+F69</f>
        <v>44970</v>
      </c>
      <c r="G75" s="38">
        <f t="shared" si="41"/>
        <v>46450</v>
      </c>
      <c r="H75" s="38">
        <f t="shared" si="41"/>
        <v>41846</v>
      </c>
      <c r="I75" s="38">
        <f t="shared" si="41"/>
        <v>42321</v>
      </c>
      <c r="J75" s="38">
        <f t="shared" si="41"/>
        <v>44130</v>
      </c>
      <c r="K75" s="38">
        <f t="shared" si="41"/>
        <v>48980</v>
      </c>
      <c r="L75" s="66">
        <f t="shared" si="41"/>
        <v>52380</v>
      </c>
      <c r="M75" s="66">
        <f t="shared" si="41"/>
        <v>59730</v>
      </c>
      <c r="N75" s="66">
        <f t="shared" si="41"/>
        <v>63630</v>
      </c>
      <c r="O75" s="66">
        <f t="shared" si="41"/>
        <v>69084.800000000003</v>
      </c>
      <c r="P75" s="78">
        <f>P76/$O$75</f>
        <v>8.393706618532587E-2</v>
      </c>
      <c r="Q75" s="78">
        <f t="shared" ref="Q75:AA75" si="42">Q76/$O$75</f>
        <v>0.16659043393047385</v>
      </c>
      <c r="R75" s="78">
        <f t="shared" si="42"/>
        <v>0.25025943405785356</v>
      </c>
      <c r="S75" s="78">
        <f t="shared" si="42"/>
        <v>0.3325165940988466</v>
      </c>
      <c r="T75" s="78">
        <f t="shared" si="42"/>
        <v>0.41360759385566725</v>
      </c>
      <c r="U75" s="78">
        <f t="shared" si="42"/>
        <v>0.49413575967506607</v>
      </c>
      <c r="V75" s="78">
        <f t="shared" si="42"/>
        <v>0.57096604868219925</v>
      </c>
      <c r="W75" s="78">
        <f t="shared" si="42"/>
        <v>0.6506494008812358</v>
      </c>
      <c r="X75" s="78">
        <f t="shared" si="42"/>
        <v>0</v>
      </c>
      <c r="Y75" s="78">
        <f t="shared" si="42"/>
        <v>0</v>
      </c>
      <c r="Z75" s="78">
        <f t="shared" si="42"/>
        <v>0</v>
      </c>
      <c r="AA75" s="78">
        <f t="shared" si="42"/>
        <v>0</v>
      </c>
    </row>
    <row r="76" spans="1:81" s="22" customFormat="1" ht="13.5" thickBot="1" x14ac:dyDescent="0.25">
      <c r="A76" s="118"/>
      <c r="B76" s="119"/>
      <c r="C76" s="119"/>
      <c r="D76" s="150"/>
      <c r="E76" s="40" t="s">
        <v>5</v>
      </c>
      <c r="F76" s="39">
        <f t="shared" si="41"/>
        <v>46267</v>
      </c>
      <c r="G76" s="39">
        <f t="shared" si="41"/>
        <v>44081</v>
      </c>
      <c r="H76" s="39">
        <f t="shared" si="41"/>
        <v>40710.568699999996</v>
      </c>
      <c r="I76" s="39">
        <f t="shared" si="41"/>
        <v>42026.387000000002</v>
      </c>
      <c r="J76" s="39">
        <f t="shared" si="41"/>
        <v>42967.150000000009</v>
      </c>
      <c r="K76" s="39">
        <f t="shared" si="41"/>
        <v>47623</v>
      </c>
      <c r="L76" s="67">
        <f t="shared" si="41"/>
        <v>51728.564999999995</v>
      </c>
      <c r="M76" s="67">
        <f t="shared" si="41"/>
        <v>57486.328969999995</v>
      </c>
      <c r="N76" s="67">
        <f t="shared" si="41"/>
        <v>63709.892480000002</v>
      </c>
      <c r="O76" s="67">
        <f t="shared" si="41"/>
        <v>0</v>
      </c>
      <c r="P76" s="35">
        <f t="shared" ref="P76:AA76" si="43">P68+P74+P72+P70</f>
        <v>5798.7754300000006</v>
      </c>
      <c r="Q76" s="35">
        <f t="shared" si="43"/>
        <v>11508.86681</v>
      </c>
      <c r="R76" s="35">
        <f t="shared" si="43"/>
        <v>17289.122950000001</v>
      </c>
      <c r="S76" s="35">
        <f>S68+S74+S72+S70</f>
        <v>22971.842399999998</v>
      </c>
      <c r="T76" s="35">
        <f t="shared" si="43"/>
        <v>28573.997900000002</v>
      </c>
      <c r="U76" s="35">
        <f t="shared" si="43"/>
        <v>34137.270130000004</v>
      </c>
      <c r="V76" s="35">
        <f t="shared" si="43"/>
        <v>39445.075279999997</v>
      </c>
      <c r="W76" s="35">
        <f t="shared" si="43"/>
        <v>44949.98373</v>
      </c>
      <c r="X76" s="35">
        <f t="shared" si="43"/>
        <v>0</v>
      </c>
      <c r="Y76" s="35">
        <f t="shared" si="43"/>
        <v>0</v>
      </c>
      <c r="Z76" s="35">
        <f t="shared" si="43"/>
        <v>0</v>
      </c>
      <c r="AA76" s="35">
        <f t="shared" si="43"/>
        <v>0</v>
      </c>
    </row>
    <row r="77" spans="1:81" s="8" customFormat="1" ht="13.5" thickBot="1" x14ac:dyDescent="0.25">
      <c r="A77" s="1"/>
      <c r="B77" s="1"/>
      <c r="C77" s="1"/>
      <c r="D77" s="1"/>
      <c r="E77" s="1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81" s="8" customFormat="1" x14ac:dyDescent="0.2">
      <c r="A78" s="151" t="s">
        <v>10</v>
      </c>
      <c r="B78" s="152"/>
      <c r="C78" s="152"/>
      <c r="D78" s="153"/>
      <c r="E78" s="53" t="s">
        <v>6</v>
      </c>
      <c r="F78" s="37">
        <v>1450</v>
      </c>
      <c r="G78" s="37">
        <v>1400</v>
      </c>
      <c r="H78" s="37">
        <v>1400</v>
      </c>
      <c r="I78" s="37">
        <v>1200</v>
      </c>
      <c r="J78" s="37">
        <v>1200</v>
      </c>
      <c r="K78" s="37">
        <v>1250</v>
      </c>
      <c r="L78" s="65">
        <v>1200</v>
      </c>
      <c r="M78" s="65">
        <v>0</v>
      </c>
      <c r="N78" s="65">
        <v>0</v>
      </c>
      <c r="O78" s="65">
        <v>0</v>
      </c>
      <c r="P78" s="86">
        <f>IF(O78,+P78/O78,0)</f>
        <v>0</v>
      </c>
      <c r="Q78" s="86">
        <f t="shared" ref="Q78:AA78" si="44">IF(P78,+Q78/P78,0)</f>
        <v>0</v>
      </c>
      <c r="R78" s="86">
        <f t="shared" si="44"/>
        <v>0</v>
      </c>
      <c r="S78" s="86">
        <f t="shared" si="44"/>
        <v>0</v>
      </c>
      <c r="T78" s="86">
        <f t="shared" si="44"/>
        <v>0</v>
      </c>
      <c r="U78" s="86">
        <f t="shared" si="44"/>
        <v>0</v>
      </c>
      <c r="V78" s="86">
        <f t="shared" si="44"/>
        <v>0</v>
      </c>
      <c r="W78" s="86">
        <f t="shared" si="44"/>
        <v>0</v>
      </c>
      <c r="X78" s="86">
        <f t="shared" si="44"/>
        <v>0</v>
      </c>
      <c r="Y78" s="86">
        <f t="shared" si="44"/>
        <v>0</v>
      </c>
      <c r="Z78" s="86">
        <f t="shared" si="44"/>
        <v>0</v>
      </c>
      <c r="AA78" s="86">
        <f t="shared" si="44"/>
        <v>0</v>
      </c>
    </row>
    <row r="79" spans="1:81" s="22" customFormat="1" ht="13.5" thickBot="1" x14ac:dyDescent="0.25">
      <c r="A79" s="154"/>
      <c r="B79" s="155"/>
      <c r="C79" s="155"/>
      <c r="D79" s="156"/>
      <c r="E79" s="54" t="s">
        <v>5</v>
      </c>
      <c r="F79" s="44">
        <v>1380</v>
      </c>
      <c r="G79" s="44">
        <v>1169</v>
      </c>
      <c r="H79" s="44">
        <v>1139.3315</v>
      </c>
      <c r="I79" s="44">
        <v>1202</v>
      </c>
      <c r="J79" s="44">
        <v>1178.4190000000001</v>
      </c>
      <c r="K79" s="44">
        <v>1190</v>
      </c>
      <c r="L79" s="94">
        <v>296.07299999999998</v>
      </c>
      <c r="M79" s="94">
        <v>0</v>
      </c>
      <c r="N79" s="94">
        <v>0</v>
      </c>
      <c r="O79" s="94"/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87">
        <v>0</v>
      </c>
      <c r="Z79" s="87">
        <v>0</v>
      </c>
      <c r="AA79" s="87">
        <v>0</v>
      </c>
    </row>
    <row r="80" spans="1:81" s="8" customFormat="1" ht="13.5" hidden="1" thickBot="1" x14ac:dyDescent="0.25">
      <c r="A80" s="16" t="s">
        <v>32</v>
      </c>
      <c r="B80" s="17"/>
      <c r="C80" s="17"/>
      <c r="D80" s="18"/>
      <c r="E80" s="52" t="s">
        <v>6</v>
      </c>
      <c r="F80" s="62"/>
      <c r="G80" s="62"/>
      <c r="H80" s="62"/>
      <c r="I80" s="62"/>
      <c r="J80" s="62"/>
      <c r="K80" s="62"/>
      <c r="L80" s="99"/>
      <c r="M80" s="101"/>
      <c r="N80" s="101"/>
      <c r="O80" s="101"/>
      <c r="P80" s="88" t="e">
        <f>P81/G80</f>
        <v>#DIV/0!</v>
      </c>
      <c r="Q80" s="88" t="e">
        <f>Q81/G80</f>
        <v>#DIV/0!</v>
      </c>
      <c r="R80" s="88" t="e">
        <f>R81/G80</f>
        <v>#DIV/0!</v>
      </c>
      <c r="S80" s="88" t="e">
        <f>S81/G80</f>
        <v>#DIV/0!</v>
      </c>
      <c r="T80" s="88" t="e">
        <f>T81/G80</f>
        <v>#DIV/0!</v>
      </c>
      <c r="U80" s="88" t="e">
        <f>U81/G80</f>
        <v>#DIV/0!</v>
      </c>
      <c r="V80" s="88" t="e">
        <f>V81/G80</f>
        <v>#DIV/0!</v>
      </c>
      <c r="W80" s="88" t="e">
        <f>W81/G80</f>
        <v>#DIV/0!</v>
      </c>
      <c r="X80" s="88" t="e">
        <f>X81/G80</f>
        <v>#DIV/0!</v>
      </c>
      <c r="Y80" s="88" t="e">
        <f>Y81/G80</f>
        <v>#DIV/0!</v>
      </c>
      <c r="Z80" s="88" t="e">
        <f>Z81/G80</f>
        <v>#DIV/0!</v>
      </c>
      <c r="AA80" s="88" t="e">
        <f>AA81/G80</f>
        <v>#DIV/0!</v>
      </c>
    </row>
    <row r="81" spans="1:81" s="8" customFormat="1" ht="13.5" hidden="1" thickBot="1" x14ac:dyDescent="0.25">
      <c r="A81" s="16"/>
      <c r="B81" s="17"/>
      <c r="C81" s="17"/>
      <c r="D81" s="18"/>
      <c r="E81" s="19" t="s">
        <v>5</v>
      </c>
      <c r="F81" s="63"/>
      <c r="G81" s="63"/>
      <c r="H81" s="63"/>
      <c r="I81" s="63"/>
      <c r="J81" s="63"/>
      <c r="K81" s="63"/>
      <c r="L81" s="100"/>
      <c r="M81" s="102"/>
      <c r="N81" s="102"/>
      <c r="O81" s="102"/>
      <c r="P81" s="89">
        <v>0</v>
      </c>
      <c r="Q81" s="89">
        <v>0</v>
      </c>
      <c r="R81" s="89">
        <v>0</v>
      </c>
      <c r="S81" s="89">
        <v>0</v>
      </c>
      <c r="T81" s="89">
        <v>0</v>
      </c>
      <c r="U81" s="89">
        <v>0</v>
      </c>
      <c r="V81" s="89">
        <v>0</v>
      </c>
      <c r="W81" s="89">
        <v>0</v>
      </c>
      <c r="X81" s="89">
        <v>0</v>
      </c>
      <c r="Y81" s="89">
        <v>0</v>
      </c>
      <c r="Z81" s="89">
        <v>0</v>
      </c>
      <c r="AA81" s="89">
        <v>0</v>
      </c>
    </row>
    <row r="82" spans="1:81" s="8" customFormat="1" x14ac:dyDescent="0.2">
      <c r="A82" s="151" t="s">
        <v>44</v>
      </c>
      <c r="B82" s="152"/>
      <c r="C82" s="152"/>
      <c r="D82" s="153"/>
      <c r="E82" s="53" t="s">
        <v>6</v>
      </c>
      <c r="F82" s="37">
        <v>250</v>
      </c>
      <c r="G82" s="37">
        <v>250</v>
      </c>
      <c r="H82" s="37">
        <v>200</v>
      </c>
      <c r="I82" s="37">
        <v>350</v>
      </c>
      <c r="J82" s="37">
        <v>300</v>
      </c>
      <c r="K82" s="37">
        <v>300</v>
      </c>
      <c r="L82" s="98">
        <v>300</v>
      </c>
      <c r="M82" s="98">
        <v>150</v>
      </c>
      <c r="N82" s="98">
        <v>100</v>
      </c>
      <c r="O82" s="98">
        <v>74.2</v>
      </c>
      <c r="P82" s="86">
        <f>P83/$O$82</f>
        <v>0.1067144204851752</v>
      </c>
      <c r="Q82" s="86">
        <f t="shared" ref="Q82:AA82" si="45">Q83/$O$82</f>
        <v>0.22060592991913747</v>
      </c>
      <c r="R82" s="86">
        <f t="shared" si="45"/>
        <v>0.29278948787061992</v>
      </c>
      <c r="S82" s="86">
        <f t="shared" si="45"/>
        <v>0.35965242587601076</v>
      </c>
      <c r="T82" s="86">
        <f t="shared" si="45"/>
        <v>0.46522789757412403</v>
      </c>
      <c r="U82" s="86">
        <f t="shared" si="45"/>
        <v>0.53891199460916439</v>
      </c>
      <c r="V82" s="86">
        <f t="shared" si="45"/>
        <v>0.61191307277628038</v>
      </c>
      <c r="W82" s="86">
        <f t="shared" si="45"/>
        <v>0.65187587601078167</v>
      </c>
      <c r="X82" s="86">
        <f t="shared" si="45"/>
        <v>0</v>
      </c>
      <c r="Y82" s="86">
        <f t="shared" si="45"/>
        <v>0</v>
      </c>
      <c r="Z82" s="86">
        <f t="shared" si="45"/>
        <v>0</v>
      </c>
      <c r="AA82" s="86">
        <f t="shared" si="45"/>
        <v>0</v>
      </c>
    </row>
    <row r="83" spans="1:81" s="22" customFormat="1" ht="13.5" thickBot="1" x14ac:dyDescent="0.25">
      <c r="A83" s="157"/>
      <c r="B83" s="158"/>
      <c r="C83" s="158"/>
      <c r="D83" s="159"/>
      <c r="E83" s="55" t="s">
        <v>5</v>
      </c>
      <c r="F83" s="45">
        <v>144</v>
      </c>
      <c r="G83" s="45">
        <v>171</v>
      </c>
      <c r="H83" s="45">
        <v>314.4101</v>
      </c>
      <c r="I83" s="45">
        <v>251</v>
      </c>
      <c r="J83" s="45">
        <v>316.20666999999997</v>
      </c>
      <c r="K83" s="45">
        <v>307</v>
      </c>
      <c r="L83" s="97">
        <v>100.161</v>
      </c>
      <c r="M83" s="97">
        <v>59.289250000000003</v>
      </c>
      <c r="N83" s="97">
        <v>74.331270000000004</v>
      </c>
      <c r="O83" s="97"/>
      <c r="P83" s="90">
        <v>7.9182100000000002</v>
      </c>
      <c r="Q83" s="90">
        <v>16.368960000000001</v>
      </c>
      <c r="R83" s="90">
        <v>21.724979999999999</v>
      </c>
      <c r="S83" s="90">
        <v>26.686209999999999</v>
      </c>
      <c r="T83" s="90">
        <v>34.519910000000003</v>
      </c>
      <c r="U83" s="90">
        <v>39.987270000000002</v>
      </c>
      <c r="V83" s="90">
        <v>45.403950000000002</v>
      </c>
      <c r="W83" s="90">
        <v>48.369190000000003</v>
      </c>
      <c r="X83" s="90"/>
      <c r="Y83" s="90"/>
      <c r="Z83" s="90"/>
      <c r="AA83" s="90"/>
    </row>
    <row r="84" spans="1:81" s="8" customFormat="1" x14ac:dyDescent="0.2">
      <c r="A84" s="151" t="s">
        <v>60</v>
      </c>
      <c r="B84" s="152"/>
      <c r="C84" s="152"/>
      <c r="D84" s="153"/>
      <c r="E84" s="53" t="s">
        <v>6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98">
        <v>0</v>
      </c>
      <c r="M84" s="98">
        <v>38500</v>
      </c>
      <c r="N84" s="98">
        <v>42000</v>
      </c>
      <c r="O84" s="98">
        <v>48000</v>
      </c>
      <c r="P84" s="86">
        <f>P85/$O$84</f>
        <v>7.3731156666666658E-2</v>
      </c>
      <c r="Q84" s="86">
        <f t="shared" ref="Q84:AA84" si="46">Q85/$O$84</f>
        <v>0.14900910020833333</v>
      </c>
      <c r="R84" s="86">
        <f t="shared" si="46"/>
        <v>0.23737129666666665</v>
      </c>
      <c r="S84" s="86">
        <f t="shared" si="46"/>
        <v>0.31981201437500001</v>
      </c>
      <c r="T84" s="86">
        <f t="shared" si="46"/>
        <v>0.41026491291666667</v>
      </c>
      <c r="U84" s="86">
        <f t="shared" si="46"/>
        <v>0.49669614895833336</v>
      </c>
      <c r="V84" s="86">
        <f t="shared" si="46"/>
        <v>0.56602283791666663</v>
      </c>
      <c r="W84" s="86">
        <f t="shared" si="46"/>
        <v>0.64760139750000001</v>
      </c>
      <c r="X84" s="86">
        <f t="shared" si="46"/>
        <v>0</v>
      </c>
      <c r="Y84" s="86">
        <f t="shared" si="46"/>
        <v>0</v>
      </c>
      <c r="Z84" s="86">
        <f t="shared" si="46"/>
        <v>0</v>
      </c>
      <c r="AA84" s="86">
        <f t="shared" si="46"/>
        <v>0</v>
      </c>
    </row>
    <row r="85" spans="1:81" s="22" customFormat="1" ht="13.5" thickBot="1" x14ac:dyDescent="0.25">
      <c r="A85" s="157"/>
      <c r="B85" s="158"/>
      <c r="C85" s="158"/>
      <c r="D85" s="159"/>
      <c r="E85" s="55" t="s">
        <v>5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97">
        <v>22003.819</v>
      </c>
      <c r="M85" s="97">
        <v>39959.863519999999</v>
      </c>
      <c r="N85" s="97">
        <v>43967.554580000004</v>
      </c>
      <c r="O85" s="97"/>
      <c r="P85" s="90">
        <v>3539.0955199999999</v>
      </c>
      <c r="Q85" s="90">
        <v>7152.4368100000002</v>
      </c>
      <c r="R85" s="90">
        <v>11393.82224</v>
      </c>
      <c r="S85" s="90">
        <v>15350.97669</v>
      </c>
      <c r="T85" s="90">
        <v>19692.715820000001</v>
      </c>
      <c r="U85" s="90">
        <v>23841.415150000001</v>
      </c>
      <c r="V85" s="90">
        <v>27169.096219999999</v>
      </c>
      <c r="W85" s="90">
        <v>31084.86708</v>
      </c>
      <c r="X85" s="90"/>
      <c r="Y85" s="90"/>
      <c r="Z85" s="90"/>
      <c r="AA85" s="90"/>
    </row>
    <row r="86" spans="1:81" s="22" customFormat="1" x14ac:dyDescent="0.2">
      <c r="A86" s="143" t="s">
        <v>45</v>
      </c>
      <c r="B86" s="144"/>
      <c r="C86" s="144"/>
      <c r="D86" s="149"/>
      <c r="E86" s="25" t="s">
        <v>6</v>
      </c>
      <c r="F86" s="38">
        <f>F78+F82+F84</f>
        <v>1700</v>
      </c>
      <c r="G86" s="38">
        <f t="shared" ref="G86:O86" si="47">G78+G82+G84</f>
        <v>1650</v>
      </c>
      <c r="H86" s="38">
        <f t="shared" si="47"/>
        <v>1600</v>
      </c>
      <c r="I86" s="38">
        <f t="shared" si="47"/>
        <v>1550</v>
      </c>
      <c r="J86" s="38">
        <f t="shared" si="47"/>
        <v>1500</v>
      </c>
      <c r="K86" s="38">
        <f t="shared" si="47"/>
        <v>1550</v>
      </c>
      <c r="L86" s="38">
        <f t="shared" si="47"/>
        <v>1500</v>
      </c>
      <c r="M86" s="38">
        <f t="shared" si="47"/>
        <v>38650</v>
      </c>
      <c r="N86" s="38">
        <f t="shared" si="47"/>
        <v>42100</v>
      </c>
      <c r="O86" s="38">
        <f t="shared" si="47"/>
        <v>48074.2</v>
      </c>
      <c r="P86" s="78">
        <f>P87/$O$86</f>
        <v>7.3782064600138947E-2</v>
      </c>
      <c r="Q86" s="78">
        <f t="shared" ref="Q86:AA86" si="48">Q87/$O$86</f>
        <v>0.14911960615049238</v>
      </c>
      <c r="R86" s="78">
        <f t="shared" si="48"/>
        <v>0.23745683173094925</v>
      </c>
      <c r="S86" s="78">
        <f t="shared" si="48"/>
        <v>0.31987350595537734</v>
      </c>
      <c r="T86" s="78">
        <f t="shared" si="48"/>
        <v>0.4103497453935791</v>
      </c>
      <c r="U86" s="78">
        <f t="shared" si="48"/>
        <v>0.49676130689642267</v>
      </c>
      <c r="V86" s="78">
        <f t="shared" si="48"/>
        <v>0.56609366708130349</v>
      </c>
      <c r="W86" s="78">
        <f t="shared" si="48"/>
        <v>0.64760799493283305</v>
      </c>
      <c r="X86" s="78">
        <f t="shared" si="48"/>
        <v>0</v>
      </c>
      <c r="Y86" s="78">
        <f t="shared" si="48"/>
        <v>0</v>
      </c>
      <c r="Z86" s="78">
        <f t="shared" si="48"/>
        <v>0</v>
      </c>
      <c r="AA86" s="78">
        <f t="shared" si="48"/>
        <v>0</v>
      </c>
    </row>
    <row r="87" spans="1:81" s="22" customFormat="1" ht="13.5" thickBot="1" x14ac:dyDescent="0.25">
      <c r="A87" s="118"/>
      <c r="B87" s="119"/>
      <c r="C87" s="119"/>
      <c r="D87" s="150"/>
      <c r="E87" s="40" t="s">
        <v>5</v>
      </c>
      <c r="F87" s="39">
        <f>F79+F83+F85</f>
        <v>1524</v>
      </c>
      <c r="G87" s="39">
        <f t="shared" ref="G87:O87" si="49">G79+G83+G85</f>
        <v>1340</v>
      </c>
      <c r="H87" s="39">
        <f t="shared" si="49"/>
        <v>1453.7416000000001</v>
      </c>
      <c r="I87" s="39">
        <f t="shared" si="49"/>
        <v>1453</v>
      </c>
      <c r="J87" s="39">
        <f t="shared" si="49"/>
        <v>1494.6256700000001</v>
      </c>
      <c r="K87" s="39">
        <f t="shared" si="49"/>
        <v>1497</v>
      </c>
      <c r="L87" s="39">
        <f t="shared" si="49"/>
        <v>22400.053</v>
      </c>
      <c r="M87" s="39">
        <f t="shared" si="49"/>
        <v>40019.152770000001</v>
      </c>
      <c r="N87" s="39">
        <f t="shared" si="49"/>
        <v>44041.885850000006</v>
      </c>
      <c r="O87" s="39">
        <f t="shared" si="49"/>
        <v>0</v>
      </c>
      <c r="P87" s="35">
        <f>P79+P83+P85</f>
        <v>3547.0137299999997</v>
      </c>
      <c r="Q87" s="35">
        <f t="shared" ref="Q87:AA87" si="50">Q79+Q83+Q85</f>
        <v>7168.8057699999999</v>
      </c>
      <c r="R87" s="35">
        <f t="shared" si="50"/>
        <v>11415.54722</v>
      </c>
      <c r="S87" s="35">
        <f>S79+S83+S85</f>
        <v>15377.662899999999</v>
      </c>
      <c r="T87" s="35">
        <f t="shared" si="50"/>
        <v>19727.23573</v>
      </c>
      <c r="U87" s="35">
        <f t="shared" si="50"/>
        <v>23881.402420000002</v>
      </c>
      <c r="V87" s="35">
        <f t="shared" si="50"/>
        <v>27214.500169999999</v>
      </c>
      <c r="W87" s="35">
        <f t="shared" si="50"/>
        <v>31133.236270000001</v>
      </c>
      <c r="X87" s="35">
        <f t="shared" si="50"/>
        <v>0</v>
      </c>
      <c r="Y87" s="35">
        <f t="shared" si="50"/>
        <v>0</v>
      </c>
      <c r="Z87" s="35">
        <f t="shared" si="50"/>
        <v>0</v>
      </c>
      <c r="AA87" s="35">
        <f t="shared" si="50"/>
        <v>0</v>
      </c>
    </row>
    <row r="88" spans="1:81" s="1" customFormat="1" ht="13.5" thickBot="1" x14ac:dyDescent="0.25">
      <c r="B88" s="47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</row>
    <row r="89" spans="1:81" s="12" customFormat="1" x14ac:dyDescent="0.2">
      <c r="A89" s="160" t="s">
        <v>46</v>
      </c>
      <c r="B89" s="161"/>
      <c r="C89" s="161"/>
      <c r="D89" s="162"/>
      <c r="E89" s="23" t="s">
        <v>6</v>
      </c>
      <c r="F89" s="37" t="e">
        <f t="shared" ref="F89:O89" si="51">F6+F27+F64+F75+F86</f>
        <v>#REF!</v>
      </c>
      <c r="G89" s="37" t="e">
        <f t="shared" si="51"/>
        <v>#REF!</v>
      </c>
      <c r="H89" s="37" t="e">
        <f t="shared" si="51"/>
        <v>#REF!</v>
      </c>
      <c r="I89" s="37" t="e">
        <f t="shared" si="51"/>
        <v>#REF!</v>
      </c>
      <c r="J89" s="37">
        <f t="shared" si="51"/>
        <v>114380</v>
      </c>
      <c r="K89" s="37">
        <f t="shared" si="51"/>
        <v>143597</v>
      </c>
      <c r="L89" s="37">
        <f t="shared" si="51"/>
        <v>126526</v>
      </c>
      <c r="M89" s="37">
        <f t="shared" si="51"/>
        <v>172607.70600000001</v>
      </c>
      <c r="N89" s="37">
        <f t="shared" si="51"/>
        <v>198600.36</v>
      </c>
      <c r="O89" s="37">
        <f t="shared" si="51"/>
        <v>219582.46000000002</v>
      </c>
      <c r="P89" s="91">
        <f>P90/$O$89</f>
        <v>6.7265910446581187E-2</v>
      </c>
      <c r="Q89" s="91">
        <f t="shared" ref="Q89:AA89" si="52">Q90/$O$89</f>
        <v>0.13429182253445923</v>
      </c>
      <c r="R89" s="91">
        <f t="shared" si="52"/>
        <v>0.2153652811795623</v>
      </c>
      <c r="S89" s="91">
        <f t="shared" si="52"/>
        <v>0.28929809384592919</v>
      </c>
      <c r="T89" s="91">
        <f t="shared" si="52"/>
        <v>0.37705797339186375</v>
      </c>
      <c r="U89" s="91">
        <f t="shared" si="52"/>
        <v>0.45466048463069403</v>
      </c>
      <c r="V89" s="91">
        <f t="shared" si="52"/>
        <v>0.52234886547859971</v>
      </c>
      <c r="W89" s="91">
        <f t="shared" si="52"/>
        <v>0.59911344357832585</v>
      </c>
      <c r="X89" s="91">
        <f t="shared" si="52"/>
        <v>0</v>
      </c>
      <c r="Y89" s="91">
        <f t="shared" si="52"/>
        <v>0</v>
      </c>
      <c r="Z89" s="91">
        <f t="shared" si="52"/>
        <v>0</v>
      </c>
      <c r="AA89" s="91">
        <f t="shared" si="52"/>
        <v>0</v>
      </c>
    </row>
    <row r="90" spans="1:81" s="56" customFormat="1" ht="13.5" thickBot="1" x14ac:dyDescent="0.25">
      <c r="A90" s="163"/>
      <c r="B90" s="164"/>
      <c r="C90" s="164"/>
      <c r="D90" s="165"/>
      <c r="E90" s="58" t="s">
        <v>5</v>
      </c>
      <c r="F90" s="57" t="e">
        <f t="shared" ref="F90:O90" si="53">F7+F28+F65+F76+F87</f>
        <v>#REF!</v>
      </c>
      <c r="G90" s="57" t="e">
        <f t="shared" si="53"/>
        <v>#REF!</v>
      </c>
      <c r="H90" s="57" t="e">
        <f t="shared" si="53"/>
        <v>#REF!</v>
      </c>
      <c r="I90" s="57" t="e">
        <f t="shared" si="53"/>
        <v>#REF!</v>
      </c>
      <c r="J90" s="57">
        <f t="shared" si="53"/>
        <v>111587.82724</v>
      </c>
      <c r="K90" s="57">
        <f t="shared" si="53"/>
        <v>123449.734</v>
      </c>
      <c r="L90" s="57">
        <f t="shared" si="53"/>
        <v>140138.48699999996</v>
      </c>
      <c r="M90" s="57">
        <f t="shared" si="53"/>
        <v>185696.64156000002</v>
      </c>
      <c r="N90" s="57">
        <f t="shared" si="53"/>
        <v>203815.65409999999</v>
      </c>
      <c r="O90" s="57">
        <f t="shared" si="53"/>
        <v>0</v>
      </c>
      <c r="P90" s="92">
        <f t="shared" ref="P90:AA90" si="54">P7+P28+P65+P76+P87</f>
        <v>14770.414089999998</v>
      </c>
      <c r="Q90" s="92">
        <f t="shared" si="54"/>
        <v>29488.128749999996</v>
      </c>
      <c r="R90" s="92">
        <f t="shared" si="54"/>
        <v>47290.438239999996</v>
      </c>
      <c r="S90" s="92">
        <f t="shared" si="54"/>
        <v>63524.787119999994</v>
      </c>
      <c r="T90" s="92">
        <f t="shared" si="54"/>
        <v>82795.317360000001</v>
      </c>
      <c r="U90" s="92">
        <f t="shared" si="54"/>
        <v>99835.467680000002</v>
      </c>
      <c r="V90" s="92">
        <f t="shared" si="54"/>
        <v>114698.64886</v>
      </c>
      <c r="W90" s="92">
        <f t="shared" si="54"/>
        <v>131554.80376000001</v>
      </c>
      <c r="X90" s="92">
        <f t="shared" si="54"/>
        <v>0</v>
      </c>
      <c r="Y90" s="92">
        <f t="shared" si="54"/>
        <v>0</v>
      </c>
      <c r="Z90" s="92">
        <f t="shared" si="54"/>
        <v>0</v>
      </c>
      <c r="AA90" s="92">
        <f t="shared" si="54"/>
        <v>0</v>
      </c>
    </row>
    <row r="91" spans="1:81" x14ac:dyDescent="0.2"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</row>
    <row r="92" spans="1:81" x14ac:dyDescent="0.2">
      <c r="A92" s="9"/>
      <c r="B92" s="9"/>
      <c r="C92" s="9"/>
      <c r="D92" s="9"/>
      <c r="E92" s="8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</row>
    <row r="93" spans="1:81" x14ac:dyDescent="0.2">
      <c r="A93" s="9"/>
      <c r="B93" s="8"/>
      <c r="C93" s="8"/>
      <c r="D93" s="8"/>
      <c r="E93" s="8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</row>
    <row r="94" spans="1:81" x14ac:dyDescent="0.2">
      <c r="A94" s="8"/>
      <c r="B94" s="8"/>
      <c r="C94" s="8"/>
      <c r="D94" s="8"/>
      <c r="E94" s="8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</row>
    <row r="95" spans="1:81" x14ac:dyDescent="0.2">
      <c r="A95" s="8"/>
      <c r="B95" s="8"/>
      <c r="C95" s="8"/>
      <c r="D95" s="8"/>
      <c r="E95" s="8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</row>
    <row r="96" spans="1:81" x14ac:dyDescent="0.2"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</row>
    <row r="97" spans="36:81" x14ac:dyDescent="0.2"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</row>
  </sheetData>
  <mergeCells count="41">
    <mergeCell ref="A75:D76"/>
    <mergeCell ref="A78:D79"/>
    <mergeCell ref="A82:D83"/>
    <mergeCell ref="A84:D85"/>
    <mergeCell ref="A89:D90"/>
    <mergeCell ref="A86:D87"/>
    <mergeCell ref="A69:D70"/>
    <mergeCell ref="A64:D65"/>
    <mergeCell ref="A67:D68"/>
    <mergeCell ref="A50:D51"/>
    <mergeCell ref="A73:D74"/>
    <mergeCell ref="A71:D72"/>
    <mergeCell ref="A62:D63"/>
    <mergeCell ref="A60:D61"/>
    <mergeCell ref="A52:D53"/>
    <mergeCell ref="A56:D57"/>
    <mergeCell ref="A58:D59"/>
    <mergeCell ref="A25:D26"/>
    <mergeCell ref="A27:D28"/>
    <mergeCell ref="A2:D3"/>
    <mergeCell ref="A13:D14"/>
    <mergeCell ref="A15:D16"/>
    <mergeCell ref="A23:D24"/>
    <mergeCell ref="A17:D18"/>
    <mergeCell ref="A19:D20"/>
    <mergeCell ref="A21:D22"/>
    <mergeCell ref="A36:D37"/>
    <mergeCell ref="A30:D31"/>
    <mergeCell ref="A32:D33"/>
    <mergeCell ref="A34:D35"/>
    <mergeCell ref="A48:D49"/>
    <mergeCell ref="A38:D39"/>
    <mergeCell ref="A40:D41"/>
    <mergeCell ref="A42:D43"/>
    <mergeCell ref="A44:D45"/>
    <mergeCell ref="A46:D47"/>
    <mergeCell ref="A1:D1"/>
    <mergeCell ref="A4:D5"/>
    <mergeCell ref="A6:D7"/>
    <mergeCell ref="A9:D10"/>
    <mergeCell ref="A11:D12"/>
  </mergeCells>
  <phoneticPr fontId="11" type="noConversion"/>
  <pageMargins left="0.70866141732283472" right="0.70866141732283472" top="0.78740157480314965" bottom="0.78740157480314965" header="0.31496062992125984" footer="0.31496062992125984"/>
  <pageSetup paperSize="8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Hospodaření 2022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Uživatel systému Windows</cp:lastModifiedBy>
  <cp:lastPrinted>2021-02-19T08:17:17Z</cp:lastPrinted>
  <dcterms:created xsi:type="dcterms:W3CDTF">2006-11-02T10:16:44Z</dcterms:created>
  <dcterms:modified xsi:type="dcterms:W3CDTF">2022-09-19T05:24:03Z</dcterms:modified>
</cp:coreProperties>
</file>