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O:\Tabulky\2023\"/>
    </mc:Choice>
  </mc:AlternateContent>
  <xr:revisionPtr revIDLastSave="0" documentId="13_ncr:1_{10860729-9243-42F2-A0B7-D35C270F6884}" xr6:coauthVersionLast="36" xr6:coauthVersionMax="36" xr10:uidLastSave="{00000000-0000-0000-0000-000000000000}"/>
  <bookViews>
    <workbookView xWindow="-120" yWindow="-120" windowWidth="29040" windowHeight="15840" xr2:uid="{00000000-000D-0000-FFFF-FFFF00000000}"/>
  </bookViews>
  <sheets>
    <sheet name="Hospodaření 2023" sheetId="5" r:id="rId1"/>
  </sheets>
  <calcPr calcId="191029" iterate="1"/>
</workbook>
</file>

<file path=xl/calcChain.xml><?xml version="1.0" encoding="utf-8"?>
<calcChain xmlns="http://schemas.openxmlformats.org/spreadsheetml/2006/main">
  <c r="T51" i="5" l="1"/>
  <c r="T37" i="5"/>
  <c r="S51" i="5" l="1"/>
  <c r="S37" i="5"/>
  <c r="R51" i="5" l="1"/>
  <c r="R37" i="5"/>
  <c r="Q51" i="5" l="1"/>
  <c r="Q37" i="5"/>
  <c r="P87" i="5"/>
  <c r="P90" i="5"/>
  <c r="P76" i="5"/>
  <c r="P65" i="5"/>
  <c r="P50" i="5"/>
  <c r="P36" i="5"/>
  <c r="P28" i="5"/>
  <c r="P7" i="5"/>
  <c r="P6" i="5"/>
  <c r="R84" i="5" l="1"/>
  <c r="S84" i="5"/>
  <c r="T84" i="5"/>
  <c r="U84" i="5"/>
  <c r="V84" i="5"/>
  <c r="W84" i="5"/>
  <c r="X84" i="5"/>
  <c r="Y84" i="5"/>
  <c r="Z84" i="5"/>
  <c r="AA84" i="5"/>
  <c r="AB84" i="5"/>
  <c r="Q84" i="5"/>
  <c r="R82" i="5"/>
  <c r="S82" i="5"/>
  <c r="T82" i="5"/>
  <c r="U82" i="5"/>
  <c r="V82" i="5"/>
  <c r="W82" i="5"/>
  <c r="X82" i="5"/>
  <c r="Y82" i="5"/>
  <c r="Z82" i="5"/>
  <c r="AA82" i="5"/>
  <c r="AB82" i="5"/>
  <c r="Q82" i="5"/>
  <c r="P86" i="5"/>
  <c r="P75" i="5"/>
  <c r="R73" i="5"/>
  <c r="S73" i="5"/>
  <c r="T73" i="5"/>
  <c r="U73" i="5"/>
  <c r="V73" i="5"/>
  <c r="W73" i="5"/>
  <c r="X73" i="5"/>
  <c r="Y73" i="5"/>
  <c r="Z73" i="5"/>
  <c r="AA73" i="5"/>
  <c r="AB73" i="5"/>
  <c r="Q73" i="5"/>
  <c r="R69" i="5"/>
  <c r="S69" i="5"/>
  <c r="T69" i="5"/>
  <c r="U69" i="5"/>
  <c r="V69" i="5"/>
  <c r="W69" i="5"/>
  <c r="X69" i="5"/>
  <c r="Y69" i="5"/>
  <c r="Z69" i="5"/>
  <c r="AA69" i="5"/>
  <c r="AB69" i="5"/>
  <c r="Q69" i="5"/>
  <c r="R67" i="5"/>
  <c r="S67" i="5"/>
  <c r="T67" i="5"/>
  <c r="U67" i="5"/>
  <c r="V67" i="5"/>
  <c r="W67" i="5"/>
  <c r="X67" i="5"/>
  <c r="Y67" i="5"/>
  <c r="Z67" i="5"/>
  <c r="AA67" i="5"/>
  <c r="AB67" i="5"/>
  <c r="Q67" i="5"/>
  <c r="P27" i="5"/>
  <c r="P64" i="5"/>
  <c r="R62" i="5"/>
  <c r="S62" i="5"/>
  <c r="T62" i="5"/>
  <c r="U62" i="5"/>
  <c r="V62" i="5"/>
  <c r="W62" i="5"/>
  <c r="X62" i="5"/>
  <c r="Y62" i="5"/>
  <c r="Z62" i="5"/>
  <c r="AA62" i="5"/>
  <c r="AB62" i="5"/>
  <c r="Q62" i="5"/>
  <c r="R60" i="5"/>
  <c r="S60" i="5"/>
  <c r="T60" i="5"/>
  <c r="U60" i="5"/>
  <c r="V60" i="5"/>
  <c r="W60" i="5"/>
  <c r="X60" i="5"/>
  <c r="Y60" i="5"/>
  <c r="Z60" i="5"/>
  <c r="AA60" i="5"/>
  <c r="AB60" i="5"/>
  <c r="Q60" i="5"/>
  <c r="R58" i="5"/>
  <c r="S58" i="5"/>
  <c r="T58" i="5"/>
  <c r="U58" i="5"/>
  <c r="V58" i="5"/>
  <c r="W58" i="5"/>
  <c r="X58" i="5"/>
  <c r="Y58" i="5"/>
  <c r="Z58" i="5"/>
  <c r="AA58" i="5"/>
  <c r="AB58" i="5"/>
  <c r="Q58" i="5"/>
  <c r="R56" i="5"/>
  <c r="S56" i="5"/>
  <c r="T56" i="5"/>
  <c r="U56" i="5"/>
  <c r="V56" i="5"/>
  <c r="W56" i="5"/>
  <c r="X56" i="5"/>
  <c r="Y56" i="5"/>
  <c r="Z56" i="5"/>
  <c r="AA56" i="5"/>
  <c r="AB56" i="5"/>
  <c r="Q56" i="5"/>
  <c r="R52" i="5"/>
  <c r="S52" i="5"/>
  <c r="T52" i="5"/>
  <c r="U52" i="5"/>
  <c r="V52" i="5"/>
  <c r="W52" i="5"/>
  <c r="X52" i="5"/>
  <c r="Y52" i="5"/>
  <c r="Z52" i="5"/>
  <c r="AA52" i="5"/>
  <c r="AB52" i="5"/>
  <c r="Q52" i="5"/>
  <c r="R50" i="5"/>
  <c r="S50" i="5"/>
  <c r="T50" i="5"/>
  <c r="U50" i="5"/>
  <c r="V50" i="5"/>
  <c r="W50" i="5"/>
  <c r="X50" i="5"/>
  <c r="Y50" i="5"/>
  <c r="Z50" i="5"/>
  <c r="AA50" i="5"/>
  <c r="AB50" i="5"/>
  <c r="Q50" i="5"/>
  <c r="R46" i="5"/>
  <c r="S46" i="5"/>
  <c r="T46" i="5"/>
  <c r="U46" i="5"/>
  <c r="V46" i="5"/>
  <c r="W46" i="5"/>
  <c r="X46" i="5"/>
  <c r="Y46" i="5"/>
  <c r="Z46" i="5"/>
  <c r="AA46" i="5"/>
  <c r="AB46" i="5"/>
  <c r="Q46" i="5"/>
  <c r="R44" i="5"/>
  <c r="S44" i="5"/>
  <c r="T44" i="5"/>
  <c r="U44" i="5"/>
  <c r="V44" i="5"/>
  <c r="W44" i="5"/>
  <c r="X44" i="5"/>
  <c r="Y44" i="5"/>
  <c r="Z44" i="5"/>
  <c r="AA44" i="5"/>
  <c r="AB44" i="5"/>
  <c r="Q44" i="5"/>
  <c r="R42" i="5"/>
  <c r="S42" i="5"/>
  <c r="T42" i="5"/>
  <c r="U42" i="5"/>
  <c r="V42" i="5"/>
  <c r="W42" i="5"/>
  <c r="X42" i="5"/>
  <c r="Y42" i="5"/>
  <c r="Z42" i="5"/>
  <c r="AA42" i="5"/>
  <c r="AB42" i="5"/>
  <c r="Q42" i="5"/>
  <c r="R38" i="5"/>
  <c r="S38" i="5"/>
  <c r="T38" i="5"/>
  <c r="U38" i="5"/>
  <c r="V38" i="5"/>
  <c r="W38" i="5"/>
  <c r="X38" i="5"/>
  <c r="Y38" i="5"/>
  <c r="Z38" i="5"/>
  <c r="AA38" i="5"/>
  <c r="AB38" i="5"/>
  <c r="Q38" i="5"/>
  <c r="R36" i="5"/>
  <c r="S36" i="5"/>
  <c r="T36" i="5"/>
  <c r="U36" i="5"/>
  <c r="V36" i="5"/>
  <c r="W36" i="5"/>
  <c r="X36" i="5"/>
  <c r="Y36" i="5"/>
  <c r="Z36" i="5"/>
  <c r="AA36" i="5"/>
  <c r="AB36" i="5"/>
  <c r="Q36" i="5"/>
  <c r="R34" i="5"/>
  <c r="S34" i="5"/>
  <c r="T34" i="5"/>
  <c r="U34" i="5"/>
  <c r="V34" i="5"/>
  <c r="W34" i="5"/>
  <c r="X34" i="5"/>
  <c r="Y34" i="5"/>
  <c r="Z34" i="5"/>
  <c r="AA34" i="5"/>
  <c r="AB34" i="5"/>
  <c r="Q34" i="5"/>
  <c r="R32" i="5"/>
  <c r="S32" i="5"/>
  <c r="T32" i="5"/>
  <c r="U32" i="5"/>
  <c r="V32" i="5"/>
  <c r="W32" i="5"/>
  <c r="X32" i="5"/>
  <c r="Y32" i="5"/>
  <c r="Z32" i="5"/>
  <c r="AA32" i="5"/>
  <c r="AB32" i="5"/>
  <c r="Q32" i="5"/>
  <c r="R30" i="5"/>
  <c r="S30" i="5"/>
  <c r="T30" i="5"/>
  <c r="U30" i="5"/>
  <c r="V30" i="5"/>
  <c r="W30" i="5"/>
  <c r="X30" i="5"/>
  <c r="Y30" i="5"/>
  <c r="Z30" i="5"/>
  <c r="AA30" i="5"/>
  <c r="AB30" i="5"/>
  <c r="Q30" i="5"/>
  <c r="R25" i="5"/>
  <c r="S25" i="5"/>
  <c r="T25" i="5"/>
  <c r="U25" i="5"/>
  <c r="V25" i="5"/>
  <c r="W25" i="5"/>
  <c r="X25" i="5"/>
  <c r="Y25" i="5"/>
  <c r="Z25" i="5"/>
  <c r="AA25" i="5"/>
  <c r="AB25" i="5"/>
  <c r="Q25" i="5"/>
  <c r="R23" i="5"/>
  <c r="S23" i="5"/>
  <c r="T23" i="5"/>
  <c r="U23" i="5"/>
  <c r="V23" i="5"/>
  <c r="W23" i="5"/>
  <c r="X23" i="5"/>
  <c r="Y23" i="5"/>
  <c r="Z23" i="5"/>
  <c r="AA23" i="5"/>
  <c r="AB23" i="5"/>
  <c r="Q23" i="5"/>
  <c r="R21" i="5"/>
  <c r="S21" i="5"/>
  <c r="T21" i="5"/>
  <c r="U21" i="5"/>
  <c r="V21" i="5"/>
  <c r="W21" i="5"/>
  <c r="X21" i="5"/>
  <c r="Y21" i="5"/>
  <c r="Z21" i="5"/>
  <c r="AA21" i="5"/>
  <c r="AB21" i="5"/>
  <c r="Q21" i="5"/>
  <c r="R19" i="5"/>
  <c r="S19" i="5"/>
  <c r="T19" i="5"/>
  <c r="U19" i="5"/>
  <c r="V19" i="5"/>
  <c r="W19" i="5"/>
  <c r="X19" i="5"/>
  <c r="Y19" i="5"/>
  <c r="Z19" i="5"/>
  <c r="AA19" i="5"/>
  <c r="AB19" i="5"/>
  <c r="Q19" i="5"/>
  <c r="R17" i="5"/>
  <c r="S17" i="5"/>
  <c r="T17" i="5"/>
  <c r="U17" i="5"/>
  <c r="V17" i="5"/>
  <c r="W17" i="5"/>
  <c r="X17" i="5"/>
  <c r="Y17" i="5"/>
  <c r="Z17" i="5"/>
  <c r="AA17" i="5"/>
  <c r="AB17" i="5"/>
  <c r="Q17" i="5"/>
  <c r="R15" i="5"/>
  <c r="S15" i="5"/>
  <c r="T15" i="5"/>
  <c r="U15" i="5"/>
  <c r="V15" i="5"/>
  <c r="W15" i="5"/>
  <c r="X15" i="5"/>
  <c r="Y15" i="5"/>
  <c r="Z15" i="5"/>
  <c r="AA15" i="5"/>
  <c r="AB15" i="5"/>
  <c r="Q15" i="5"/>
  <c r="R11" i="5"/>
  <c r="S11" i="5"/>
  <c r="T11" i="5"/>
  <c r="U11" i="5"/>
  <c r="V11" i="5"/>
  <c r="W11" i="5"/>
  <c r="X11" i="5"/>
  <c r="Y11" i="5"/>
  <c r="Z11" i="5"/>
  <c r="AA11" i="5"/>
  <c r="AB11" i="5"/>
  <c r="Q11" i="5"/>
  <c r="R9" i="5"/>
  <c r="S9" i="5"/>
  <c r="T9" i="5"/>
  <c r="U9" i="5"/>
  <c r="V9" i="5"/>
  <c r="W9" i="5"/>
  <c r="X9" i="5"/>
  <c r="Y9" i="5"/>
  <c r="Z9" i="5"/>
  <c r="AA9" i="5"/>
  <c r="AB9" i="5"/>
  <c r="Q9" i="5"/>
  <c r="R4" i="5"/>
  <c r="S4" i="5"/>
  <c r="T4" i="5"/>
  <c r="U4" i="5"/>
  <c r="V4" i="5"/>
  <c r="W4" i="5"/>
  <c r="X4" i="5"/>
  <c r="Y4" i="5"/>
  <c r="Z4" i="5"/>
  <c r="AA4" i="5"/>
  <c r="AB4" i="5"/>
  <c r="Q4" i="5"/>
  <c r="R2" i="5"/>
  <c r="S2" i="5"/>
  <c r="T2" i="5"/>
  <c r="U2" i="5"/>
  <c r="V2" i="5"/>
  <c r="W2" i="5"/>
  <c r="X2" i="5"/>
  <c r="Y2" i="5"/>
  <c r="Z2" i="5"/>
  <c r="AA2" i="5"/>
  <c r="AB2" i="5"/>
  <c r="Q2" i="5"/>
  <c r="O51" i="5"/>
  <c r="O37" i="5"/>
  <c r="P89" i="5" l="1"/>
  <c r="W7" i="5"/>
  <c r="R78" i="5" l="1"/>
  <c r="S78" i="5" s="1"/>
  <c r="T78" i="5" s="1"/>
  <c r="U78" i="5" s="1"/>
  <c r="V78" i="5" s="1"/>
  <c r="W78" i="5" s="1"/>
  <c r="X78" i="5" s="1"/>
  <c r="Y78" i="5" s="1"/>
  <c r="Z78" i="5" s="1"/>
  <c r="AA78" i="5" s="1"/>
  <c r="AB78" i="5" s="1"/>
  <c r="Q78" i="5"/>
  <c r="R71" i="5"/>
  <c r="S71" i="5"/>
  <c r="T71" i="5" s="1"/>
  <c r="U71" i="5" s="1"/>
  <c r="V71" i="5" s="1"/>
  <c r="W71" i="5" s="1"/>
  <c r="X71" i="5" s="1"/>
  <c r="Y71" i="5" s="1"/>
  <c r="Z71" i="5" s="1"/>
  <c r="AA71" i="5" s="1"/>
  <c r="AB71" i="5" s="1"/>
  <c r="Q71" i="5"/>
  <c r="O50" i="5" l="1"/>
  <c r="O36" i="5"/>
  <c r="O87" i="5" l="1"/>
  <c r="O86" i="5"/>
  <c r="O76" i="5"/>
  <c r="O75" i="5"/>
  <c r="O65" i="5"/>
  <c r="O64" i="5"/>
  <c r="O28" i="5"/>
  <c r="O27" i="5"/>
  <c r="O7" i="5"/>
  <c r="O6" i="5"/>
  <c r="N51" i="5"/>
  <c r="N39" i="5"/>
  <c r="N37" i="5"/>
  <c r="N7" i="5"/>
  <c r="W6" i="5" l="1"/>
  <c r="O90" i="5"/>
  <c r="O89" i="5"/>
  <c r="W65" i="5" l="1"/>
  <c r="W64" i="5" s="1"/>
  <c r="R65" i="5"/>
  <c r="R64" i="5" s="1"/>
  <c r="S65" i="5"/>
  <c r="S64" i="5" s="1"/>
  <c r="T65" i="5"/>
  <c r="T64" i="5" s="1"/>
  <c r="U65" i="5"/>
  <c r="U64" i="5" s="1"/>
  <c r="V65" i="5"/>
  <c r="V64" i="5" s="1"/>
  <c r="X65" i="5"/>
  <c r="X64" i="5" s="1"/>
  <c r="Y65" i="5"/>
  <c r="Y64" i="5" s="1"/>
  <c r="Z65" i="5"/>
  <c r="Z64" i="5" s="1"/>
  <c r="AA65" i="5"/>
  <c r="AA64" i="5" s="1"/>
  <c r="AB65" i="5"/>
  <c r="AB64" i="5" s="1"/>
  <c r="Q65" i="5"/>
  <c r="Q64" i="5" s="1"/>
  <c r="K65" i="5"/>
  <c r="L65" i="5"/>
  <c r="M65" i="5"/>
  <c r="N65" i="5"/>
  <c r="K64" i="5"/>
  <c r="L64" i="5"/>
  <c r="M64" i="5"/>
  <c r="N64" i="5"/>
  <c r="J65" i="5"/>
  <c r="J64" i="5"/>
  <c r="N87" i="5" l="1"/>
  <c r="N86" i="5"/>
  <c r="N76" i="5"/>
  <c r="N75" i="5"/>
  <c r="N28" i="5" l="1"/>
  <c r="N90" i="5" s="1"/>
  <c r="N27" i="5"/>
  <c r="N6" i="5"/>
  <c r="N89" i="5" l="1"/>
  <c r="M28" i="5" l="1"/>
  <c r="T87" i="5" l="1"/>
  <c r="T86" i="5" s="1"/>
  <c r="T76" i="5"/>
  <c r="T75" i="5" s="1"/>
  <c r="T28" i="5"/>
  <c r="T27" i="5" s="1"/>
  <c r="M50" i="5" l="1"/>
  <c r="M36" i="5" l="1"/>
  <c r="M87" i="5" l="1"/>
  <c r="M86" i="5"/>
  <c r="M76" i="5"/>
  <c r="M75" i="5"/>
  <c r="M27" i="5"/>
  <c r="M7" i="5"/>
  <c r="M6" i="5"/>
  <c r="M90" i="5" l="1"/>
  <c r="M89" i="5"/>
  <c r="L51" i="5" l="1"/>
  <c r="L37" i="5"/>
  <c r="R87" i="5" l="1"/>
  <c r="R86" i="5" s="1"/>
  <c r="S87" i="5"/>
  <c r="S86" i="5" s="1"/>
  <c r="U87" i="5"/>
  <c r="U86" i="5" s="1"/>
  <c r="V87" i="5"/>
  <c r="V86" i="5" s="1"/>
  <c r="W87" i="5"/>
  <c r="W86" i="5" s="1"/>
  <c r="X87" i="5"/>
  <c r="X86" i="5" s="1"/>
  <c r="Y87" i="5"/>
  <c r="Y86" i="5" s="1"/>
  <c r="Z87" i="5"/>
  <c r="Z86" i="5" s="1"/>
  <c r="AA87" i="5"/>
  <c r="AA86" i="5" s="1"/>
  <c r="AB87" i="5"/>
  <c r="AB86" i="5" s="1"/>
  <c r="Q87" i="5"/>
  <c r="Q86" i="5" s="1"/>
  <c r="G87" i="5"/>
  <c r="H87" i="5"/>
  <c r="I87" i="5"/>
  <c r="J87" i="5"/>
  <c r="K87" i="5"/>
  <c r="L87" i="5"/>
  <c r="F87" i="5"/>
  <c r="G86" i="5"/>
  <c r="H86" i="5"/>
  <c r="I86" i="5"/>
  <c r="J86" i="5"/>
  <c r="K86" i="5"/>
  <c r="L86" i="5"/>
  <c r="F86" i="5"/>
  <c r="L50" i="5" l="1"/>
  <c r="L36" i="5"/>
  <c r="L7" i="5"/>
  <c r="G75" i="5" l="1"/>
  <c r="H75" i="5"/>
  <c r="I75" i="5"/>
  <c r="J75" i="5"/>
  <c r="K75" i="5"/>
  <c r="L75" i="5"/>
  <c r="G76" i="5"/>
  <c r="H76" i="5"/>
  <c r="I76" i="5"/>
  <c r="J76" i="5"/>
  <c r="K76" i="5"/>
  <c r="L76" i="5"/>
  <c r="G64" i="5"/>
  <c r="I64" i="5"/>
  <c r="H65" i="5"/>
  <c r="I65" i="5"/>
  <c r="G27" i="5"/>
  <c r="H27" i="5"/>
  <c r="I27" i="5"/>
  <c r="J27" i="5"/>
  <c r="K27" i="5"/>
  <c r="L27" i="5"/>
  <c r="G28" i="5"/>
  <c r="H28" i="5"/>
  <c r="I28" i="5"/>
  <c r="J28" i="5"/>
  <c r="K28" i="5"/>
  <c r="L28" i="5"/>
  <c r="G6" i="5"/>
  <c r="H6" i="5"/>
  <c r="I6" i="5"/>
  <c r="J6" i="5"/>
  <c r="K6" i="5"/>
  <c r="L6" i="5"/>
  <c r="G7" i="5"/>
  <c r="H7" i="5"/>
  <c r="I7" i="5"/>
  <c r="J7" i="5"/>
  <c r="K7" i="5"/>
  <c r="I90" i="5" l="1"/>
  <c r="G89" i="5"/>
  <c r="K89" i="5"/>
  <c r="H90" i="5"/>
  <c r="L90" i="5"/>
  <c r="I89" i="5"/>
  <c r="J90" i="5"/>
  <c r="L89" i="5"/>
  <c r="J89" i="5"/>
  <c r="K90" i="5"/>
  <c r="R76" i="5"/>
  <c r="R75" i="5" s="1"/>
  <c r="S76" i="5"/>
  <c r="S75" i="5" s="1"/>
  <c r="U76" i="5"/>
  <c r="U75" i="5" s="1"/>
  <c r="V76" i="5"/>
  <c r="V75" i="5" s="1"/>
  <c r="W76" i="5"/>
  <c r="W75" i="5" s="1"/>
  <c r="X76" i="5"/>
  <c r="X75" i="5" s="1"/>
  <c r="Y76" i="5"/>
  <c r="Y75" i="5" s="1"/>
  <c r="Z76" i="5"/>
  <c r="Z75" i="5" s="1"/>
  <c r="AA76" i="5"/>
  <c r="AA75" i="5" s="1"/>
  <c r="AB76" i="5"/>
  <c r="AB75" i="5" s="1"/>
  <c r="Q76" i="5"/>
  <c r="Q75" i="5" s="1"/>
  <c r="F75" i="5"/>
  <c r="F76" i="5"/>
  <c r="F27" i="5"/>
  <c r="F28" i="5"/>
  <c r="R28" i="5"/>
  <c r="R27" i="5" s="1"/>
  <c r="S28" i="5"/>
  <c r="S27" i="5" s="1"/>
  <c r="U28" i="5"/>
  <c r="U27" i="5" s="1"/>
  <c r="V28" i="5"/>
  <c r="V27" i="5" s="1"/>
  <c r="W28" i="5"/>
  <c r="W27" i="5" s="1"/>
  <c r="X28" i="5"/>
  <c r="X27" i="5" s="1"/>
  <c r="Y28" i="5"/>
  <c r="Y27" i="5" s="1"/>
  <c r="Z28" i="5"/>
  <c r="Z27" i="5" s="1"/>
  <c r="AA28" i="5"/>
  <c r="AA27" i="5" s="1"/>
  <c r="AB28" i="5"/>
  <c r="AB27" i="5" s="1"/>
  <c r="Q28" i="5"/>
  <c r="Q27" i="5" s="1"/>
  <c r="G65" i="5" l="1"/>
  <c r="G90" i="5" s="1"/>
  <c r="F65" i="5"/>
  <c r="F64" i="5"/>
  <c r="F7" i="5"/>
  <c r="F6" i="5"/>
  <c r="Z7" i="5"/>
  <c r="Z6" i="5" s="1"/>
  <c r="AA7" i="5"/>
  <c r="AA6" i="5" s="1"/>
  <c r="AB7" i="5"/>
  <c r="AB6" i="5" s="1"/>
  <c r="AB80" i="5"/>
  <c r="AA80" i="5"/>
  <c r="Z80" i="5"/>
  <c r="Y80" i="5"/>
  <c r="X80" i="5"/>
  <c r="W80" i="5"/>
  <c r="V80" i="5"/>
  <c r="U80" i="5"/>
  <c r="T80" i="5"/>
  <c r="S80" i="5"/>
  <c r="R80" i="5"/>
  <c r="Q80" i="5"/>
  <c r="Y7" i="5"/>
  <c r="Y6" i="5" s="1"/>
  <c r="X7" i="5"/>
  <c r="X6" i="5" s="1"/>
  <c r="V7" i="5"/>
  <c r="V6" i="5" s="1"/>
  <c r="U7" i="5"/>
  <c r="U6" i="5" s="1"/>
  <c r="T7" i="5"/>
  <c r="T6" i="5" s="1"/>
  <c r="S7" i="5"/>
  <c r="S6" i="5" s="1"/>
  <c r="R7" i="5"/>
  <c r="R6" i="5" s="1"/>
  <c r="Q7" i="5"/>
  <c r="Q6" i="5" s="1"/>
  <c r="S54" i="5"/>
  <c r="U54" i="5"/>
  <c r="V54" i="5"/>
  <c r="W54" i="5"/>
  <c r="X54" i="5"/>
  <c r="Y54" i="5"/>
  <c r="Z54" i="5"/>
  <c r="AA54" i="5"/>
  <c r="AB54" i="5"/>
  <c r="T54" i="5"/>
  <c r="R54" i="5"/>
  <c r="Q54" i="5"/>
  <c r="Y90" i="5" l="1"/>
  <c r="Y89" i="5" s="1"/>
  <c r="W90" i="5"/>
  <c r="W89" i="5" s="1"/>
  <c r="AB90" i="5"/>
  <c r="AB89" i="5" s="1"/>
  <c r="X90" i="5"/>
  <c r="X89" i="5" s="1"/>
  <c r="AA90" i="5"/>
  <c r="AA89" i="5" s="1"/>
  <c r="Z90" i="5"/>
  <c r="Z89" i="5" s="1"/>
  <c r="V90" i="5"/>
  <c r="V89" i="5" s="1"/>
  <c r="U90" i="5"/>
  <c r="U89" i="5" s="1"/>
  <c r="S90" i="5"/>
  <c r="S89" i="5" s="1"/>
  <c r="R90" i="5"/>
  <c r="R89" i="5" s="1"/>
  <c r="T90" i="5"/>
  <c r="T89" i="5" s="1"/>
  <c r="F89" i="5"/>
  <c r="F90" i="5"/>
  <c r="Q90" i="5"/>
  <c r="Q89" i="5" s="1"/>
  <c r="H64" i="5"/>
  <c r="H89" i="5" s="1"/>
</calcChain>
</file>

<file path=xl/sharedStrings.xml><?xml version="1.0" encoding="utf-8"?>
<sst xmlns="http://schemas.openxmlformats.org/spreadsheetml/2006/main" count="143" uniqueCount="61">
  <si>
    <t>účet</t>
  </si>
  <si>
    <t>501 17 002 drogistické zboží</t>
  </si>
  <si>
    <t>501 19 002 prádlo pacientů</t>
  </si>
  <si>
    <t>501 19 099 netkaný textil</t>
  </si>
  <si>
    <t>518 07 411 stravné dodavatelsky</t>
  </si>
  <si>
    <t>skut.</t>
  </si>
  <si>
    <t>pl.</t>
  </si>
  <si>
    <t>501 12 002 motorová nafta</t>
  </si>
  <si>
    <t>501 12 003 oleje a mazadla</t>
  </si>
  <si>
    <t>501 16 010 nápoje-horké provozy</t>
  </si>
  <si>
    <t>501 17 006 prášky pro prádelnu</t>
  </si>
  <si>
    <t>501 17 011 obaly pro sterilizaci</t>
  </si>
  <si>
    <t>501 18 007 ND-doprava</t>
  </si>
  <si>
    <t>501 19 077 prádlo OOPP</t>
  </si>
  <si>
    <t>501 19 090 OOP pacient+doprovod</t>
  </si>
  <si>
    <t>501 19 092 lůžkoviny</t>
  </si>
  <si>
    <t>511 02 027 opravy vozového parku</t>
  </si>
  <si>
    <t>538 01 006 dálniční známky</t>
  </si>
  <si>
    <t>549 11 003 pojištění vozidel</t>
  </si>
  <si>
    <t>I. 8,33</t>
  </si>
  <si>
    <t>II. 16,67</t>
  </si>
  <si>
    <t>III. 25</t>
  </si>
  <si>
    <t>IV. 33,33</t>
  </si>
  <si>
    <t>V. 41,66</t>
  </si>
  <si>
    <t>VI. 50</t>
  </si>
  <si>
    <t>VII. 58,31</t>
  </si>
  <si>
    <t>VIII. 66,64</t>
  </si>
  <si>
    <t>IX. 74,97</t>
  </si>
  <si>
    <t>X. 83,3</t>
  </si>
  <si>
    <t>XI. 91,63</t>
  </si>
  <si>
    <t>XII. 99,96</t>
  </si>
  <si>
    <t>501 19 003 DDHM zdr lék nást.,příst.</t>
  </si>
  <si>
    <t>599 02 000 údržba ZVIT</t>
  </si>
  <si>
    <t>CELKEM STRAV</t>
  </si>
  <si>
    <t>501 12 001 aut. benzín</t>
  </si>
  <si>
    <t>518 08 011 revize sml.servis doprava</t>
  </si>
  <si>
    <t>CELKEM DOPR</t>
  </si>
  <si>
    <t xml:space="preserve">501 17 004 tiskopisy a kanc.potřeby </t>
  </si>
  <si>
    <t>501 18 001 ND-ostatní (všeob.sklad)</t>
  </si>
  <si>
    <t>558 06 001 DDHM ostatní (do 40000,-)</t>
  </si>
  <si>
    <t>558 02 001 kuchyň.zařízení a nádobí</t>
  </si>
  <si>
    <t>CELKEM VSEOB</t>
  </si>
  <si>
    <t>518 06 001 MW-DIAS úklid</t>
  </si>
  <si>
    <t>CELKEM OSL</t>
  </si>
  <si>
    <t>501 17 007 údržb.mat. ost.sklady</t>
  </si>
  <si>
    <t>CELKEM PRAD</t>
  </si>
  <si>
    <t>CELKEM PRÚ</t>
  </si>
  <si>
    <t>558 02 002 DDHM ost.prov.technika</t>
  </si>
  <si>
    <t>558 02 003 kancel.technika</t>
  </si>
  <si>
    <t>558 05 002 nábytek</t>
  </si>
  <si>
    <t>1785</t>
  </si>
  <si>
    <t>501 19 100-102 jednoráz.pom.a mater.</t>
  </si>
  <si>
    <t>1821</t>
  </si>
  <si>
    <t>Všeobecný materiál</t>
  </si>
  <si>
    <t>518 74 002 služby (ostraha)</t>
  </si>
  <si>
    <t>518 06 003 úklid (ostatní)</t>
  </si>
  <si>
    <t>pl./skut.</t>
  </si>
  <si>
    <t>501 12 004 plyn (CNG)</t>
  </si>
  <si>
    <t>518 06 002 úklid - více práce</t>
  </si>
  <si>
    <t>501 17 020 - 025 všeobecný materiál</t>
  </si>
  <si>
    <t>518 06 007 praní prádla (RENATEX)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</si>
</sst>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2" x14ac:knownFonts="1">
    <font>
      <sz val="10"/>
      <name val="Arial"/>
      <charset val="238"/>
    </font>
    <font>
      <sz val="10"/>
      <name val="Arial"/>
      <family val="2"/>
      <charset val="238"/>
    </font>
    <font>
      <b/>
      <sz val="10"/>
      <name val="Arial CE"/>
      <family val="2"/>
      <charset val="238"/>
    </font>
    <font>
      <b/>
      <sz val="8"/>
      <name val="Arial CE"/>
      <family val="2"/>
      <charset val="238"/>
    </font>
    <font>
      <sz val="10"/>
      <name val="Arial CE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color indexed="8"/>
      <name val="Arial CE"/>
      <family val="2"/>
      <charset val="238"/>
    </font>
    <font>
      <b/>
      <sz val="10"/>
      <color indexed="8"/>
      <name val="Arial CE"/>
      <family val="2"/>
      <charset val="238"/>
    </font>
    <font>
      <sz val="10"/>
      <color indexed="8"/>
      <name val="Arial"/>
      <family val="2"/>
      <charset val="238"/>
    </font>
    <font>
      <sz val="8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99"/>
        <bgColor indexed="64"/>
      </patternFill>
    </fill>
  </fills>
  <borders count="46">
    <border>
      <left/>
      <right/>
      <top/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166">
    <xf numFmtId="0" fontId="0" fillId="0" borderId="0" xfId="0"/>
    <xf numFmtId="0" fontId="0" fillId="0" borderId="0" xfId="0" applyBorder="1"/>
    <xf numFmtId="17" fontId="3" fillId="0" borderId="0" xfId="0" applyNumberFormat="1" applyFont="1" applyBorder="1"/>
    <xf numFmtId="0" fontId="0" fillId="3" borderId="1" xfId="0" applyFill="1" applyBorder="1"/>
    <xf numFmtId="0" fontId="0" fillId="3" borderId="0" xfId="0" applyFill="1" applyBorder="1"/>
    <xf numFmtId="0" fontId="5" fillId="3" borderId="4" xfId="0" applyFont="1" applyFill="1" applyBorder="1"/>
    <xf numFmtId="0" fontId="5" fillId="3" borderId="5" xfId="0" applyFont="1" applyFill="1" applyBorder="1"/>
    <xf numFmtId="0" fontId="5" fillId="3" borderId="3" xfId="0" applyFont="1" applyFill="1" applyBorder="1"/>
    <xf numFmtId="0" fontId="0" fillId="0" borderId="0" xfId="0" applyFill="1" applyBorder="1"/>
    <xf numFmtId="0" fontId="5" fillId="0" borderId="0" xfId="0" applyFont="1" applyFill="1" applyBorder="1"/>
    <xf numFmtId="0" fontId="6" fillId="0" borderId="0" xfId="0" applyFont="1" applyFill="1" applyBorder="1"/>
    <xf numFmtId="164" fontId="6" fillId="0" borderId="0" xfId="0" applyNumberFormat="1" applyFont="1" applyFill="1" applyBorder="1"/>
    <xf numFmtId="0" fontId="0" fillId="0" borderId="0" xfId="0" applyFill="1"/>
    <xf numFmtId="0" fontId="8" fillId="0" borderId="0" xfId="0" applyNumberFormat="1" applyFont="1" applyFill="1" applyBorder="1"/>
    <xf numFmtId="0" fontId="0" fillId="3" borderId="2" xfId="0" applyFill="1" applyBorder="1"/>
    <xf numFmtId="0" fontId="0" fillId="3" borderId="10" xfId="0" applyFill="1" applyBorder="1"/>
    <xf numFmtId="0" fontId="5" fillId="8" borderId="1" xfId="0" applyFont="1" applyFill="1" applyBorder="1"/>
    <xf numFmtId="0" fontId="5" fillId="8" borderId="0" xfId="0" applyFont="1" applyFill="1" applyBorder="1"/>
    <xf numFmtId="0" fontId="5" fillId="8" borderId="10" xfId="0" applyFont="1" applyFill="1" applyBorder="1"/>
    <xf numFmtId="0" fontId="0" fillId="8" borderId="7" xfId="0" applyFill="1" applyBorder="1"/>
    <xf numFmtId="0" fontId="0" fillId="3" borderId="7" xfId="0" applyFill="1" applyBorder="1"/>
    <xf numFmtId="3" fontId="0" fillId="5" borderId="20" xfId="0" applyNumberFormat="1" applyFill="1" applyBorder="1"/>
    <xf numFmtId="3" fontId="0" fillId="0" borderId="0" xfId="0" applyNumberFormat="1" applyFill="1" applyBorder="1"/>
    <xf numFmtId="0" fontId="0" fillId="4" borderId="30" xfId="0" applyFill="1" applyBorder="1"/>
    <xf numFmtId="0" fontId="0" fillId="4" borderId="25" xfId="0" applyFill="1" applyBorder="1"/>
    <xf numFmtId="0" fontId="0" fillId="6" borderId="30" xfId="0" applyFill="1" applyBorder="1"/>
    <xf numFmtId="0" fontId="4" fillId="0" borderId="0" xfId="0" applyNumberFormat="1" applyFont="1" applyFill="1" applyBorder="1"/>
    <xf numFmtId="0" fontId="7" fillId="0" borderId="0" xfId="0" applyFont="1" applyFill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0" fillId="5" borderId="30" xfId="0" applyFill="1" applyBorder="1"/>
    <xf numFmtId="0" fontId="0" fillId="6" borderId="24" xfId="0" applyFill="1" applyBorder="1"/>
    <xf numFmtId="0" fontId="2" fillId="2" borderId="13" xfId="0" applyFont="1" applyFill="1" applyBorder="1" applyAlignment="1">
      <alignment horizontal="center"/>
    </xf>
    <xf numFmtId="0" fontId="5" fillId="0" borderId="13" xfId="0" applyFont="1" applyBorder="1" applyAlignment="1">
      <alignment horizontal="center"/>
    </xf>
    <xf numFmtId="3" fontId="4" fillId="2" borderId="30" xfId="0" applyNumberFormat="1" applyFont="1" applyFill="1" applyBorder="1"/>
    <xf numFmtId="3" fontId="4" fillId="2" borderId="20" xfId="0" applyNumberFormat="1" applyFont="1" applyFill="1" applyBorder="1"/>
    <xf numFmtId="3" fontId="4" fillId="6" borderId="20" xfId="0" applyNumberFormat="1" applyFont="1" applyFill="1" applyBorder="1"/>
    <xf numFmtId="3" fontId="4" fillId="0" borderId="0" xfId="0" applyNumberFormat="1" applyFont="1" applyFill="1" applyBorder="1"/>
    <xf numFmtId="3" fontId="8" fillId="2" borderId="30" xfId="0" applyNumberFormat="1" applyFont="1" applyFill="1" applyBorder="1"/>
    <xf numFmtId="3" fontId="8" fillId="6" borderId="30" xfId="0" applyNumberFormat="1" applyFont="1" applyFill="1" applyBorder="1"/>
    <xf numFmtId="3" fontId="8" fillId="6" borderId="20" xfId="0" applyNumberFormat="1" applyFont="1" applyFill="1" applyBorder="1"/>
    <xf numFmtId="3" fontId="0" fillId="6" borderId="20" xfId="0" applyNumberFormat="1" applyFill="1" applyBorder="1"/>
    <xf numFmtId="3" fontId="0" fillId="4" borderId="19" xfId="0" applyNumberFormat="1" applyFill="1" applyBorder="1"/>
    <xf numFmtId="0" fontId="0" fillId="3" borderId="30" xfId="0" applyFill="1" applyBorder="1"/>
    <xf numFmtId="3" fontId="0" fillId="3" borderId="20" xfId="0" applyNumberFormat="1" applyFill="1" applyBorder="1"/>
    <xf numFmtId="3" fontId="8" fillId="2" borderId="20" xfId="0" applyNumberFormat="1" applyFont="1" applyFill="1" applyBorder="1"/>
    <xf numFmtId="3" fontId="8" fillId="2" borderId="23" xfId="0" applyNumberFormat="1" applyFont="1" applyFill="1" applyBorder="1"/>
    <xf numFmtId="3" fontId="8" fillId="6" borderId="20" xfId="0" applyNumberFormat="1" applyFont="1" applyFill="1" applyBorder="1" applyAlignment="1">
      <alignment horizontal="right"/>
    </xf>
    <xf numFmtId="0" fontId="5" fillId="0" borderId="0" xfId="0" applyFont="1" applyBorder="1"/>
    <xf numFmtId="3" fontId="0" fillId="0" borderId="0" xfId="0" applyNumberFormat="1" applyBorder="1"/>
    <xf numFmtId="0" fontId="1" fillId="7" borderId="30" xfId="0" applyFont="1" applyFill="1" applyBorder="1"/>
    <xf numFmtId="3" fontId="0" fillId="7" borderId="20" xfId="0" applyNumberFormat="1" applyFill="1" applyBorder="1"/>
    <xf numFmtId="3" fontId="0" fillId="7" borderId="23" xfId="0" applyNumberFormat="1" applyFill="1" applyBorder="1"/>
    <xf numFmtId="0" fontId="0" fillId="8" borderId="8" xfId="0" applyFill="1" applyBorder="1"/>
    <xf numFmtId="0" fontId="1" fillId="8" borderId="30" xfId="0" applyFont="1" applyFill="1" applyBorder="1"/>
    <xf numFmtId="3" fontId="0" fillId="8" borderId="20" xfId="0" applyNumberFormat="1" applyFill="1" applyBorder="1"/>
    <xf numFmtId="3" fontId="0" fillId="8" borderId="23" xfId="0" applyNumberFormat="1" applyFill="1" applyBorder="1"/>
    <xf numFmtId="3" fontId="0" fillId="0" borderId="0" xfId="0" applyNumberFormat="1" applyFill="1"/>
    <xf numFmtId="3" fontId="8" fillId="2" borderId="20" xfId="0" applyNumberFormat="1" applyFont="1" applyFill="1" applyBorder="1" applyAlignment="1">
      <alignment horizontal="right"/>
    </xf>
    <xf numFmtId="3" fontId="0" fillId="4" borderId="20" xfId="0" applyNumberFormat="1" applyFill="1" applyBorder="1"/>
    <xf numFmtId="3" fontId="8" fillId="2" borderId="9" xfId="0" applyNumberFormat="1" applyFont="1" applyFill="1" applyBorder="1"/>
    <xf numFmtId="3" fontId="8" fillId="2" borderId="6" xfId="0" applyNumberFormat="1" applyFont="1" applyFill="1" applyBorder="1"/>
    <xf numFmtId="3" fontId="8" fillId="0" borderId="0" xfId="0" applyNumberFormat="1" applyFont="1" applyFill="1" applyBorder="1"/>
    <xf numFmtId="3" fontId="8" fillId="2" borderId="8" xfId="0" applyNumberFormat="1" applyFont="1" applyFill="1" applyBorder="1"/>
    <xf numFmtId="3" fontId="8" fillId="2" borderId="7" xfId="0" applyNumberFormat="1" applyFont="1" applyFill="1" applyBorder="1"/>
    <xf numFmtId="3" fontId="9" fillId="0" borderId="0" xfId="0" applyNumberFormat="1" applyFont="1" applyFill="1" applyBorder="1"/>
    <xf numFmtId="3" fontId="8" fillId="2" borderId="25" xfId="0" applyNumberFormat="1" applyFont="1" applyFill="1" applyBorder="1"/>
    <xf numFmtId="3" fontId="8" fillId="6" borderId="25" xfId="0" applyNumberFormat="1" applyFont="1" applyFill="1" applyBorder="1"/>
    <xf numFmtId="3" fontId="8" fillId="6" borderId="19" xfId="0" applyNumberFormat="1" applyFont="1" applyFill="1" applyBorder="1"/>
    <xf numFmtId="3" fontId="4" fillId="6" borderId="30" xfId="0" applyNumberFormat="1" applyFont="1" applyFill="1" applyBorder="1"/>
    <xf numFmtId="17" fontId="2" fillId="0" borderId="13" xfId="0" applyNumberFormat="1" applyFont="1" applyBorder="1" applyAlignment="1">
      <alignment horizontal="center"/>
    </xf>
    <xf numFmtId="164" fontId="8" fillId="5" borderId="30" xfId="0" applyNumberFormat="1" applyFont="1" applyFill="1" applyBorder="1"/>
    <xf numFmtId="3" fontId="4" fillId="5" borderId="20" xfId="0" applyNumberFormat="1" applyFont="1" applyFill="1" applyBorder="1"/>
    <xf numFmtId="164" fontId="4" fillId="5" borderId="30" xfId="0" applyNumberFormat="1" applyFont="1" applyFill="1" applyBorder="1"/>
    <xf numFmtId="3" fontId="8" fillId="5" borderId="20" xfId="0" applyNumberFormat="1" applyFont="1" applyFill="1" applyBorder="1"/>
    <xf numFmtId="164" fontId="4" fillId="6" borderId="24" xfId="0" applyNumberFormat="1" applyFont="1" applyFill="1" applyBorder="1"/>
    <xf numFmtId="164" fontId="4" fillId="4" borderId="30" xfId="0" applyNumberFormat="1" applyFont="1" applyFill="1" applyBorder="1"/>
    <xf numFmtId="3" fontId="8" fillId="4" borderId="20" xfId="0" applyNumberFormat="1" applyFont="1" applyFill="1" applyBorder="1"/>
    <xf numFmtId="3" fontId="8" fillId="4" borderId="22" xfId="0" applyNumberFormat="1" applyFont="1" applyFill="1" applyBorder="1"/>
    <xf numFmtId="164" fontId="4" fillId="6" borderId="30" xfId="0" applyNumberFormat="1" applyFont="1" applyFill="1" applyBorder="1"/>
    <xf numFmtId="164" fontId="4" fillId="3" borderId="30" xfId="0" applyNumberFormat="1" applyFont="1" applyFill="1" applyBorder="1"/>
    <xf numFmtId="3" fontId="4" fillId="3" borderId="20" xfId="0" applyNumberFormat="1" applyFont="1" applyFill="1" applyBorder="1"/>
    <xf numFmtId="164" fontId="4" fillId="3" borderId="21" xfId="0" applyNumberFormat="1" applyFont="1" applyFill="1" applyBorder="1"/>
    <xf numFmtId="0" fontId="4" fillId="3" borderId="23" xfId="0" applyNumberFormat="1" applyFont="1" applyFill="1" applyBorder="1"/>
    <xf numFmtId="164" fontId="4" fillId="7" borderId="30" xfId="0" applyNumberFormat="1" applyFont="1" applyFill="1" applyBorder="1"/>
    <xf numFmtId="3" fontId="4" fillId="7" borderId="20" xfId="0" applyNumberFormat="1" applyFont="1" applyFill="1" applyBorder="1"/>
    <xf numFmtId="3" fontId="4" fillId="7" borderId="23" xfId="0" applyNumberFormat="1" applyFont="1" applyFill="1" applyBorder="1"/>
    <xf numFmtId="164" fontId="4" fillId="8" borderId="30" xfId="0" applyNumberFormat="1" applyFont="1" applyFill="1" applyBorder="1"/>
    <xf numFmtId="3" fontId="4" fillId="8" borderId="20" xfId="0" applyNumberFormat="1" applyFont="1" applyFill="1" applyBorder="1"/>
    <xf numFmtId="164" fontId="4" fillId="8" borderId="24" xfId="0" applyNumberFormat="1" applyFont="1" applyFill="1" applyBorder="1"/>
    <xf numFmtId="0" fontId="4" fillId="8" borderId="23" xfId="0" applyNumberFormat="1" applyFont="1" applyFill="1" applyBorder="1"/>
    <xf numFmtId="3" fontId="4" fillId="8" borderId="23" xfId="0" applyNumberFormat="1" applyFont="1" applyFill="1" applyBorder="1"/>
    <xf numFmtId="164" fontId="1" fillId="4" borderId="30" xfId="0" applyNumberFormat="1" applyFont="1" applyFill="1" applyBorder="1"/>
    <xf numFmtId="3" fontId="10" fillId="4" borderId="20" xfId="0" applyNumberFormat="1" applyFont="1" applyFill="1" applyBorder="1"/>
    <xf numFmtId="3" fontId="4" fillId="9" borderId="30" xfId="0" applyNumberFormat="1" applyFont="1" applyFill="1" applyBorder="1"/>
    <xf numFmtId="3" fontId="4" fillId="9" borderId="20" xfId="0" applyNumberFormat="1" applyFont="1" applyFill="1" applyBorder="1"/>
    <xf numFmtId="3" fontId="8" fillId="9" borderId="20" xfId="0" applyNumberFormat="1" applyFont="1" applyFill="1" applyBorder="1"/>
    <xf numFmtId="3" fontId="8" fillId="9" borderId="22" xfId="0" applyNumberFormat="1" applyFont="1" applyFill="1" applyBorder="1"/>
    <xf numFmtId="3" fontId="4" fillId="9" borderId="23" xfId="0" applyNumberFormat="1" applyFont="1" applyFill="1" applyBorder="1"/>
    <xf numFmtId="3" fontId="8" fillId="9" borderId="25" xfId="0" applyNumberFormat="1" applyFont="1" applyFill="1" applyBorder="1"/>
    <xf numFmtId="3" fontId="8" fillId="9" borderId="9" xfId="0" applyNumberFormat="1" applyFont="1" applyFill="1" applyBorder="1"/>
    <xf numFmtId="3" fontId="8" fillId="9" borderId="6" xfId="0" applyNumberFormat="1" applyFont="1" applyFill="1" applyBorder="1"/>
    <xf numFmtId="3" fontId="8" fillId="9" borderId="43" xfId="0" applyNumberFormat="1" applyFont="1" applyFill="1" applyBorder="1"/>
    <xf numFmtId="3" fontId="8" fillId="9" borderId="44" xfId="0" applyNumberFormat="1" applyFont="1" applyFill="1" applyBorder="1"/>
    <xf numFmtId="164" fontId="4" fillId="0" borderId="45" xfId="0" applyNumberFormat="1" applyFont="1" applyFill="1" applyBorder="1"/>
    <xf numFmtId="164" fontId="4" fillId="10" borderId="30" xfId="0" applyNumberFormat="1" applyFont="1" applyFill="1" applyBorder="1"/>
    <xf numFmtId="3" fontId="8" fillId="9" borderId="30" xfId="0" applyNumberFormat="1" applyFont="1" applyFill="1" applyBorder="1"/>
    <xf numFmtId="0" fontId="2" fillId="0" borderId="39" xfId="0" applyFont="1" applyBorder="1" applyAlignment="1">
      <alignment horizontal="center"/>
    </xf>
    <xf numFmtId="0" fontId="2" fillId="0" borderId="40" xfId="0" applyFont="1" applyBorder="1" applyAlignment="1">
      <alignment horizontal="center"/>
    </xf>
    <xf numFmtId="0" fontId="2" fillId="0" borderId="41" xfId="0" applyFont="1" applyBorder="1" applyAlignment="1">
      <alignment horizontal="center"/>
    </xf>
    <xf numFmtId="0" fontId="2" fillId="5" borderId="33" xfId="0" applyFont="1" applyFill="1" applyBorder="1" applyAlignment="1">
      <alignment horizontal="left" vertical="center"/>
    </xf>
    <xf numFmtId="0" fontId="2" fillId="5" borderId="26" xfId="0" applyFont="1" applyFill="1" applyBorder="1" applyAlignment="1">
      <alignment horizontal="left" vertical="center"/>
    </xf>
    <xf numFmtId="0" fontId="2" fillId="5" borderId="31" xfId="0" applyFont="1" applyFill="1" applyBorder="1" applyAlignment="1">
      <alignment horizontal="left" vertical="center"/>
    </xf>
    <xf numFmtId="0" fontId="2" fillId="5" borderId="34" xfId="0" applyFont="1" applyFill="1" applyBorder="1" applyAlignment="1">
      <alignment horizontal="left" vertical="center"/>
    </xf>
    <xf numFmtId="0" fontId="2" fillId="5" borderId="28" xfId="0" applyFont="1" applyFill="1" applyBorder="1" applyAlignment="1">
      <alignment horizontal="left" vertical="center"/>
    </xf>
    <xf numFmtId="0" fontId="2" fillId="5" borderId="32" xfId="0" applyFont="1" applyFill="1" applyBorder="1" applyAlignment="1">
      <alignment horizontal="left" vertical="center"/>
    </xf>
    <xf numFmtId="0" fontId="5" fillId="6" borderId="38" xfId="0" applyFont="1" applyFill="1" applyBorder="1" applyAlignment="1">
      <alignment horizontal="left" vertical="center"/>
    </xf>
    <xf numFmtId="0" fontId="5" fillId="6" borderId="11" xfId="0" applyFont="1" applyFill="1" applyBorder="1" applyAlignment="1">
      <alignment horizontal="left" vertical="center"/>
    </xf>
    <xf numFmtId="0" fontId="5" fillId="6" borderId="42" xfId="0" applyFont="1" applyFill="1" applyBorder="1" applyAlignment="1">
      <alignment horizontal="left" vertical="center"/>
    </xf>
    <xf numFmtId="0" fontId="5" fillId="6" borderId="34" xfId="0" applyFont="1" applyFill="1" applyBorder="1" applyAlignment="1">
      <alignment horizontal="left" vertical="center"/>
    </xf>
    <xf numFmtId="0" fontId="5" fillId="6" borderId="28" xfId="0" applyFont="1" applyFill="1" applyBorder="1" applyAlignment="1">
      <alignment horizontal="left" vertical="center"/>
    </xf>
    <xf numFmtId="0" fontId="5" fillId="6" borderId="32" xfId="0" applyFont="1" applyFill="1" applyBorder="1" applyAlignment="1">
      <alignment horizontal="left" vertical="center"/>
    </xf>
    <xf numFmtId="0" fontId="2" fillId="4" borderId="14" xfId="0" applyFont="1" applyFill="1" applyBorder="1" applyAlignment="1">
      <alignment horizontal="left" vertical="center"/>
    </xf>
    <xf numFmtId="0" fontId="2" fillId="4" borderId="15" xfId="0" applyFont="1" applyFill="1" applyBorder="1" applyAlignment="1">
      <alignment horizontal="left" vertical="center"/>
    </xf>
    <xf numFmtId="0" fontId="2" fillId="4" borderId="17" xfId="0" applyFont="1" applyFill="1" applyBorder="1" applyAlignment="1">
      <alignment horizontal="left" vertical="center"/>
    </xf>
    <xf numFmtId="0" fontId="2" fillId="4" borderId="12" xfId="0" applyFont="1" applyFill="1" applyBorder="1" applyAlignment="1">
      <alignment horizontal="left" vertical="center"/>
    </xf>
    <xf numFmtId="0" fontId="2" fillId="3" borderId="33" xfId="0" applyFont="1" applyFill="1" applyBorder="1" applyAlignment="1">
      <alignment horizontal="left" vertical="center"/>
    </xf>
    <xf numFmtId="0" fontId="2" fillId="3" borderId="26" xfId="0" applyFont="1" applyFill="1" applyBorder="1" applyAlignment="1">
      <alignment horizontal="left" vertical="center"/>
    </xf>
    <xf numFmtId="0" fontId="2" fillId="3" borderId="27" xfId="0" applyFont="1" applyFill="1" applyBorder="1" applyAlignment="1">
      <alignment horizontal="left" vertical="center"/>
    </xf>
    <xf numFmtId="0" fontId="2" fillId="3" borderId="34" xfId="0" applyFont="1" applyFill="1" applyBorder="1" applyAlignment="1">
      <alignment horizontal="left" vertical="center"/>
    </xf>
    <xf numFmtId="0" fontId="2" fillId="3" borderId="28" xfId="0" applyFont="1" applyFill="1" applyBorder="1" applyAlignment="1">
      <alignment horizontal="left" vertical="center"/>
    </xf>
    <xf numFmtId="0" fontId="2" fillId="3" borderId="29" xfId="0" applyFont="1" applyFill="1" applyBorder="1" applyAlignment="1">
      <alignment horizontal="left" vertical="center"/>
    </xf>
    <xf numFmtId="0" fontId="5" fillId="6" borderId="14" xfId="0" applyFont="1" applyFill="1" applyBorder="1" applyAlignment="1">
      <alignment horizontal="left" vertical="center"/>
    </xf>
    <xf numFmtId="0" fontId="5" fillId="6" borderId="15" xfId="0" applyFont="1" applyFill="1" applyBorder="1" applyAlignment="1">
      <alignment horizontal="left" vertical="center"/>
    </xf>
    <xf numFmtId="0" fontId="5" fillId="6" borderId="17" xfId="0" applyFont="1" applyFill="1" applyBorder="1" applyAlignment="1">
      <alignment horizontal="left" vertical="center"/>
    </xf>
    <xf numFmtId="0" fontId="5" fillId="6" borderId="12" xfId="0" applyFont="1" applyFill="1" applyBorder="1" applyAlignment="1">
      <alignment horizontal="left" vertical="center"/>
    </xf>
    <xf numFmtId="0" fontId="2" fillId="4" borderId="16" xfId="0" applyFont="1" applyFill="1" applyBorder="1" applyAlignment="1">
      <alignment horizontal="left" vertical="center"/>
    </xf>
    <xf numFmtId="0" fontId="2" fillId="4" borderId="18" xfId="0" applyFont="1" applyFill="1" applyBorder="1" applyAlignment="1">
      <alignment horizontal="left" vertical="center"/>
    </xf>
    <xf numFmtId="0" fontId="5" fillId="7" borderId="33" xfId="0" applyFont="1" applyFill="1" applyBorder="1" applyAlignment="1">
      <alignment horizontal="left" vertical="center"/>
    </xf>
    <xf numFmtId="0" fontId="5" fillId="7" borderId="26" xfId="0" applyFont="1" applyFill="1" applyBorder="1" applyAlignment="1">
      <alignment horizontal="left" vertical="center"/>
    </xf>
    <xf numFmtId="0" fontId="5" fillId="7" borderId="27" xfId="0" applyFont="1" applyFill="1" applyBorder="1" applyAlignment="1">
      <alignment horizontal="left" vertical="center"/>
    </xf>
    <xf numFmtId="0" fontId="5" fillId="7" borderId="35" xfId="0" applyFont="1" applyFill="1" applyBorder="1" applyAlignment="1">
      <alignment horizontal="left" vertical="center"/>
    </xf>
    <xf numFmtId="0" fontId="5" fillId="7" borderId="36" xfId="0" applyFont="1" applyFill="1" applyBorder="1" applyAlignment="1">
      <alignment horizontal="left" vertical="center"/>
    </xf>
    <xf numFmtId="0" fontId="5" fillId="7" borderId="37" xfId="0" applyFont="1" applyFill="1" applyBorder="1" applyAlignment="1">
      <alignment horizontal="left" vertical="center"/>
    </xf>
    <xf numFmtId="0" fontId="5" fillId="6" borderId="33" xfId="0" applyFont="1" applyFill="1" applyBorder="1" applyAlignment="1">
      <alignment horizontal="left" vertical="center"/>
    </xf>
    <xf numFmtId="0" fontId="5" fillId="6" borderId="26" xfId="0" applyFont="1" applyFill="1" applyBorder="1" applyAlignment="1">
      <alignment horizontal="left" vertical="center"/>
    </xf>
    <xf numFmtId="0" fontId="5" fillId="6" borderId="31" xfId="0" applyFont="1" applyFill="1" applyBorder="1" applyAlignment="1">
      <alignment horizontal="left" vertical="center"/>
    </xf>
    <xf numFmtId="0" fontId="5" fillId="7" borderId="34" xfId="0" applyFont="1" applyFill="1" applyBorder="1" applyAlignment="1">
      <alignment horizontal="left" vertical="center"/>
    </xf>
    <xf numFmtId="0" fontId="5" fillId="7" borderId="28" xfId="0" applyFont="1" applyFill="1" applyBorder="1" applyAlignment="1">
      <alignment horizontal="left" vertical="center"/>
    </xf>
    <xf numFmtId="0" fontId="5" fillId="7" borderId="29" xfId="0" applyFont="1" applyFill="1" applyBorder="1" applyAlignment="1">
      <alignment horizontal="left" vertical="center"/>
    </xf>
    <xf numFmtId="0" fontId="5" fillId="6" borderId="27" xfId="0" applyFont="1" applyFill="1" applyBorder="1" applyAlignment="1">
      <alignment horizontal="left" vertical="center"/>
    </xf>
    <xf numFmtId="0" fontId="5" fillId="6" borderId="29" xfId="0" applyFont="1" applyFill="1" applyBorder="1" applyAlignment="1">
      <alignment horizontal="left" vertical="center"/>
    </xf>
    <xf numFmtId="0" fontId="5" fillId="8" borderId="33" xfId="0" applyFont="1" applyFill="1" applyBorder="1" applyAlignment="1">
      <alignment horizontal="left" vertical="center"/>
    </xf>
    <xf numFmtId="0" fontId="5" fillId="8" borderId="26" xfId="0" applyFont="1" applyFill="1" applyBorder="1" applyAlignment="1">
      <alignment horizontal="left" vertical="center"/>
    </xf>
    <xf numFmtId="0" fontId="5" fillId="8" borderId="27" xfId="0" applyFont="1" applyFill="1" applyBorder="1" applyAlignment="1">
      <alignment horizontal="left" vertical="center"/>
    </xf>
    <xf numFmtId="0" fontId="5" fillId="8" borderId="34" xfId="0" applyFont="1" applyFill="1" applyBorder="1" applyAlignment="1">
      <alignment horizontal="left" vertical="center"/>
    </xf>
    <xf numFmtId="0" fontId="5" fillId="8" borderId="28" xfId="0" applyFont="1" applyFill="1" applyBorder="1" applyAlignment="1">
      <alignment horizontal="left" vertical="center"/>
    </xf>
    <xf numFmtId="0" fontId="5" fillId="8" borderId="29" xfId="0" applyFont="1" applyFill="1" applyBorder="1" applyAlignment="1">
      <alignment horizontal="left" vertical="center"/>
    </xf>
    <xf numFmtId="0" fontId="5" fillId="8" borderId="35" xfId="0" applyFont="1" applyFill="1" applyBorder="1" applyAlignment="1">
      <alignment horizontal="left" vertical="center"/>
    </xf>
    <xf numFmtId="0" fontId="5" fillId="8" borderId="36" xfId="0" applyFont="1" applyFill="1" applyBorder="1" applyAlignment="1">
      <alignment horizontal="left" vertical="center"/>
    </xf>
    <xf numFmtId="0" fontId="5" fillId="8" borderId="37" xfId="0" applyFont="1" applyFill="1" applyBorder="1" applyAlignment="1">
      <alignment horizontal="left" vertical="center"/>
    </xf>
    <xf numFmtId="0" fontId="2" fillId="4" borderId="33" xfId="0" applyFont="1" applyFill="1" applyBorder="1" applyAlignment="1">
      <alignment horizontal="left" vertical="center"/>
    </xf>
    <xf numFmtId="0" fontId="2" fillId="4" borderId="26" xfId="0" applyFont="1" applyFill="1" applyBorder="1" applyAlignment="1">
      <alignment horizontal="left" vertical="center"/>
    </xf>
    <xf numFmtId="0" fontId="2" fillId="4" borderId="27" xfId="0" applyFont="1" applyFill="1" applyBorder="1" applyAlignment="1">
      <alignment horizontal="left" vertical="center"/>
    </xf>
    <xf numFmtId="0" fontId="2" fillId="4" borderId="34" xfId="0" applyFont="1" applyFill="1" applyBorder="1" applyAlignment="1">
      <alignment horizontal="left" vertical="center"/>
    </xf>
    <xf numFmtId="0" fontId="2" fillId="4" borderId="28" xfId="0" applyFont="1" applyFill="1" applyBorder="1" applyAlignment="1">
      <alignment horizontal="left" vertical="center"/>
    </xf>
    <xf numFmtId="0" fontId="2" fillId="4" borderId="29" xfId="0" applyFont="1" applyFill="1" applyBorder="1" applyAlignment="1">
      <alignment horizontal="left" vertical="center"/>
    </xf>
  </cellXfs>
  <cellStyles count="1">
    <cellStyle name="Normální" xfId="0" builtinId="0"/>
  </cellStyles>
  <dxfs count="0"/>
  <tableStyles count="0" defaultTableStyle="TableStyleMedium9" defaultPivotStyle="PivotStyleLight16"/>
  <colors>
    <mruColors>
      <color rgb="FFFFCC99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F97"/>
  <sheetViews>
    <sheetView tabSelected="1" zoomScaleNormal="100" workbookViewId="0">
      <pane xSplit="5" ySplit="1" topLeftCell="K59" activePane="bottomRight" state="frozen"/>
      <selection pane="topRight" activeCell="F1" sqref="F1"/>
      <selection pane="bottomLeft" activeCell="A2" sqref="A2"/>
      <selection pane="bottomRight" activeCell="T86" sqref="T86"/>
    </sheetView>
  </sheetViews>
  <sheetFormatPr defaultRowHeight="12.75" x14ac:dyDescent="0.2"/>
  <cols>
    <col min="4" max="5" width="9.140625" customWidth="1"/>
    <col min="6" max="10" width="9.140625" hidden="1" customWidth="1"/>
    <col min="11" max="16" width="9.140625" customWidth="1"/>
    <col min="17" max="17" width="10.28515625" customWidth="1"/>
    <col min="18" max="23" width="9.140625" customWidth="1"/>
    <col min="24" max="24" width="9.7109375" customWidth="1"/>
    <col min="25" max="28" width="9.140625" customWidth="1"/>
  </cols>
  <sheetData>
    <row r="1" spans="1:136" s="28" customFormat="1" ht="13.5" thickBot="1" x14ac:dyDescent="0.25">
      <c r="A1" s="106" t="s">
        <v>0</v>
      </c>
      <c r="B1" s="107"/>
      <c r="C1" s="107"/>
      <c r="D1" s="108"/>
      <c r="E1" s="32" t="s">
        <v>56</v>
      </c>
      <c r="F1" s="31">
        <v>2013</v>
      </c>
      <c r="G1" s="31">
        <v>2014</v>
      </c>
      <c r="H1" s="31">
        <v>2015</v>
      </c>
      <c r="I1" s="31">
        <v>2016</v>
      </c>
      <c r="J1" s="31">
        <v>2017</v>
      </c>
      <c r="K1" s="31">
        <v>2018</v>
      </c>
      <c r="L1" s="31">
        <v>2019</v>
      </c>
      <c r="M1" s="31">
        <v>2020</v>
      </c>
      <c r="N1" s="31">
        <v>2021</v>
      </c>
      <c r="O1" s="31">
        <v>2022</v>
      </c>
      <c r="P1" s="31">
        <v>2023</v>
      </c>
      <c r="Q1" s="69" t="s">
        <v>19</v>
      </c>
      <c r="R1" s="69" t="s">
        <v>20</v>
      </c>
      <c r="S1" s="69" t="s">
        <v>21</v>
      </c>
      <c r="T1" s="69" t="s">
        <v>22</v>
      </c>
      <c r="U1" s="69" t="s">
        <v>23</v>
      </c>
      <c r="V1" s="69" t="s">
        <v>24</v>
      </c>
      <c r="W1" s="69" t="s">
        <v>25</v>
      </c>
      <c r="X1" s="69" t="s">
        <v>26</v>
      </c>
      <c r="Y1" s="69" t="s">
        <v>27</v>
      </c>
      <c r="Z1" s="69" t="s">
        <v>28</v>
      </c>
      <c r="AA1" s="69" t="s">
        <v>29</v>
      </c>
      <c r="AB1" s="69" t="s">
        <v>30</v>
      </c>
      <c r="AC1" s="27"/>
      <c r="AD1" s="27"/>
      <c r="AE1" s="27"/>
      <c r="AF1" s="27"/>
      <c r="AG1" s="27"/>
      <c r="AH1" s="27"/>
      <c r="AI1" s="27"/>
      <c r="AJ1" s="27"/>
      <c r="AK1" s="27"/>
      <c r="AL1" s="27"/>
      <c r="AM1" s="27"/>
      <c r="AN1" s="27"/>
      <c r="AO1" s="27"/>
      <c r="AP1" s="27"/>
      <c r="AQ1" s="27"/>
      <c r="AR1" s="27"/>
      <c r="AS1" s="27"/>
      <c r="AT1" s="27"/>
      <c r="AU1" s="27"/>
      <c r="AV1" s="27"/>
      <c r="AW1" s="27"/>
      <c r="AX1" s="27"/>
      <c r="AY1" s="27"/>
      <c r="AZ1" s="27"/>
      <c r="BA1" s="27"/>
      <c r="BB1" s="27"/>
      <c r="BC1" s="27"/>
      <c r="BD1" s="27"/>
      <c r="BE1" s="27"/>
      <c r="BF1" s="27"/>
      <c r="BG1" s="27"/>
      <c r="BH1" s="27"/>
      <c r="BI1" s="27"/>
      <c r="BJ1" s="27"/>
      <c r="BK1" s="27"/>
      <c r="BL1" s="27"/>
      <c r="BM1" s="27"/>
      <c r="BN1" s="27"/>
      <c r="BO1" s="27"/>
      <c r="BP1" s="27"/>
      <c r="BQ1" s="27"/>
      <c r="BR1" s="27"/>
      <c r="BS1" s="27"/>
      <c r="BT1" s="27"/>
      <c r="BU1" s="27"/>
      <c r="BV1" s="27"/>
      <c r="BW1" s="27"/>
      <c r="BX1" s="27"/>
      <c r="BY1" s="27"/>
      <c r="BZ1" s="27"/>
      <c r="CA1" s="27"/>
      <c r="CB1" s="27"/>
      <c r="CC1" s="27"/>
      <c r="CD1" s="27"/>
      <c r="CE1" s="27"/>
      <c r="CF1" s="27"/>
      <c r="CG1" s="27"/>
      <c r="CH1" s="27"/>
      <c r="CI1" s="27"/>
      <c r="CJ1" s="27"/>
      <c r="CK1" s="27"/>
      <c r="CL1" s="27"/>
      <c r="CM1" s="27"/>
      <c r="CN1" s="27"/>
      <c r="CO1" s="27"/>
      <c r="CP1" s="27"/>
      <c r="CQ1" s="27"/>
      <c r="CR1" s="27"/>
      <c r="CS1" s="27"/>
      <c r="CT1" s="27"/>
      <c r="CU1" s="27"/>
      <c r="CV1" s="27"/>
      <c r="CW1" s="27"/>
      <c r="CX1" s="27"/>
      <c r="CY1" s="27"/>
      <c r="CZ1" s="27"/>
      <c r="DA1" s="27"/>
      <c r="DB1" s="27"/>
      <c r="DC1" s="27"/>
      <c r="DD1" s="27"/>
      <c r="DE1" s="27"/>
      <c r="DF1" s="27"/>
      <c r="DG1" s="27"/>
      <c r="DH1" s="27"/>
      <c r="DI1" s="27"/>
      <c r="DJ1" s="27"/>
      <c r="DK1" s="27"/>
      <c r="DL1" s="27"/>
      <c r="DM1" s="27"/>
      <c r="DN1" s="27"/>
      <c r="DO1" s="27"/>
      <c r="DP1" s="27"/>
      <c r="DQ1" s="27"/>
      <c r="DR1" s="27"/>
      <c r="DS1" s="27"/>
      <c r="DT1" s="27"/>
      <c r="DU1" s="27"/>
      <c r="DV1" s="27"/>
      <c r="DW1" s="27"/>
      <c r="DX1" s="27"/>
      <c r="DY1" s="27"/>
      <c r="DZ1" s="27"/>
      <c r="EA1" s="27"/>
      <c r="EB1" s="27"/>
      <c r="EC1" s="27"/>
      <c r="ED1" s="27"/>
      <c r="EE1" s="27"/>
      <c r="EF1" s="27"/>
    </row>
    <row r="2" spans="1:136" s="1" customFormat="1" x14ac:dyDescent="0.2">
      <c r="A2" s="109" t="s">
        <v>9</v>
      </c>
      <c r="B2" s="110"/>
      <c r="C2" s="110"/>
      <c r="D2" s="111"/>
      <c r="E2" s="29" t="s">
        <v>6</v>
      </c>
      <c r="F2" s="33">
        <v>150</v>
      </c>
      <c r="G2" s="33">
        <v>150</v>
      </c>
      <c r="H2" s="33">
        <v>90</v>
      </c>
      <c r="I2" s="33">
        <v>90</v>
      </c>
      <c r="J2" s="33">
        <v>80</v>
      </c>
      <c r="K2" s="33">
        <v>45</v>
      </c>
      <c r="L2" s="33">
        <v>45</v>
      </c>
      <c r="M2" s="33">
        <v>30</v>
      </c>
      <c r="N2" s="33">
        <v>30</v>
      </c>
      <c r="O2" s="33">
        <v>42.4</v>
      </c>
      <c r="P2" s="33">
        <v>56.444000000000003</v>
      </c>
      <c r="Q2" s="70">
        <f>Q3/$P$2</f>
        <v>0.12343845227127773</v>
      </c>
      <c r="R2" s="70">
        <f t="shared" ref="R2:AB2" si="0">R3/$P$2</f>
        <v>0.21435174686414851</v>
      </c>
      <c r="S2" s="70">
        <f t="shared" si="0"/>
        <v>0.31056037842817658</v>
      </c>
      <c r="T2" s="70">
        <f t="shared" si="0"/>
        <v>0.40635195946424768</v>
      </c>
      <c r="U2" s="70">
        <f t="shared" si="0"/>
        <v>0</v>
      </c>
      <c r="V2" s="70">
        <f t="shared" si="0"/>
        <v>0</v>
      </c>
      <c r="W2" s="70">
        <f t="shared" si="0"/>
        <v>0</v>
      </c>
      <c r="X2" s="70">
        <f t="shared" si="0"/>
        <v>0</v>
      </c>
      <c r="Y2" s="70">
        <f t="shared" si="0"/>
        <v>0</v>
      </c>
      <c r="Z2" s="70">
        <f t="shared" si="0"/>
        <v>0</v>
      </c>
      <c r="AA2" s="70">
        <f t="shared" si="0"/>
        <v>0</v>
      </c>
      <c r="AB2" s="70">
        <f t="shared" si="0"/>
        <v>0</v>
      </c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8"/>
      <c r="CU2" s="8"/>
      <c r="CV2" s="8"/>
      <c r="CW2" s="8"/>
      <c r="CX2" s="8"/>
      <c r="CY2" s="8"/>
      <c r="CZ2" s="8"/>
      <c r="DA2" s="8"/>
      <c r="DB2" s="8"/>
      <c r="DC2" s="8"/>
      <c r="DD2" s="8"/>
      <c r="DE2" s="8"/>
      <c r="DF2" s="8"/>
      <c r="DG2" s="8"/>
      <c r="DH2" s="8"/>
      <c r="DI2" s="8"/>
      <c r="DJ2" s="8"/>
      <c r="DK2" s="8"/>
      <c r="DL2" s="8"/>
      <c r="DM2" s="8"/>
      <c r="DN2" s="8"/>
      <c r="DO2" s="8"/>
      <c r="DP2" s="8"/>
      <c r="DQ2" s="8"/>
      <c r="DR2" s="8"/>
      <c r="DS2" s="8"/>
      <c r="DT2" s="8"/>
      <c r="DU2" s="8"/>
      <c r="DV2" s="8"/>
      <c r="DW2" s="8"/>
      <c r="DX2" s="8"/>
      <c r="DY2" s="8"/>
      <c r="DZ2" s="8"/>
      <c r="EA2" s="8"/>
      <c r="EB2" s="8"/>
      <c r="EC2" s="8"/>
      <c r="ED2" s="8"/>
      <c r="EE2" s="8"/>
      <c r="EF2" s="8"/>
    </row>
    <row r="3" spans="1:136" s="22" customFormat="1" ht="13.5" thickBot="1" x14ac:dyDescent="0.25">
      <c r="A3" s="112"/>
      <c r="B3" s="113"/>
      <c r="C3" s="113"/>
      <c r="D3" s="114"/>
      <c r="E3" s="21" t="s">
        <v>5</v>
      </c>
      <c r="F3" s="34">
        <v>142</v>
      </c>
      <c r="G3" s="34">
        <v>118</v>
      </c>
      <c r="H3" s="34">
        <v>77.559299999999993</v>
      </c>
      <c r="I3" s="34">
        <v>61</v>
      </c>
      <c r="J3" s="34">
        <v>40.952399999999997</v>
      </c>
      <c r="K3" s="34">
        <v>40.991999999999997</v>
      </c>
      <c r="L3" s="94">
        <v>20.058</v>
      </c>
      <c r="M3" s="94">
        <v>42.261920000000003</v>
      </c>
      <c r="N3" s="94">
        <v>44.608179999999997</v>
      </c>
      <c r="O3" s="94">
        <v>59.501019999999997</v>
      </c>
      <c r="P3" s="94"/>
      <c r="Q3" s="71">
        <v>6.9673600000000002</v>
      </c>
      <c r="R3" s="71">
        <v>12.09887</v>
      </c>
      <c r="S3" s="71">
        <v>17.52927</v>
      </c>
      <c r="T3" s="71">
        <v>22.936129999999999</v>
      </c>
      <c r="U3" s="71"/>
      <c r="V3" s="71"/>
      <c r="W3" s="71"/>
      <c r="X3" s="71"/>
      <c r="Y3" s="71"/>
      <c r="Z3" s="71"/>
      <c r="AA3" s="71"/>
      <c r="AB3" s="71"/>
    </row>
    <row r="4" spans="1:136" s="8" customFormat="1" x14ac:dyDescent="0.2">
      <c r="A4" s="109" t="s">
        <v>4</v>
      </c>
      <c r="B4" s="110"/>
      <c r="C4" s="110"/>
      <c r="D4" s="111"/>
      <c r="E4" s="29" t="s">
        <v>6</v>
      </c>
      <c r="F4" s="33">
        <v>307</v>
      </c>
      <c r="G4" s="33">
        <v>350</v>
      </c>
      <c r="H4" s="33">
        <v>290</v>
      </c>
      <c r="I4" s="33">
        <v>255</v>
      </c>
      <c r="J4" s="33">
        <v>260</v>
      </c>
      <c r="K4" s="33">
        <v>300</v>
      </c>
      <c r="L4" s="93">
        <v>300</v>
      </c>
      <c r="M4" s="93">
        <v>320</v>
      </c>
      <c r="N4" s="93">
        <v>330</v>
      </c>
      <c r="O4" s="93">
        <v>434.6</v>
      </c>
      <c r="P4" s="93">
        <v>440</v>
      </c>
      <c r="Q4" s="72">
        <f>Q5/$P$4</f>
        <v>0.10072313636363636</v>
      </c>
      <c r="R4" s="72">
        <f t="shared" ref="R4:AB4" si="1">R5/$P$4</f>
        <v>0.20392561363636363</v>
      </c>
      <c r="S4" s="72">
        <f t="shared" si="1"/>
        <v>0.32913222727272728</v>
      </c>
      <c r="T4" s="72">
        <f t="shared" si="1"/>
        <v>0.46030784090909088</v>
      </c>
      <c r="U4" s="72">
        <f t="shared" si="1"/>
        <v>0</v>
      </c>
      <c r="V4" s="72">
        <f t="shared" si="1"/>
        <v>0</v>
      </c>
      <c r="W4" s="72">
        <f t="shared" si="1"/>
        <v>0</v>
      </c>
      <c r="X4" s="72">
        <f t="shared" si="1"/>
        <v>0</v>
      </c>
      <c r="Y4" s="72">
        <f t="shared" si="1"/>
        <v>0</v>
      </c>
      <c r="Z4" s="72">
        <f t="shared" si="1"/>
        <v>0</v>
      </c>
      <c r="AA4" s="72">
        <f t="shared" si="1"/>
        <v>0</v>
      </c>
      <c r="AB4" s="72">
        <f t="shared" si="1"/>
        <v>0</v>
      </c>
    </row>
    <row r="5" spans="1:136" s="22" customFormat="1" ht="13.5" thickBot="1" x14ac:dyDescent="0.25">
      <c r="A5" s="112"/>
      <c r="B5" s="113"/>
      <c r="C5" s="113"/>
      <c r="D5" s="114"/>
      <c r="E5" s="21" t="s">
        <v>5</v>
      </c>
      <c r="F5" s="34">
        <v>294</v>
      </c>
      <c r="G5" s="34">
        <v>269</v>
      </c>
      <c r="H5" s="34">
        <v>260.82</v>
      </c>
      <c r="I5" s="34">
        <v>261</v>
      </c>
      <c r="J5" s="34">
        <v>296.18401</v>
      </c>
      <c r="K5" s="34">
        <v>314.99200000000002</v>
      </c>
      <c r="L5" s="95">
        <v>327.14800000000002</v>
      </c>
      <c r="M5" s="95">
        <v>281.47897</v>
      </c>
      <c r="N5" s="95">
        <v>356.4991</v>
      </c>
      <c r="O5" s="95">
        <v>396.84818999999999</v>
      </c>
      <c r="P5" s="95"/>
      <c r="Q5" s="73">
        <v>44.318179999999998</v>
      </c>
      <c r="R5" s="73">
        <v>89.727270000000004</v>
      </c>
      <c r="S5" s="73">
        <v>144.81818000000001</v>
      </c>
      <c r="T5" s="73">
        <v>202.53545</v>
      </c>
      <c r="U5" s="73"/>
      <c r="V5" s="73"/>
      <c r="W5" s="73"/>
      <c r="X5" s="73"/>
      <c r="Y5" s="73"/>
      <c r="Z5" s="73"/>
      <c r="AA5" s="73"/>
      <c r="AB5" s="73"/>
    </row>
    <row r="6" spans="1:136" s="8" customFormat="1" x14ac:dyDescent="0.2">
      <c r="A6" s="115" t="s">
        <v>33</v>
      </c>
      <c r="B6" s="116"/>
      <c r="C6" s="116"/>
      <c r="D6" s="117"/>
      <c r="E6" s="30" t="s">
        <v>6</v>
      </c>
      <c r="F6" s="68">
        <f t="shared" ref="F6:F7" si="2">F2+F4</f>
        <v>457</v>
      </c>
      <c r="G6" s="68">
        <f t="shared" ref="G6:P7" si="3">G2+G4</f>
        <v>500</v>
      </c>
      <c r="H6" s="68">
        <f t="shared" si="3"/>
        <v>380</v>
      </c>
      <c r="I6" s="68">
        <f t="shared" si="3"/>
        <v>345</v>
      </c>
      <c r="J6" s="68">
        <f t="shared" si="3"/>
        <v>340</v>
      </c>
      <c r="K6" s="68">
        <f t="shared" si="3"/>
        <v>345</v>
      </c>
      <c r="L6" s="68">
        <f t="shared" si="3"/>
        <v>345</v>
      </c>
      <c r="M6" s="68">
        <f t="shared" si="3"/>
        <v>350</v>
      </c>
      <c r="N6" s="68">
        <f t="shared" si="3"/>
        <v>360</v>
      </c>
      <c r="O6" s="68">
        <f t="shared" si="3"/>
        <v>477</v>
      </c>
      <c r="P6" s="68">
        <f t="shared" si="3"/>
        <v>496.44400000000002</v>
      </c>
      <c r="Q6" s="74">
        <f>Q7/$O$6</f>
        <v>0.10751685534591195</v>
      </c>
      <c r="R6" s="74">
        <f t="shared" ref="R6:AB6" si="4">R7/$O$6</f>
        <v>0.21347199161425578</v>
      </c>
      <c r="S6" s="74">
        <f t="shared" si="4"/>
        <v>0.34035104821802936</v>
      </c>
      <c r="T6" s="74">
        <f t="shared" si="4"/>
        <v>0.47268675052410897</v>
      </c>
      <c r="U6" s="74">
        <f t="shared" si="4"/>
        <v>0</v>
      </c>
      <c r="V6" s="74">
        <f t="shared" si="4"/>
        <v>0</v>
      </c>
      <c r="W6" s="74">
        <f t="shared" si="4"/>
        <v>0</v>
      </c>
      <c r="X6" s="74">
        <f t="shared" si="4"/>
        <v>0</v>
      </c>
      <c r="Y6" s="74">
        <f t="shared" si="4"/>
        <v>0</v>
      </c>
      <c r="Z6" s="74">
        <f t="shared" si="4"/>
        <v>0</v>
      </c>
      <c r="AA6" s="74">
        <f t="shared" si="4"/>
        <v>0</v>
      </c>
      <c r="AB6" s="74">
        <f t="shared" si="4"/>
        <v>0</v>
      </c>
    </row>
    <row r="7" spans="1:136" s="22" customFormat="1" ht="13.5" thickBot="1" x14ac:dyDescent="0.25">
      <c r="A7" s="118"/>
      <c r="B7" s="119"/>
      <c r="C7" s="119"/>
      <c r="D7" s="120"/>
      <c r="E7" s="40" t="s">
        <v>5</v>
      </c>
      <c r="F7" s="35">
        <f t="shared" si="2"/>
        <v>436</v>
      </c>
      <c r="G7" s="35">
        <f t="shared" ref="G7:M7" si="5">G3+G5</f>
        <v>387</v>
      </c>
      <c r="H7" s="35">
        <f t="shared" si="5"/>
        <v>338.3793</v>
      </c>
      <c r="I7" s="35">
        <f t="shared" si="5"/>
        <v>322</v>
      </c>
      <c r="J7" s="35">
        <f t="shared" si="5"/>
        <v>337.13641000000001</v>
      </c>
      <c r="K7" s="35">
        <f t="shared" si="5"/>
        <v>355.98400000000004</v>
      </c>
      <c r="L7" s="35">
        <f t="shared" si="5"/>
        <v>347.20600000000002</v>
      </c>
      <c r="M7" s="35">
        <f t="shared" si="5"/>
        <v>323.74089000000004</v>
      </c>
      <c r="N7" s="39">
        <f t="shared" si="3"/>
        <v>401.10728</v>
      </c>
      <c r="O7" s="39">
        <f t="shared" si="3"/>
        <v>456.34920999999997</v>
      </c>
      <c r="P7" s="39">
        <f t="shared" si="3"/>
        <v>0</v>
      </c>
      <c r="Q7" s="39">
        <f>Q3+Q5</f>
        <v>51.285539999999997</v>
      </c>
      <c r="R7" s="39">
        <f>R3+R5</f>
        <v>101.82614000000001</v>
      </c>
      <c r="S7" s="39">
        <f>S3+S5</f>
        <v>162.34745000000001</v>
      </c>
      <c r="T7" s="39">
        <f t="shared" ref="T7:AB7" si="6">T3+T5</f>
        <v>225.47157999999999</v>
      </c>
      <c r="U7" s="39">
        <f t="shared" si="6"/>
        <v>0</v>
      </c>
      <c r="V7" s="39">
        <f t="shared" si="6"/>
        <v>0</v>
      </c>
      <c r="W7" s="39">
        <f t="shared" si="6"/>
        <v>0</v>
      </c>
      <c r="X7" s="39">
        <f t="shared" si="6"/>
        <v>0</v>
      </c>
      <c r="Y7" s="39">
        <f t="shared" si="6"/>
        <v>0</v>
      </c>
      <c r="Z7" s="39">
        <f t="shared" si="6"/>
        <v>0</v>
      </c>
      <c r="AA7" s="39">
        <f t="shared" si="6"/>
        <v>0</v>
      </c>
      <c r="AB7" s="39">
        <f t="shared" si="6"/>
        <v>0</v>
      </c>
    </row>
    <row r="8" spans="1:136" s="8" customFormat="1" ht="13.5" thickBot="1" x14ac:dyDescent="0.25">
      <c r="A8" s="9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</row>
    <row r="9" spans="1:136" s="8" customFormat="1" x14ac:dyDescent="0.2">
      <c r="A9" s="121" t="s">
        <v>34</v>
      </c>
      <c r="B9" s="122"/>
      <c r="C9" s="122"/>
      <c r="D9" s="122"/>
      <c r="E9" s="24" t="s">
        <v>6</v>
      </c>
      <c r="F9" s="37">
        <v>750</v>
      </c>
      <c r="G9" s="37">
        <v>1000</v>
      </c>
      <c r="H9" s="37">
        <v>750</v>
      </c>
      <c r="I9" s="37">
        <v>620</v>
      </c>
      <c r="J9" s="37">
        <v>500</v>
      </c>
      <c r="K9" s="37">
        <v>550</v>
      </c>
      <c r="L9" s="37">
        <v>550</v>
      </c>
      <c r="M9" s="37">
        <v>550</v>
      </c>
      <c r="N9" s="37">
        <v>480</v>
      </c>
      <c r="O9" s="37">
        <v>508.8</v>
      </c>
      <c r="P9" s="37">
        <v>480</v>
      </c>
      <c r="Q9" s="75">
        <f>Q10/$P$9</f>
        <v>6.2051791666666661E-2</v>
      </c>
      <c r="R9" s="75">
        <f t="shared" ref="R9:AB9" si="7">R10/$P$9</f>
        <v>0.1180485</v>
      </c>
      <c r="S9" s="75">
        <f t="shared" si="7"/>
        <v>0.17008179166666665</v>
      </c>
      <c r="T9" s="75">
        <f t="shared" si="7"/>
        <v>0.22451704166666667</v>
      </c>
      <c r="U9" s="75">
        <f t="shared" si="7"/>
        <v>0</v>
      </c>
      <c r="V9" s="75">
        <f t="shared" si="7"/>
        <v>0</v>
      </c>
      <c r="W9" s="75">
        <f t="shared" si="7"/>
        <v>0</v>
      </c>
      <c r="X9" s="75">
        <f t="shared" si="7"/>
        <v>0</v>
      </c>
      <c r="Y9" s="75">
        <f t="shared" si="7"/>
        <v>0</v>
      </c>
      <c r="Z9" s="75">
        <f t="shared" si="7"/>
        <v>0</v>
      </c>
      <c r="AA9" s="75">
        <f t="shared" si="7"/>
        <v>0</v>
      </c>
      <c r="AB9" s="75">
        <f t="shared" si="7"/>
        <v>0</v>
      </c>
    </row>
    <row r="10" spans="1:136" s="22" customFormat="1" ht="13.5" thickBot="1" x14ac:dyDescent="0.25">
      <c r="A10" s="123"/>
      <c r="B10" s="124"/>
      <c r="C10" s="124"/>
      <c r="D10" s="124"/>
      <c r="E10" s="41" t="s">
        <v>5</v>
      </c>
      <c r="F10" s="34">
        <v>929</v>
      </c>
      <c r="G10" s="34">
        <v>604</v>
      </c>
      <c r="H10" s="34">
        <v>465.08049999999997</v>
      </c>
      <c r="I10" s="34">
        <v>425</v>
      </c>
      <c r="J10" s="34">
        <v>516.16247999999996</v>
      </c>
      <c r="K10" s="34">
        <v>477.15</v>
      </c>
      <c r="L10" s="95">
        <v>462.85300000000001</v>
      </c>
      <c r="M10" s="95">
        <v>290.08321999999998</v>
      </c>
      <c r="N10" s="95">
        <v>389.46242999999998</v>
      </c>
      <c r="O10" s="95">
        <v>446.93650000000002</v>
      </c>
      <c r="P10" s="95"/>
      <c r="Q10" s="76">
        <v>29.784859999999998</v>
      </c>
      <c r="R10" s="76">
        <v>56.66328</v>
      </c>
      <c r="S10" s="76">
        <v>81.639259999999993</v>
      </c>
      <c r="T10" s="76">
        <v>107.76818</v>
      </c>
      <c r="U10" s="76"/>
      <c r="V10" s="76"/>
      <c r="W10" s="76"/>
      <c r="X10" s="76"/>
      <c r="Y10" s="76"/>
      <c r="Z10" s="76"/>
      <c r="AA10" s="76"/>
      <c r="AB10" s="76"/>
    </row>
    <row r="11" spans="1:136" s="8" customFormat="1" x14ac:dyDescent="0.2">
      <c r="A11" s="121" t="s">
        <v>7</v>
      </c>
      <c r="B11" s="122"/>
      <c r="C11" s="122"/>
      <c r="D11" s="122"/>
      <c r="E11" s="24" t="s">
        <v>6</v>
      </c>
      <c r="F11" s="37">
        <v>4000</v>
      </c>
      <c r="G11" s="37">
        <v>3100</v>
      </c>
      <c r="H11" s="37">
        <v>3460</v>
      </c>
      <c r="I11" s="37">
        <v>3000</v>
      </c>
      <c r="J11" s="37">
        <v>2500</v>
      </c>
      <c r="K11" s="37">
        <v>2400</v>
      </c>
      <c r="L11" s="37">
        <v>2300</v>
      </c>
      <c r="M11" s="37">
        <v>2500</v>
      </c>
      <c r="N11" s="105">
        <v>2600</v>
      </c>
      <c r="O11" s="105">
        <v>2862</v>
      </c>
      <c r="P11" s="105">
        <v>3200</v>
      </c>
      <c r="Q11" s="75">
        <f>Q12/$P$11</f>
        <v>9.3003584375000004E-2</v>
      </c>
      <c r="R11" s="75">
        <f t="shared" ref="R11:AB11" si="8">R12/$P$11</f>
        <v>0.1895729625</v>
      </c>
      <c r="S11" s="75">
        <f t="shared" si="8"/>
        <v>0.27317834375</v>
      </c>
      <c r="T11" s="75">
        <f t="shared" si="8"/>
        <v>0.35594815312500006</v>
      </c>
      <c r="U11" s="75">
        <f t="shared" si="8"/>
        <v>0</v>
      </c>
      <c r="V11" s="75">
        <f t="shared" si="8"/>
        <v>0</v>
      </c>
      <c r="W11" s="75">
        <f t="shared" si="8"/>
        <v>0</v>
      </c>
      <c r="X11" s="75">
        <f t="shared" si="8"/>
        <v>0</v>
      </c>
      <c r="Y11" s="75">
        <f t="shared" si="8"/>
        <v>0</v>
      </c>
      <c r="Z11" s="75">
        <f t="shared" si="8"/>
        <v>0</v>
      </c>
      <c r="AA11" s="75">
        <f t="shared" si="8"/>
        <v>0</v>
      </c>
      <c r="AB11" s="75">
        <f t="shared" si="8"/>
        <v>0</v>
      </c>
    </row>
    <row r="12" spans="1:136" s="22" customFormat="1" ht="13.5" thickBot="1" x14ac:dyDescent="0.25">
      <c r="A12" s="123"/>
      <c r="B12" s="124"/>
      <c r="C12" s="124"/>
      <c r="D12" s="124"/>
      <c r="E12" s="41" t="s">
        <v>5</v>
      </c>
      <c r="F12" s="34">
        <v>2807</v>
      </c>
      <c r="G12" s="34">
        <v>2775</v>
      </c>
      <c r="H12" s="34">
        <v>2443.1441</v>
      </c>
      <c r="I12" s="34">
        <v>2102</v>
      </c>
      <c r="J12" s="34">
        <v>2140.8692500000002</v>
      </c>
      <c r="K12" s="34">
        <v>2322.0929999999998</v>
      </c>
      <c r="L12" s="95">
        <v>2550.6379999999999</v>
      </c>
      <c r="M12" s="95">
        <v>2235.9048400000001</v>
      </c>
      <c r="N12" s="95">
        <v>2266.7501699999998</v>
      </c>
      <c r="O12" s="95">
        <v>3260.39777</v>
      </c>
      <c r="P12" s="95"/>
      <c r="Q12" s="76">
        <v>297.61147</v>
      </c>
      <c r="R12" s="76">
        <v>606.63347999999996</v>
      </c>
      <c r="S12" s="76">
        <v>874.17070000000001</v>
      </c>
      <c r="T12" s="76">
        <v>1139.0340900000001</v>
      </c>
      <c r="U12" s="76"/>
      <c r="V12" s="76"/>
      <c r="W12" s="76"/>
      <c r="X12" s="76"/>
      <c r="Y12" s="76"/>
      <c r="Z12" s="76"/>
      <c r="AA12" s="76"/>
      <c r="AB12" s="76"/>
    </row>
    <row r="13" spans="1:136" s="8" customFormat="1" x14ac:dyDescent="0.2">
      <c r="A13" s="121" t="s">
        <v>8</v>
      </c>
      <c r="B13" s="122"/>
      <c r="C13" s="122"/>
      <c r="D13" s="122"/>
      <c r="E13" s="24" t="s">
        <v>6</v>
      </c>
      <c r="F13" s="37">
        <v>10</v>
      </c>
      <c r="G13" s="37">
        <v>0</v>
      </c>
      <c r="H13" s="37">
        <v>0</v>
      </c>
      <c r="I13" s="37">
        <v>0</v>
      </c>
      <c r="J13" s="37">
        <v>0</v>
      </c>
      <c r="K13" s="37">
        <v>0</v>
      </c>
      <c r="L13" s="37">
        <v>0</v>
      </c>
      <c r="M13" s="37">
        <v>0</v>
      </c>
      <c r="N13" s="105">
        <v>0</v>
      </c>
      <c r="O13" s="105">
        <v>0</v>
      </c>
      <c r="P13" s="105">
        <v>0</v>
      </c>
      <c r="Q13" s="75">
        <v>0</v>
      </c>
      <c r="R13" s="75">
        <v>0</v>
      </c>
      <c r="S13" s="75">
        <v>0</v>
      </c>
      <c r="T13" s="75">
        <v>0</v>
      </c>
      <c r="U13" s="75">
        <v>0</v>
      </c>
      <c r="V13" s="75">
        <v>0</v>
      </c>
      <c r="W13" s="75">
        <v>0</v>
      </c>
      <c r="X13" s="75">
        <v>0</v>
      </c>
      <c r="Y13" s="75">
        <v>0</v>
      </c>
      <c r="Z13" s="75">
        <v>0</v>
      </c>
      <c r="AA13" s="75">
        <v>0</v>
      </c>
      <c r="AB13" s="75">
        <v>0</v>
      </c>
    </row>
    <row r="14" spans="1:136" s="22" customFormat="1" ht="13.5" thickBot="1" x14ac:dyDescent="0.25">
      <c r="A14" s="123"/>
      <c r="B14" s="124"/>
      <c r="C14" s="124"/>
      <c r="D14" s="124"/>
      <c r="E14" s="41" t="s">
        <v>5</v>
      </c>
      <c r="F14" s="34">
        <v>0</v>
      </c>
      <c r="G14" s="34">
        <v>0</v>
      </c>
      <c r="H14" s="34">
        <v>0</v>
      </c>
      <c r="I14" s="34">
        <v>0</v>
      </c>
      <c r="J14" s="34">
        <v>0</v>
      </c>
      <c r="K14" s="34">
        <v>1.9970000000000001</v>
      </c>
      <c r="L14" s="95">
        <v>0</v>
      </c>
      <c r="M14" s="95">
        <v>0</v>
      </c>
      <c r="N14" s="95">
        <v>0</v>
      </c>
      <c r="O14" s="95">
        <v>0</v>
      </c>
      <c r="P14" s="95"/>
      <c r="Q14" s="76">
        <v>0</v>
      </c>
      <c r="R14" s="76">
        <v>0</v>
      </c>
      <c r="S14" s="76">
        <v>0</v>
      </c>
      <c r="T14" s="76">
        <v>0</v>
      </c>
      <c r="U14" s="76">
        <v>0</v>
      </c>
      <c r="V14" s="76">
        <v>0</v>
      </c>
      <c r="W14" s="76">
        <v>0</v>
      </c>
      <c r="X14" s="76">
        <v>0</v>
      </c>
      <c r="Y14" s="76">
        <v>0</v>
      </c>
      <c r="Z14" s="76">
        <v>0</v>
      </c>
      <c r="AA14" s="76">
        <v>0</v>
      </c>
      <c r="AB14" s="76">
        <v>0</v>
      </c>
    </row>
    <row r="15" spans="1:136" s="22" customFormat="1" x14ac:dyDescent="0.2">
      <c r="A15" s="121" t="s">
        <v>57</v>
      </c>
      <c r="B15" s="122"/>
      <c r="C15" s="122"/>
      <c r="D15" s="135"/>
      <c r="E15" s="24" t="s">
        <v>6</v>
      </c>
      <c r="F15" s="37">
        <v>0</v>
      </c>
      <c r="G15" s="37">
        <v>0</v>
      </c>
      <c r="H15" s="37">
        <v>0</v>
      </c>
      <c r="I15" s="37">
        <v>0</v>
      </c>
      <c r="J15" s="37">
        <v>0</v>
      </c>
      <c r="K15" s="37">
        <v>150</v>
      </c>
      <c r="L15" s="37">
        <v>190</v>
      </c>
      <c r="M15" s="37">
        <v>200</v>
      </c>
      <c r="N15" s="105">
        <v>180</v>
      </c>
      <c r="O15" s="105">
        <v>212</v>
      </c>
      <c r="P15" s="105">
        <v>250</v>
      </c>
      <c r="Q15" s="75">
        <f>Q16/$P$15</f>
        <v>0.12403879999999999</v>
      </c>
      <c r="R15" s="75">
        <f t="shared" ref="R15:AB15" si="9">R16/$P$15</f>
        <v>0.19893340000000001</v>
      </c>
      <c r="S15" s="75">
        <f t="shared" si="9"/>
        <v>0.2651232</v>
      </c>
      <c r="T15" s="75">
        <f t="shared" si="9"/>
        <v>0.31683696</v>
      </c>
      <c r="U15" s="75">
        <f t="shared" si="9"/>
        <v>0</v>
      </c>
      <c r="V15" s="75">
        <f t="shared" si="9"/>
        <v>0</v>
      </c>
      <c r="W15" s="75">
        <f t="shared" si="9"/>
        <v>0</v>
      </c>
      <c r="X15" s="75">
        <f t="shared" si="9"/>
        <v>0</v>
      </c>
      <c r="Y15" s="75">
        <f t="shared" si="9"/>
        <v>0</v>
      </c>
      <c r="Z15" s="75">
        <f t="shared" si="9"/>
        <v>0</v>
      </c>
      <c r="AA15" s="75">
        <f t="shared" si="9"/>
        <v>0</v>
      </c>
      <c r="AB15" s="75">
        <f t="shared" si="9"/>
        <v>0</v>
      </c>
    </row>
    <row r="16" spans="1:136" s="22" customFormat="1" ht="13.5" thickBot="1" x14ac:dyDescent="0.25">
      <c r="A16" s="123"/>
      <c r="B16" s="124"/>
      <c r="C16" s="124"/>
      <c r="D16" s="136"/>
      <c r="E16" s="41" t="s">
        <v>5</v>
      </c>
      <c r="F16" s="34">
        <v>0</v>
      </c>
      <c r="G16" s="34">
        <v>0</v>
      </c>
      <c r="H16" s="34">
        <v>0</v>
      </c>
      <c r="I16" s="34">
        <v>0</v>
      </c>
      <c r="J16" s="34">
        <v>145.31582</v>
      </c>
      <c r="K16" s="34">
        <v>172.45500000000001</v>
      </c>
      <c r="L16" s="96">
        <v>168.18299999999999</v>
      </c>
      <c r="M16" s="96">
        <v>160.85266999999999</v>
      </c>
      <c r="N16" s="96">
        <v>165.33618999999999</v>
      </c>
      <c r="O16" s="96">
        <v>251.95909</v>
      </c>
      <c r="P16" s="96"/>
      <c r="Q16" s="77">
        <v>31.009699999999999</v>
      </c>
      <c r="R16" s="77">
        <v>49.733350000000002</v>
      </c>
      <c r="S16" s="77">
        <v>66.280799999999999</v>
      </c>
      <c r="T16" s="77">
        <v>79.209239999999994</v>
      </c>
      <c r="U16" s="77"/>
      <c r="V16" s="77"/>
      <c r="W16" s="77"/>
      <c r="X16" s="77"/>
      <c r="Y16" s="77"/>
      <c r="Z16" s="77"/>
      <c r="AA16" s="77"/>
      <c r="AB16" s="77"/>
    </row>
    <row r="17" spans="1:28" s="8" customFormat="1" x14ac:dyDescent="0.2">
      <c r="A17" s="121" t="s">
        <v>12</v>
      </c>
      <c r="B17" s="122"/>
      <c r="C17" s="122"/>
      <c r="D17" s="122"/>
      <c r="E17" s="24" t="s">
        <v>6</v>
      </c>
      <c r="F17" s="37">
        <v>820</v>
      </c>
      <c r="G17" s="37">
        <v>900</v>
      </c>
      <c r="H17" s="37">
        <v>800</v>
      </c>
      <c r="I17" s="37">
        <v>600</v>
      </c>
      <c r="J17" s="37">
        <v>400</v>
      </c>
      <c r="K17" s="37">
        <v>450</v>
      </c>
      <c r="L17" s="37">
        <v>450</v>
      </c>
      <c r="M17" s="37">
        <v>550</v>
      </c>
      <c r="N17" s="105">
        <v>500</v>
      </c>
      <c r="O17" s="105">
        <v>530</v>
      </c>
      <c r="P17" s="105">
        <v>513.125</v>
      </c>
      <c r="Q17" s="75">
        <f>Q18/$P$17</f>
        <v>3.3811917174177836E-2</v>
      </c>
      <c r="R17" s="75">
        <f t="shared" ref="R17:AB17" si="10">R18/$P$17</f>
        <v>9.0136341047503052E-2</v>
      </c>
      <c r="S17" s="75">
        <f t="shared" si="10"/>
        <v>0.23484507673568819</v>
      </c>
      <c r="T17" s="75">
        <f t="shared" si="10"/>
        <v>0.27721781242387333</v>
      </c>
      <c r="U17" s="75">
        <f t="shared" si="10"/>
        <v>0</v>
      </c>
      <c r="V17" s="75">
        <f t="shared" si="10"/>
        <v>0</v>
      </c>
      <c r="W17" s="75">
        <f t="shared" si="10"/>
        <v>0</v>
      </c>
      <c r="X17" s="75">
        <f t="shared" si="10"/>
        <v>0</v>
      </c>
      <c r="Y17" s="75">
        <f t="shared" si="10"/>
        <v>0</v>
      </c>
      <c r="Z17" s="75">
        <f t="shared" si="10"/>
        <v>0</v>
      </c>
      <c r="AA17" s="75">
        <f t="shared" si="10"/>
        <v>0</v>
      </c>
      <c r="AB17" s="75">
        <f t="shared" si="10"/>
        <v>0</v>
      </c>
    </row>
    <row r="18" spans="1:28" s="22" customFormat="1" ht="13.5" thickBot="1" x14ac:dyDescent="0.25">
      <c r="A18" s="123"/>
      <c r="B18" s="124"/>
      <c r="C18" s="124"/>
      <c r="D18" s="124"/>
      <c r="E18" s="41" t="s">
        <v>5</v>
      </c>
      <c r="F18" s="34">
        <v>699</v>
      </c>
      <c r="G18" s="34">
        <v>557</v>
      </c>
      <c r="H18" s="34">
        <v>504.59070000000003</v>
      </c>
      <c r="I18" s="34">
        <v>538</v>
      </c>
      <c r="J18" s="34">
        <v>434.51805000000002</v>
      </c>
      <c r="K18" s="34">
        <v>492.17599999999999</v>
      </c>
      <c r="L18" s="95">
        <v>458.358</v>
      </c>
      <c r="M18" s="95">
        <v>518.12639999999999</v>
      </c>
      <c r="N18" s="95">
        <v>465.29642000000001</v>
      </c>
      <c r="O18" s="95">
        <v>508.25051999999999</v>
      </c>
      <c r="P18" s="95"/>
      <c r="Q18" s="76">
        <v>17.349740000000001</v>
      </c>
      <c r="R18" s="76">
        <v>46.25121</v>
      </c>
      <c r="S18" s="76">
        <v>120.50488</v>
      </c>
      <c r="T18" s="76">
        <v>142.24739</v>
      </c>
      <c r="U18" s="76"/>
      <c r="V18" s="76"/>
      <c r="W18" s="76"/>
      <c r="X18" s="76"/>
      <c r="Y18" s="76"/>
      <c r="Z18" s="76"/>
      <c r="AA18" s="76"/>
      <c r="AB18" s="76"/>
    </row>
    <row r="19" spans="1:28" s="8" customFormat="1" x14ac:dyDescent="0.2">
      <c r="A19" s="121" t="s">
        <v>16</v>
      </c>
      <c r="B19" s="122"/>
      <c r="C19" s="122"/>
      <c r="D19" s="122"/>
      <c r="E19" s="24" t="s">
        <v>6</v>
      </c>
      <c r="F19" s="37">
        <v>1950</v>
      </c>
      <c r="G19" s="37">
        <v>2800</v>
      </c>
      <c r="H19" s="37">
        <v>3300</v>
      </c>
      <c r="I19" s="37">
        <v>2500</v>
      </c>
      <c r="J19" s="37">
        <v>1800</v>
      </c>
      <c r="K19" s="37">
        <v>2500</v>
      </c>
      <c r="L19" s="37">
        <v>2600</v>
      </c>
      <c r="M19" s="37">
        <v>2900</v>
      </c>
      <c r="N19" s="105">
        <v>3000</v>
      </c>
      <c r="O19" s="105">
        <v>2786</v>
      </c>
      <c r="P19" s="105">
        <v>4000</v>
      </c>
      <c r="Q19" s="75">
        <f>Q20/$P$19</f>
        <v>3.8837245000000006E-2</v>
      </c>
      <c r="R19" s="75">
        <f t="shared" ref="R19:AB19" si="11">R20/$P$19</f>
        <v>0.142161595</v>
      </c>
      <c r="S19" s="75">
        <f t="shared" si="11"/>
        <v>0.2583856725</v>
      </c>
      <c r="T19" s="75">
        <f t="shared" si="11"/>
        <v>0.29831402500000004</v>
      </c>
      <c r="U19" s="75">
        <f t="shared" si="11"/>
        <v>0</v>
      </c>
      <c r="V19" s="75">
        <f t="shared" si="11"/>
        <v>0</v>
      </c>
      <c r="W19" s="75">
        <f t="shared" si="11"/>
        <v>0</v>
      </c>
      <c r="X19" s="75">
        <f t="shared" si="11"/>
        <v>0</v>
      </c>
      <c r="Y19" s="75">
        <f t="shared" si="11"/>
        <v>0</v>
      </c>
      <c r="Z19" s="75">
        <f t="shared" si="11"/>
        <v>0</v>
      </c>
      <c r="AA19" s="75">
        <f t="shared" si="11"/>
        <v>0</v>
      </c>
      <c r="AB19" s="75">
        <f t="shared" si="11"/>
        <v>0</v>
      </c>
    </row>
    <row r="20" spans="1:28" s="22" customFormat="1" ht="13.5" thickBot="1" x14ac:dyDescent="0.25">
      <c r="A20" s="123"/>
      <c r="B20" s="124"/>
      <c r="C20" s="124"/>
      <c r="D20" s="124"/>
      <c r="E20" s="41" t="s">
        <v>5</v>
      </c>
      <c r="F20" s="34">
        <v>2087</v>
      </c>
      <c r="G20" s="34">
        <v>2968</v>
      </c>
      <c r="H20" s="34">
        <v>2602.5461</v>
      </c>
      <c r="I20" s="34">
        <v>2503</v>
      </c>
      <c r="J20" s="34">
        <v>2636.07987</v>
      </c>
      <c r="K20" s="34">
        <v>2840.011</v>
      </c>
      <c r="L20" s="95">
        <v>2929.4340000000002</v>
      </c>
      <c r="M20" s="95">
        <v>2618.4447300000002</v>
      </c>
      <c r="N20" s="95">
        <v>3146.65706</v>
      </c>
      <c r="O20" s="95">
        <v>5148.2625699999999</v>
      </c>
      <c r="P20" s="95"/>
      <c r="Q20" s="76">
        <v>155.34898000000001</v>
      </c>
      <c r="R20" s="76">
        <v>568.64638000000002</v>
      </c>
      <c r="S20" s="76">
        <v>1033.54269</v>
      </c>
      <c r="T20" s="76">
        <v>1193.2561000000001</v>
      </c>
      <c r="U20" s="76"/>
      <c r="V20" s="76"/>
      <c r="W20" s="76"/>
      <c r="X20" s="76"/>
      <c r="Y20" s="76"/>
      <c r="Z20" s="76"/>
      <c r="AA20" s="76"/>
      <c r="AB20" s="76"/>
    </row>
    <row r="21" spans="1:28" s="8" customFormat="1" x14ac:dyDescent="0.2">
      <c r="A21" s="121" t="s">
        <v>35</v>
      </c>
      <c r="B21" s="122"/>
      <c r="C21" s="122"/>
      <c r="D21" s="122"/>
      <c r="E21" s="24" t="s">
        <v>6</v>
      </c>
      <c r="F21" s="37">
        <v>60</v>
      </c>
      <c r="G21" s="37">
        <v>60</v>
      </c>
      <c r="H21" s="37">
        <v>150</v>
      </c>
      <c r="I21" s="37">
        <v>150</v>
      </c>
      <c r="J21" s="37">
        <v>300</v>
      </c>
      <c r="K21" s="37">
        <v>330</v>
      </c>
      <c r="L21" s="37">
        <v>330</v>
      </c>
      <c r="M21" s="37">
        <v>400</v>
      </c>
      <c r="N21" s="105">
        <v>350</v>
      </c>
      <c r="O21" s="105">
        <v>371</v>
      </c>
      <c r="P21" s="105">
        <v>300</v>
      </c>
      <c r="Q21" s="75">
        <f>Q22/$P$21</f>
        <v>9.6495299999999992E-2</v>
      </c>
      <c r="R21" s="75">
        <f t="shared" ref="R21:AB21" si="12">R22/$P$21</f>
        <v>0.15977133333333332</v>
      </c>
      <c r="S21" s="75">
        <f t="shared" si="12"/>
        <v>0.23083430000000002</v>
      </c>
      <c r="T21" s="75">
        <f t="shared" si="12"/>
        <v>0.33478969999999997</v>
      </c>
      <c r="U21" s="75">
        <f t="shared" si="12"/>
        <v>0</v>
      </c>
      <c r="V21" s="75">
        <f t="shared" si="12"/>
        <v>0</v>
      </c>
      <c r="W21" s="75">
        <f t="shared" si="12"/>
        <v>0</v>
      </c>
      <c r="X21" s="75">
        <f t="shared" si="12"/>
        <v>0</v>
      </c>
      <c r="Y21" s="75">
        <f t="shared" si="12"/>
        <v>0</v>
      </c>
      <c r="Z21" s="75">
        <f t="shared" si="12"/>
        <v>0</v>
      </c>
      <c r="AA21" s="75">
        <f t="shared" si="12"/>
        <v>0</v>
      </c>
      <c r="AB21" s="75">
        <f t="shared" si="12"/>
        <v>0</v>
      </c>
    </row>
    <row r="22" spans="1:28" s="22" customFormat="1" ht="13.5" thickBot="1" x14ac:dyDescent="0.25">
      <c r="A22" s="123"/>
      <c r="B22" s="124"/>
      <c r="C22" s="124"/>
      <c r="D22" s="124"/>
      <c r="E22" s="41" t="s">
        <v>5</v>
      </c>
      <c r="F22" s="34">
        <v>100</v>
      </c>
      <c r="G22" s="34">
        <v>102</v>
      </c>
      <c r="H22" s="34">
        <v>184.49430000000001</v>
      </c>
      <c r="I22" s="34">
        <v>286</v>
      </c>
      <c r="J22" s="34">
        <v>280.90543000000002</v>
      </c>
      <c r="K22" s="34">
        <v>356.93799999999999</v>
      </c>
      <c r="L22" s="95">
        <v>319.709</v>
      </c>
      <c r="M22" s="95">
        <v>379.27193</v>
      </c>
      <c r="N22" s="95">
        <v>336.32922000000002</v>
      </c>
      <c r="O22" s="95">
        <v>284.37612999999999</v>
      </c>
      <c r="P22" s="95"/>
      <c r="Q22" s="76">
        <v>28.948589999999999</v>
      </c>
      <c r="R22" s="76">
        <v>47.931399999999996</v>
      </c>
      <c r="S22" s="76">
        <v>69.250290000000007</v>
      </c>
      <c r="T22" s="76">
        <v>100.43691</v>
      </c>
      <c r="U22" s="76"/>
      <c r="V22" s="76"/>
      <c r="W22" s="76"/>
      <c r="X22" s="76"/>
      <c r="Y22" s="76"/>
      <c r="Z22" s="76"/>
      <c r="AA22" s="76"/>
      <c r="AB22" s="76"/>
    </row>
    <row r="23" spans="1:28" s="8" customFormat="1" x14ac:dyDescent="0.2">
      <c r="A23" s="121" t="s">
        <v>17</v>
      </c>
      <c r="B23" s="122"/>
      <c r="C23" s="122"/>
      <c r="D23" s="122"/>
      <c r="E23" s="24" t="s">
        <v>6</v>
      </c>
      <c r="F23" s="37">
        <v>35</v>
      </c>
      <c r="G23" s="37">
        <v>25</v>
      </c>
      <c r="H23" s="37">
        <v>30</v>
      </c>
      <c r="I23" s="37">
        <v>30</v>
      </c>
      <c r="J23" s="37">
        <v>30</v>
      </c>
      <c r="K23" s="37">
        <v>30</v>
      </c>
      <c r="L23" s="37">
        <v>25</v>
      </c>
      <c r="M23" s="37">
        <v>25</v>
      </c>
      <c r="N23" s="105">
        <v>20</v>
      </c>
      <c r="O23" s="105">
        <v>20</v>
      </c>
      <c r="P23" s="105">
        <v>20</v>
      </c>
      <c r="Q23" s="75">
        <f>Q24/$P$23</f>
        <v>0.67500000000000004</v>
      </c>
      <c r="R23" s="75">
        <f t="shared" ref="R23:AB23" si="13">R24/$P$23</f>
        <v>0.67500000000000004</v>
      </c>
      <c r="S23" s="75">
        <f t="shared" si="13"/>
        <v>0.67500000000000004</v>
      </c>
      <c r="T23" s="75">
        <f t="shared" si="13"/>
        <v>0.67500000000000004</v>
      </c>
      <c r="U23" s="75">
        <f t="shared" si="13"/>
        <v>0</v>
      </c>
      <c r="V23" s="75">
        <f t="shared" si="13"/>
        <v>0</v>
      </c>
      <c r="W23" s="75">
        <f t="shared" si="13"/>
        <v>0</v>
      </c>
      <c r="X23" s="75">
        <f t="shared" si="13"/>
        <v>0</v>
      </c>
      <c r="Y23" s="75">
        <f t="shared" si="13"/>
        <v>0</v>
      </c>
      <c r="Z23" s="75">
        <f t="shared" si="13"/>
        <v>0</v>
      </c>
      <c r="AA23" s="75">
        <f t="shared" si="13"/>
        <v>0</v>
      </c>
      <c r="AB23" s="75">
        <f t="shared" si="13"/>
        <v>0</v>
      </c>
    </row>
    <row r="24" spans="1:28" s="22" customFormat="1" ht="13.5" thickBot="1" x14ac:dyDescent="0.25">
      <c r="A24" s="123"/>
      <c r="B24" s="124"/>
      <c r="C24" s="124"/>
      <c r="D24" s="124"/>
      <c r="E24" s="41" t="s">
        <v>5</v>
      </c>
      <c r="F24" s="34">
        <v>27</v>
      </c>
      <c r="G24" s="34">
        <v>31</v>
      </c>
      <c r="H24" s="34">
        <v>27</v>
      </c>
      <c r="I24" s="34">
        <v>20</v>
      </c>
      <c r="J24" s="34">
        <v>20.135000000000002</v>
      </c>
      <c r="K24" s="34">
        <v>17.099</v>
      </c>
      <c r="L24" s="95">
        <v>18.13</v>
      </c>
      <c r="M24" s="95">
        <v>15</v>
      </c>
      <c r="N24" s="95">
        <v>16.5</v>
      </c>
      <c r="O24" s="95">
        <v>15</v>
      </c>
      <c r="P24" s="95"/>
      <c r="Q24" s="76">
        <v>13.5</v>
      </c>
      <c r="R24" s="76">
        <v>13.5</v>
      </c>
      <c r="S24" s="76">
        <v>13.5</v>
      </c>
      <c r="T24" s="76">
        <v>13.5</v>
      </c>
      <c r="U24" s="76"/>
      <c r="V24" s="76"/>
      <c r="W24" s="76"/>
      <c r="X24" s="76"/>
      <c r="Y24" s="76"/>
      <c r="Z24" s="76"/>
      <c r="AA24" s="76"/>
      <c r="AB24" s="76"/>
    </row>
    <row r="25" spans="1:28" s="8" customFormat="1" x14ac:dyDescent="0.2">
      <c r="A25" s="121" t="s">
        <v>18</v>
      </c>
      <c r="B25" s="122"/>
      <c r="C25" s="122"/>
      <c r="D25" s="122"/>
      <c r="E25" s="24" t="s">
        <v>6</v>
      </c>
      <c r="F25" s="37">
        <v>475</v>
      </c>
      <c r="G25" s="37">
        <v>600</v>
      </c>
      <c r="H25" s="37">
        <v>630</v>
      </c>
      <c r="I25" s="37">
        <v>710</v>
      </c>
      <c r="J25" s="37">
        <v>660</v>
      </c>
      <c r="K25" s="37">
        <v>800</v>
      </c>
      <c r="L25" s="37">
        <v>810</v>
      </c>
      <c r="M25" s="37">
        <v>900</v>
      </c>
      <c r="N25" s="105">
        <v>900</v>
      </c>
      <c r="O25" s="105">
        <v>960</v>
      </c>
      <c r="P25" s="105">
        <v>990</v>
      </c>
      <c r="Q25" s="75">
        <f>Q26/$P$25</f>
        <v>0.23025656565656566</v>
      </c>
      <c r="R25" s="75">
        <f t="shared" ref="R25:AB25" si="14">R26/$P$25</f>
        <v>0.23025656565656566</v>
      </c>
      <c r="S25" s="75">
        <f t="shared" si="14"/>
        <v>0.23025656565656566</v>
      </c>
      <c r="T25" s="75">
        <f t="shared" si="14"/>
        <v>0.46950606060606059</v>
      </c>
      <c r="U25" s="75">
        <f t="shared" si="14"/>
        <v>0</v>
      </c>
      <c r="V25" s="75">
        <f t="shared" si="14"/>
        <v>0</v>
      </c>
      <c r="W25" s="75">
        <f t="shared" si="14"/>
        <v>0</v>
      </c>
      <c r="X25" s="75">
        <f t="shared" si="14"/>
        <v>0</v>
      </c>
      <c r="Y25" s="75">
        <f t="shared" si="14"/>
        <v>0</v>
      </c>
      <c r="Z25" s="75">
        <f t="shared" si="14"/>
        <v>0</v>
      </c>
      <c r="AA25" s="75">
        <f t="shared" si="14"/>
        <v>0</v>
      </c>
      <c r="AB25" s="75">
        <f t="shared" si="14"/>
        <v>0</v>
      </c>
    </row>
    <row r="26" spans="1:28" s="22" customFormat="1" ht="13.5" thickBot="1" x14ac:dyDescent="0.25">
      <c r="A26" s="123"/>
      <c r="B26" s="124"/>
      <c r="C26" s="124"/>
      <c r="D26" s="124"/>
      <c r="E26" s="41" t="s">
        <v>5</v>
      </c>
      <c r="F26" s="34">
        <v>579</v>
      </c>
      <c r="G26" s="34">
        <v>582</v>
      </c>
      <c r="H26" s="34">
        <v>626</v>
      </c>
      <c r="I26" s="34">
        <v>626</v>
      </c>
      <c r="J26" s="34">
        <v>708.76400000000001</v>
      </c>
      <c r="K26" s="34">
        <v>808.63300000000004</v>
      </c>
      <c r="L26" s="95">
        <v>780.19500000000005</v>
      </c>
      <c r="M26" s="95">
        <v>872.78</v>
      </c>
      <c r="N26" s="95">
        <v>923.44299999999998</v>
      </c>
      <c r="O26" s="95">
        <v>916.45600000000002</v>
      </c>
      <c r="P26" s="95"/>
      <c r="Q26" s="76">
        <v>227.95400000000001</v>
      </c>
      <c r="R26" s="76">
        <v>227.95400000000001</v>
      </c>
      <c r="S26" s="76">
        <v>227.95400000000001</v>
      </c>
      <c r="T26" s="76">
        <v>464.81099999999998</v>
      </c>
      <c r="U26" s="76"/>
      <c r="V26" s="76"/>
      <c r="W26" s="76"/>
      <c r="X26" s="76"/>
      <c r="Y26" s="76"/>
      <c r="Z26" s="76"/>
      <c r="AA26" s="76"/>
      <c r="AB26" s="76"/>
    </row>
    <row r="27" spans="1:28" s="8" customFormat="1" x14ac:dyDescent="0.2">
      <c r="A27" s="131" t="s">
        <v>36</v>
      </c>
      <c r="B27" s="132"/>
      <c r="C27" s="132"/>
      <c r="D27" s="132"/>
      <c r="E27" s="25" t="s">
        <v>6</v>
      </c>
      <c r="F27" s="38">
        <f>F9+F11+F13+F15+F17+F19+F21+F23+F25</f>
        <v>8100</v>
      </c>
      <c r="G27" s="38">
        <f t="shared" ref="G27:P27" si="15">G9+G11+G13+G15+G17+G19+G21+G23+G25</f>
        <v>8485</v>
      </c>
      <c r="H27" s="38">
        <f t="shared" si="15"/>
        <v>9120</v>
      </c>
      <c r="I27" s="38">
        <f t="shared" si="15"/>
        <v>7610</v>
      </c>
      <c r="J27" s="38">
        <f t="shared" si="15"/>
        <v>6190</v>
      </c>
      <c r="K27" s="38">
        <f t="shared" si="15"/>
        <v>7210</v>
      </c>
      <c r="L27" s="38">
        <f t="shared" si="15"/>
        <v>7255</v>
      </c>
      <c r="M27" s="38">
        <f t="shared" si="15"/>
        <v>8025</v>
      </c>
      <c r="N27" s="38">
        <f t="shared" si="15"/>
        <v>8030</v>
      </c>
      <c r="O27" s="38">
        <f t="shared" si="15"/>
        <v>8249.7999999999993</v>
      </c>
      <c r="P27" s="38">
        <f t="shared" si="15"/>
        <v>9753.125</v>
      </c>
      <c r="Q27" s="78">
        <f>Q28/$O$27</f>
        <v>9.7154760115396727E-2</v>
      </c>
      <c r="R27" s="78">
        <f t="shared" ref="R27:AB27" si="16">R28/$O$27</f>
        <v>0.1960427040655531</v>
      </c>
      <c r="S27" s="78">
        <f t="shared" si="16"/>
        <v>0.30144277679458897</v>
      </c>
      <c r="T27" s="78">
        <f t="shared" si="16"/>
        <v>0.39276866227060059</v>
      </c>
      <c r="U27" s="78">
        <f t="shared" si="16"/>
        <v>0</v>
      </c>
      <c r="V27" s="78">
        <f t="shared" si="16"/>
        <v>0</v>
      </c>
      <c r="W27" s="78">
        <f t="shared" si="16"/>
        <v>0</v>
      </c>
      <c r="X27" s="78">
        <f t="shared" si="16"/>
        <v>0</v>
      </c>
      <c r="Y27" s="78">
        <f t="shared" si="16"/>
        <v>0</v>
      </c>
      <c r="Z27" s="78">
        <f t="shared" si="16"/>
        <v>0</v>
      </c>
      <c r="AA27" s="78">
        <f t="shared" si="16"/>
        <v>0</v>
      </c>
      <c r="AB27" s="78">
        <f t="shared" si="16"/>
        <v>0</v>
      </c>
    </row>
    <row r="28" spans="1:28" s="22" customFormat="1" ht="13.5" thickBot="1" x14ac:dyDescent="0.25">
      <c r="A28" s="133"/>
      <c r="B28" s="134"/>
      <c r="C28" s="134"/>
      <c r="D28" s="134"/>
      <c r="E28" s="40" t="s">
        <v>5</v>
      </c>
      <c r="F28" s="39">
        <f>F10+F12+F14+F16+F18+F20+F22+F24+F26</f>
        <v>7228</v>
      </c>
      <c r="G28" s="39">
        <f t="shared" ref="G28:P28" si="17">G10+G12+G14+G16+G18+G20+G22+G24+G26</f>
        <v>7619</v>
      </c>
      <c r="H28" s="39">
        <f t="shared" si="17"/>
        <v>6852.8557000000001</v>
      </c>
      <c r="I28" s="39">
        <f t="shared" si="17"/>
        <v>6500</v>
      </c>
      <c r="J28" s="39">
        <f t="shared" si="17"/>
        <v>6882.7499000000007</v>
      </c>
      <c r="K28" s="39">
        <f t="shared" si="17"/>
        <v>7488.5519999999997</v>
      </c>
      <c r="L28" s="39">
        <f t="shared" si="17"/>
        <v>7687.5</v>
      </c>
      <c r="M28" s="39">
        <f t="shared" si="17"/>
        <v>7090.4637899999998</v>
      </c>
      <c r="N28" s="39">
        <f t="shared" si="17"/>
        <v>7709.7744899999998</v>
      </c>
      <c r="O28" s="39">
        <f t="shared" si="17"/>
        <v>10831.638580000001</v>
      </c>
      <c r="P28" s="39">
        <f t="shared" si="17"/>
        <v>0</v>
      </c>
      <c r="Q28" s="39">
        <f t="shared" ref="Q28:AB28" si="18">Q10+Q12+Q14+Q16+Q18+Q20+Q22+Q24+Q26</f>
        <v>801.50733999999989</v>
      </c>
      <c r="R28" s="39">
        <f t="shared" si="18"/>
        <v>1617.3130999999998</v>
      </c>
      <c r="S28" s="39">
        <f t="shared" si="18"/>
        <v>2486.8426199999999</v>
      </c>
      <c r="T28" s="39">
        <f>T10+T12+T14+T16+T18+T20+T22+T24+T26</f>
        <v>3240.2629100000004</v>
      </c>
      <c r="U28" s="39">
        <f t="shared" si="18"/>
        <v>0</v>
      </c>
      <c r="V28" s="39">
        <f t="shared" si="18"/>
        <v>0</v>
      </c>
      <c r="W28" s="39">
        <f t="shared" si="18"/>
        <v>0</v>
      </c>
      <c r="X28" s="39">
        <f t="shared" si="18"/>
        <v>0</v>
      </c>
      <c r="Y28" s="39">
        <f t="shared" si="18"/>
        <v>0</v>
      </c>
      <c r="Z28" s="39">
        <f t="shared" si="18"/>
        <v>0</v>
      </c>
      <c r="AA28" s="39">
        <f t="shared" si="18"/>
        <v>0</v>
      </c>
      <c r="AB28" s="39">
        <f t="shared" si="18"/>
        <v>0</v>
      </c>
    </row>
    <row r="29" spans="1:28" s="8" customFormat="1" ht="13.5" thickBot="1" x14ac:dyDescent="0.25">
      <c r="A29" s="9"/>
      <c r="B29" s="9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</row>
    <row r="30" spans="1:28" s="8" customFormat="1" x14ac:dyDescent="0.2">
      <c r="A30" s="125" t="s">
        <v>1</v>
      </c>
      <c r="B30" s="126"/>
      <c r="C30" s="126"/>
      <c r="D30" s="127"/>
      <c r="E30" s="42" t="s">
        <v>6</v>
      </c>
      <c r="F30" s="37">
        <v>1900</v>
      </c>
      <c r="G30" s="37">
        <v>1900</v>
      </c>
      <c r="H30" s="37">
        <v>1800</v>
      </c>
      <c r="I30" s="37">
        <v>1900</v>
      </c>
      <c r="J30" s="37">
        <v>3500</v>
      </c>
      <c r="K30" s="37">
        <v>3100</v>
      </c>
      <c r="L30" s="65">
        <v>2677</v>
      </c>
      <c r="M30" s="65">
        <v>2641</v>
      </c>
      <c r="N30" s="65">
        <v>2720</v>
      </c>
      <c r="O30" s="65">
        <v>2989.2</v>
      </c>
      <c r="P30" s="65">
        <v>3306.578</v>
      </c>
      <c r="Q30" s="79">
        <f>Q31/$P$30</f>
        <v>7.286733293453232E-2</v>
      </c>
      <c r="R30" s="79">
        <f t="shared" ref="R30:AB30" si="19">R31/$P$30</f>
        <v>0.15144418489447398</v>
      </c>
      <c r="S30" s="79">
        <f t="shared" si="19"/>
        <v>0.23784902397584454</v>
      </c>
      <c r="T30" s="79">
        <f t="shared" si="19"/>
        <v>0.30735662367559452</v>
      </c>
      <c r="U30" s="79">
        <f t="shared" si="19"/>
        <v>0</v>
      </c>
      <c r="V30" s="79">
        <f t="shared" si="19"/>
        <v>0</v>
      </c>
      <c r="W30" s="79">
        <f t="shared" si="19"/>
        <v>0</v>
      </c>
      <c r="X30" s="79">
        <f t="shared" si="19"/>
        <v>0</v>
      </c>
      <c r="Y30" s="79">
        <f t="shared" si="19"/>
        <v>0</v>
      </c>
      <c r="Z30" s="79">
        <f t="shared" si="19"/>
        <v>0</v>
      </c>
      <c r="AA30" s="79">
        <f t="shared" si="19"/>
        <v>0</v>
      </c>
      <c r="AB30" s="79">
        <f t="shared" si="19"/>
        <v>0</v>
      </c>
    </row>
    <row r="31" spans="1:28" s="22" customFormat="1" ht="13.5" thickBot="1" x14ac:dyDescent="0.25">
      <c r="A31" s="128"/>
      <c r="B31" s="129"/>
      <c r="C31" s="129"/>
      <c r="D31" s="130"/>
      <c r="E31" s="43" t="s">
        <v>5</v>
      </c>
      <c r="F31" s="44">
        <v>1890</v>
      </c>
      <c r="G31" s="44">
        <v>1813</v>
      </c>
      <c r="H31" s="44">
        <v>1667.8593000000001</v>
      </c>
      <c r="I31" s="44">
        <v>1839</v>
      </c>
      <c r="J31" s="44">
        <v>2455.3067599999999</v>
      </c>
      <c r="K31" s="44">
        <v>239.88399999999999</v>
      </c>
      <c r="L31" s="94">
        <v>2628.3409999999999</v>
      </c>
      <c r="M31" s="94">
        <v>2717.43768</v>
      </c>
      <c r="N31" s="94">
        <v>2866.5271400000001</v>
      </c>
      <c r="O31" s="94">
        <v>2921.04637</v>
      </c>
      <c r="P31" s="94"/>
      <c r="Q31" s="80">
        <v>240.94152</v>
      </c>
      <c r="R31" s="80">
        <v>500.76200999999998</v>
      </c>
      <c r="S31" s="80">
        <v>786.46635000000003</v>
      </c>
      <c r="T31" s="80">
        <v>1016.29865</v>
      </c>
      <c r="U31" s="80"/>
      <c r="V31" s="80"/>
      <c r="W31" s="80"/>
      <c r="X31" s="80"/>
      <c r="Y31" s="80"/>
      <c r="Z31" s="80"/>
      <c r="AA31" s="80"/>
      <c r="AB31" s="80"/>
    </row>
    <row r="32" spans="1:28" s="8" customFormat="1" x14ac:dyDescent="0.2">
      <c r="A32" s="125" t="s">
        <v>37</v>
      </c>
      <c r="B32" s="126"/>
      <c r="C32" s="126"/>
      <c r="D32" s="127"/>
      <c r="E32" s="42" t="s">
        <v>6</v>
      </c>
      <c r="F32" s="37">
        <v>5500</v>
      </c>
      <c r="G32" s="37">
        <v>5200</v>
      </c>
      <c r="H32" s="37">
        <v>5300</v>
      </c>
      <c r="I32" s="37">
        <v>4813</v>
      </c>
      <c r="J32" s="37">
        <v>5100</v>
      </c>
      <c r="K32" s="37">
        <v>5300</v>
      </c>
      <c r="L32" s="65">
        <v>5370</v>
      </c>
      <c r="M32" s="65">
        <v>5781</v>
      </c>
      <c r="N32" s="98">
        <v>5415.5</v>
      </c>
      <c r="O32" s="98">
        <v>5939.18</v>
      </c>
      <c r="P32" s="98">
        <v>6326.8310000000001</v>
      </c>
      <c r="Q32" s="79">
        <f>Q33/$P$32</f>
        <v>7.5754824176590144E-2</v>
      </c>
      <c r="R32" s="79">
        <f t="shared" ref="R32:AB32" si="20">R33/$P$32</f>
        <v>0.16033241286198413</v>
      </c>
      <c r="S32" s="79">
        <f t="shared" si="20"/>
        <v>0.25695400430326015</v>
      </c>
      <c r="T32" s="79">
        <f t="shared" si="20"/>
        <v>0.34632477459884736</v>
      </c>
      <c r="U32" s="79">
        <f t="shared" si="20"/>
        <v>0</v>
      </c>
      <c r="V32" s="79">
        <f t="shared" si="20"/>
        <v>0</v>
      </c>
      <c r="W32" s="79">
        <f t="shared" si="20"/>
        <v>0</v>
      </c>
      <c r="X32" s="79">
        <f t="shared" si="20"/>
        <v>0</v>
      </c>
      <c r="Y32" s="79">
        <f t="shared" si="20"/>
        <v>0</v>
      </c>
      <c r="Z32" s="79">
        <f t="shared" si="20"/>
        <v>0</v>
      </c>
      <c r="AA32" s="79">
        <f t="shared" si="20"/>
        <v>0</v>
      </c>
      <c r="AB32" s="79">
        <f t="shared" si="20"/>
        <v>0</v>
      </c>
    </row>
    <row r="33" spans="1:28" s="22" customFormat="1" ht="13.5" thickBot="1" x14ac:dyDescent="0.25">
      <c r="A33" s="128"/>
      <c r="B33" s="129"/>
      <c r="C33" s="129"/>
      <c r="D33" s="130"/>
      <c r="E33" s="43" t="s">
        <v>5</v>
      </c>
      <c r="F33" s="44">
        <v>5058</v>
      </c>
      <c r="G33" s="44">
        <v>4776</v>
      </c>
      <c r="H33" s="44">
        <v>5013.2416000000003</v>
      </c>
      <c r="I33" s="44">
        <v>4959</v>
      </c>
      <c r="J33" s="44">
        <v>5326.1034499999996</v>
      </c>
      <c r="K33" s="44">
        <v>5652.3140000000003</v>
      </c>
      <c r="L33" s="94">
        <v>5691.6880000000001</v>
      </c>
      <c r="M33" s="94">
        <v>5356.1434900000004</v>
      </c>
      <c r="N33" s="94">
        <v>5465.2919899999997</v>
      </c>
      <c r="O33" s="94">
        <v>6643.7948100000003</v>
      </c>
      <c r="P33" s="94"/>
      <c r="Q33" s="80">
        <v>479.28796999999997</v>
      </c>
      <c r="R33" s="80">
        <v>1014.39608</v>
      </c>
      <c r="S33" s="80">
        <v>1625.7045599999999</v>
      </c>
      <c r="T33" s="80">
        <v>2191.13832</v>
      </c>
      <c r="U33" s="80"/>
      <c r="V33" s="80"/>
      <c r="W33" s="80"/>
      <c r="X33" s="80"/>
      <c r="Y33" s="80"/>
      <c r="Z33" s="80"/>
      <c r="AA33" s="80"/>
      <c r="AB33" s="80"/>
    </row>
    <row r="34" spans="1:28" s="8" customFormat="1" x14ac:dyDescent="0.2">
      <c r="A34" s="125" t="s">
        <v>11</v>
      </c>
      <c r="B34" s="126"/>
      <c r="C34" s="126"/>
      <c r="D34" s="127"/>
      <c r="E34" s="42" t="s">
        <v>6</v>
      </c>
      <c r="F34" s="37">
        <v>2800</v>
      </c>
      <c r="G34" s="37">
        <v>2900</v>
      </c>
      <c r="H34" s="37">
        <v>3500</v>
      </c>
      <c r="I34" s="37">
        <v>3500</v>
      </c>
      <c r="J34" s="37">
        <v>3300</v>
      </c>
      <c r="K34" s="37">
        <v>3100</v>
      </c>
      <c r="L34" s="65">
        <v>3367</v>
      </c>
      <c r="M34" s="65">
        <v>3147</v>
      </c>
      <c r="N34" s="98">
        <v>3123</v>
      </c>
      <c r="O34" s="98">
        <v>3219.22</v>
      </c>
      <c r="P34" s="98">
        <v>3185.48</v>
      </c>
      <c r="Q34" s="79">
        <f>Q35/$P$34</f>
        <v>5.4539865263633733E-2</v>
      </c>
      <c r="R34" s="79">
        <f t="shared" ref="R34:AB34" si="21">R35/$P$34</f>
        <v>0.1151201294624358</v>
      </c>
      <c r="S34" s="79">
        <f t="shared" si="21"/>
        <v>0.18507167522633949</v>
      </c>
      <c r="T34" s="79">
        <f t="shared" si="21"/>
        <v>0.23884243504903499</v>
      </c>
      <c r="U34" s="79">
        <f t="shared" si="21"/>
        <v>0</v>
      </c>
      <c r="V34" s="79">
        <f t="shared" si="21"/>
        <v>0</v>
      </c>
      <c r="W34" s="79">
        <f t="shared" si="21"/>
        <v>0</v>
      </c>
      <c r="X34" s="79">
        <f t="shared" si="21"/>
        <v>0</v>
      </c>
      <c r="Y34" s="79">
        <f t="shared" si="21"/>
        <v>0</v>
      </c>
      <c r="Z34" s="79">
        <f t="shared" si="21"/>
        <v>0</v>
      </c>
      <c r="AA34" s="79">
        <f t="shared" si="21"/>
        <v>0</v>
      </c>
      <c r="AB34" s="79">
        <f t="shared" si="21"/>
        <v>0</v>
      </c>
    </row>
    <row r="35" spans="1:28" s="22" customFormat="1" ht="13.5" thickBot="1" x14ac:dyDescent="0.25">
      <c r="A35" s="128"/>
      <c r="B35" s="129"/>
      <c r="C35" s="129"/>
      <c r="D35" s="130"/>
      <c r="E35" s="43" t="s">
        <v>5</v>
      </c>
      <c r="F35" s="44">
        <v>2833</v>
      </c>
      <c r="G35" s="44">
        <v>3316</v>
      </c>
      <c r="H35" s="44">
        <v>3234.8519000000001</v>
      </c>
      <c r="I35" s="44">
        <v>2991</v>
      </c>
      <c r="J35" s="44">
        <v>3030.12482</v>
      </c>
      <c r="K35" s="44">
        <v>3244</v>
      </c>
      <c r="L35" s="94">
        <v>3091.3539999999998</v>
      </c>
      <c r="M35" s="94">
        <v>2926.7005899999999</v>
      </c>
      <c r="N35" s="94">
        <v>2930.7260500000002</v>
      </c>
      <c r="O35" s="94">
        <v>2695.70345</v>
      </c>
      <c r="P35" s="94"/>
      <c r="Q35" s="80">
        <v>173.73564999999999</v>
      </c>
      <c r="R35" s="80">
        <v>366.71287000000001</v>
      </c>
      <c r="S35" s="80">
        <v>589.54211999999995</v>
      </c>
      <c r="T35" s="80">
        <v>760.82780000000002</v>
      </c>
      <c r="U35" s="80"/>
      <c r="V35" s="80"/>
      <c r="W35" s="80"/>
      <c r="X35" s="80"/>
      <c r="Y35" s="80"/>
      <c r="Z35" s="80"/>
      <c r="AA35" s="80"/>
      <c r="AB35" s="80"/>
    </row>
    <row r="36" spans="1:28" s="8" customFormat="1" x14ac:dyDescent="0.2">
      <c r="A36" s="125" t="s">
        <v>59</v>
      </c>
      <c r="B36" s="126"/>
      <c r="C36" s="126"/>
      <c r="D36" s="127"/>
      <c r="E36" s="42" t="s">
        <v>6</v>
      </c>
      <c r="F36" s="37">
        <v>7300</v>
      </c>
      <c r="G36" s="37">
        <v>6500</v>
      </c>
      <c r="H36" s="37">
        <v>5125</v>
      </c>
      <c r="I36" s="37">
        <v>5840</v>
      </c>
      <c r="J36" s="37">
        <v>7640</v>
      </c>
      <c r="K36" s="37">
        <v>8865</v>
      </c>
      <c r="L36" s="65">
        <f>400+450+100+180+8200+5</f>
        <v>9335</v>
      </c>
      <c r="M36" s="65">
        <f>450+300+120+180+8309+5</f>
        <v>9364</v>
      </c>
      <c r="N36" s="98">
        <v>9524.5</v>
      </c>
      <c r="O36" s="98">
        <f>318+371+106+84.8+10309.56+5.3</f>
        <v>11194.659999999998</v>
      </c>
      <c r="P36" s="98">
        <f>307.875+482.338+475.154+90.31+11685.909+5.131</f>
        <v>13046.716999999999</v>
      </c>
      <c r="Q36" s="79">
        <f>Q37/$P$36</f>
        <v>7.1601500208826496E-2</v>
      </c>
      <c r="R36" s="79">
        <f t="shared" ref="R36:AB36" si="22">R37/$P$36</f>
        <v>0.14712831588207212</v>
      </c>
      <c r="S36" s="79">
        <f t="shared" si="22"/>
        <v>0.2339883819048118</v>
      </c>
      <c r="T36" s="79">
        <f t="shared" si="22"/>
        <v>0.35691674234981879</v>
      </c>
      <c r="U36" s="79">
        <f t="shared" si="22"/>
        <v>0</v>
      </c>
      <c r="V36" s="79">
        <f t="shared" si="22"/>
        <v>0</v>
      </c>
      <c r="W36" s="79">
        <f t="shared" si="22"/>
        <v>0</v>
      </c>
      <c r="X36" s="79">
        <f t="shared" si="22"/>
        <v>0</v>
      </c>
      <c r="Y36" s="79">
        <f t="shared" si="22"/>
        <v>0</v>
      </c>
      <c r="Z36" s="79">
        <f t="shared" si="22"/>
        <v>0</v>
      </c>
      <c r="AA36" s="79">
        <f t="shared" si="22"/>
        <v>0</v>
      </c>
      <c r="AB36" s="79">
        <f t="shared" si="22"/>
        <v>0</v>
      </c>
    </row>
    <row r="37" spans="1:28" s="22" customFormat="1" ht="13.5" thickBot="1" x14ac:dyDescent="0.25">
      <c r="A37" s="128" t="s">
        <v>53</v>
      </c>
      <c r="B37" s="129"/>
      <c r="C37" s="129"/>
      <c r="D37" s="130"/>
      <c r="E37" s="43" t="s">
        <v>5</v>
      </c>
      <c r="F37" s="44">
        <v>7069</v>
      </c>
      <c r="G37" s="44">
        <v>7886</v>
      </c>
      <c r="H37" s="44">
        <v>5793.8991999999998</v>
      </c>
      <c r="I37" s="44">
        <v>8344</v>
      </c>
      <c r="J37" s="44">
        <v>8963.6679500000009</v>
      </c>
      <c r="K37" s="44">
        <v>9631</v>
      </c>
      <c r="L37" s="94">
        <f>347.437+304.102+66.051+156.495+8368.195+4.162</f>
        <v>9246.4419999999991</v>
      </c>
      <c r="M37" s="94">
        <v>9861.0174299999999</v>
      </c>
      <c r="N37" s="94">
        <f>237.41763+265.83622+80.85091+83.15409+10135.58372+0.19722</f>
        <v>10803.039790000001</v>
      </c>
      <c r="O37" s="94">
        <f>123.11565+468.82656+83.80964+89.43579+11402.3798+0.70669</f>
        <v>12168.274130000002</v>
      </c>
      <c r="P37" s="94"/>
      <c r="Q37" s="80">
        <f>2.00688+30.16063+10.33126+6.10496+885.56078</f>
        <v>934.16451000000006</v>
      </c>
      <c r="R37" s="80">
        <f>2.00688+48.84302+11.9146+21.16825+1835.60875</f>
        <v>1919.5415</v>
      </c>
      <c r="S37" s="80">
        <f>12.83835+72.52182+16.437+43.46667+2907.51636</f>
        <v>3052.7802000000001</v>
      </c>
      <c r="T37" s="80">
        <f>13.62903+82.70255+18.02032+44.97768+3808.53541+688.72674</f>
        <v>4656.5917300000001</v>
      </c>
      <c r="U37" s="80"/>
      <c r="V37" s="80"/>
      <c r="W37" s="80"/>
      <c r="X37" s="80"/>
      <c r="Y37" s="80"/>
      <c r="Z37" s="80"/>
      <c r="AA37" s="80"/>
      <c r="AB37" s="80"/>
    </row>
    <row r="38" spans="1:28" s="8" customFormat="1" x14ac:dyDescent="0.2">
      <c r="A38" s="125" t="s">
        <v>38</v>
      </c>
      <c r="B38" s="126"/>
      <c r="C38" s="126"/>
      <c r="D38" s="127"/>
      <c r="E38" s="42" t="s">
        <v>6</v>
      </c>
      <c r="F38" s="37">
        <v>230</v>
      </c>
      <c r="G38" s="37">
        <v>200</v>
      </c>
      <c r="H38" s="37">
        <v>150</v>
      </c>
      <c r="I38" s="37">
        <v>150</v>
      </c>
      <c r="J38" s="37">
        <v>100</v>
      </c>
      <c r="K38" s="37">
        <v>100</v>
      </c>
      <c r="L38" s="65">
        <v>140</v>
      </c>
      <c r="M38" s="65">
        <v>0</v>
      </c>
      <c r="N38" s="98">
        <v>120</v>
      </c>
      <c r="O38" s="98">
        <v>180.2</v>
      </c>
      <c r="P38" s="98">
        <v>369.45</v>
      </c>
      <c r="Q38" s="79">
        <f>Q39/$P$38</f>
        <v>7.2542590336987414E-2</v>
      </c>
      <c r="R38" s="79">
        <f t="shared" ref="R38:AB38" si="23">R39/$P$38</f>
        <v>0.14999117607254026</v>
      </c>
      <c r="S38" s="79">
        <f t="shared" si="23"/>
        <v>0.20783507917174179</v>
      </c>
      <c r="T38" s="79">
        <f t="shared" si="23"/>
        <v>0.33618254161591554</v>
      </c>
      <c r="U38" s="79">
        <f t="shared" si="23"/>
        <v>0</v>
      </c>
      <c r="V38" s="79">
        <f t="shared" si="23"/>
        <v>0</v>
      </c>
      <c r="W38" s="79">
        <f t="shared" si="23"/>
        <v>0</v>
      </c>
      <c r="X38" s="79">
        <f t="shared" si="23"/>
        <v>0</v>
      </c>
      <c r="Y38" s="79">
        <f t="shared" si="23"/>
        <v>0</v>
      </c>
      <c r="Z38" s="79">
        <f t="shared" si="23"/>
        <v>0</v>
      </c>
      <c r="AA38" s="79">
        <f t="shared" si="23"/>
        <v>0</v>
      </c>
      <c r="AB38" s="79">
        <f t="shared" si="23"/>
        <v>0</v>
      </c>
    </row>
    <row r="39" spans="1:28" s="22" customFormat="1" ht="13.5" thickBot="1" x14ac:dyDescent="0.25">
      <c r="A39" s="128"/>
      <c r="B39" s="129"/>
      <c r="C39" s="129"/>
      <c r="D39" s="130"/>
      <c r="E39" s="43" t="s">
        <v>5</v>
      </c>
      <c r="F39" s="44">
        <v>127</v>
      </c>
      <c r="G39" s="44">
        <v>63</v>
      </c>
      <c r="H39" s="44">
        <v>118.96380000000001</v>
      </c>
      <c r="I39" s="44">
        <v>89</v>
      </c>
      <c r="J39" s="44">
        <v>226.27035000000001</v>
      </c>
      <c r="K39" s="44">
        <v>170</v>
      </c>
      <c r="L39" s="94">
        <v>245.31200000000001</v>
      </c>
      <c r="M39" s="94">
        <v>207.07066</v>
      </c>
      <c r="N39" s="94">
        <f>300.32609</f>
        <v>300.32609000000002</v>
      </c>
      <c r="O39" s="94">
        <v>364.05919999999998</v>
      </c>
      <c r="P39" s="94"/>
      <c r="Q39" s="80">
        <v>26.80086</v>
      </c>
      <c r="R39" s="80">
        <v>55.414239999999999</v>
      </c>
      <c r="S39" s="80">
        <v>76.784670000000006</v>
      </c>
      <c r="T39" s="80">
        <v>124.20264</v>
      </c>
      <c r="U39" s="80"/>
      <c r="V39" s="80"/>
      <c r="W39" s="80"/>
      <c r="X39" s="80"/>
      <c r="Y39" s="80"/>
      <c r="Z39" s="80"/>
      <c r="AA39" s="80"/>
      <c r="AB39" s="80"/>
    </row>
    <row r="40" spans="1:28" s="8" customFormat="1" x14ac:dyDescent="0.2">
      <c r="A40" s="125" t="s">
        <v>2</v>
      </c>
      <c r="B40" s="126"/>
      <c r="C40" s="126"/>
      <c r="D40" s="127"/>
      <c r="E40" s="42" t="s">
        <v>6</v>
      </c>
      <c r="F40" s="37">
        <v>2200</v>
      </c>
      <c r="G40" s="37">
        <v>2200</v>
      </c>
      <c r="H40" s="37">
        <v>3060</v>
      </c>
      <c r="I40" s="37">
        <v>3060</v>
      </c>
      <c r="J40" s="37">
        <v>3100</v>
      </c>
      <c r="K40" s="37">
        <v>2020</v>
      </c>
      <c r="L40" s="65">
        <v>2000</v>
      </c>
      <c r="M40" s="65">
        <v>400</v>
      </c>
      <c r="N40" s="98">
        <v>0</v>
      </c>
      <c r="O40" s="98">
        <v>0</v>
      </c>
      <c r="P40" s="98">
        <v>0</v>
      </c>
      <c r="Q40" s="104">
        <v>0</v>
      </c>
      <c r="R40" s="104">
        <v>0</v>
      </c>
      <c r="S40" s="104">
        <v>0</v>
      </c>
      <c r="T40" s="104">
        <v>0</v>
      </c>
      <c r="U40" s="104">
        <v>0</v>
      </c>
      <c r="V40" s="104">
        <v>0</v>
      </c>
      <c r="W40" s="104">
        <v>0</v>
      </c>
      <c r="X40" s="104">
        <v>0</v>
      </c>
      <c r="Y40" s="104">
        <v>0</v>
      </c>
      <c r="Z40" s="104">
        <v>0</v>
      </c>
      <c r="AA40" s="104">
        <v>0</v>
      </c>
      <c r="AB40" s="104">
        <v>0</v>
      </c>
    </row>
    <row r="41" spans="1:28" s="22" customFormat="1" ht="13.5" thickBot="1" x14ac:dyDescent="0.25">
      <c r="A41" s="128"/>
      <c r="B41" s="129"/>
      <c r="C41" s="129"/>
      <c r="D41" s="130"/>
      <c r="E41" s="43" t="s">
        <v>5</v>
      </c>
      <c r="F41" s="44">
        <v>2473</v>
      </c>
      <c r="G41" s="44">
        <v>2074</v>
      </c>
      <c r="H41" s="44">
        <v>2750.0173</v>
      </c>
      <c r="I41" s="44">
        <v>3229</v>
      </c>
      <c r="J41" s="44">
        <v>3238.79412</v>
      </c>
      <c r="K41" s="44">
        <v>1490</v>
      </c>
      <c r="L41" s="94">
        <v>293.52600000000001</v>
      </c>
      <c r="M41" s="94">
        <v>5.3674999999999997</v>
      </c>
      <c r="N41" s="94">
        <v>6.4497200000000001</v>
      </c>
      <c r="O41" s="94">
        <v>9.4</v>
      </c>
      <c r="P41" s="94"/>
      <c r="Q41" s="80">
        <v>1.425</v>
      </c>
      <c r="R41" s="80">
        <v>1.425</v>
      </c>
      <c r="S41" s="80">
        <v>1.425</v>
      </c>
      <c r="T41" s="80">
        <v>1.425</v>
      </c>
      <c r="U41" s="80"/>
      <c r="V41" s="80"/>
      <c r="W41" s="80"/>
      <c r="X41" s="80"/>
      <c r="Y41" s="80"/>
      <c r="Z41" s="80"/>
      <c r="AA41" s="80"/>
      <c r="AB41" s="80"/>
    </row>
    <row r="42" spans="1:28" s="8" customFormat="1" x14ac:dyDescent="0.2">
      <c r="A42" s="125" t="s">
        <v>13</v>
      </c>
      <c r="B42" s="126"/>
      <c r="C42" s="126"/>
      <c r="D42" s="127"/>
      <c r="E42" s="42" t="s">
        <v>6</v>
      </c>
      <c r="F42" s="37">
        <v>1480</v>
      </c>
      <c r="G42" s="37">
        <v>1600</v>
      </c>
      <c r="H42" s="37">
        <v>1500</v>
      </c>
      <c r="I42" s="37">
        <v>1500</v>
      </c>
      <c r="J42" s="37">
        <v>2115</v>
      </c>
      <c r="K42" s="37">
        <v>2900</v>
      </c>
      <c r="L42" s="65">
        <v>2900</v>
      </c>
      <c r="M42" s="65">
        <v>1000</v>
      </c>
      <c r="N42" s="98">
        <v>1800</v>
      </c>
      <c r="O42" s="98">
        <v>2120</v>
      </c>
      <c r="P42" s="98">
        <v>2668.25</v>
      </c>
      <c r="Q42" s="79">
        <f>Q43/$P$42</f>
        <v>0.10994985102595334</v>
      </c>
      <c r="R42" s="79">
        <f t="shared" ref="R42:AB42" si="24">R43/$P$42</f>
        <v>0.35701347325025762</v>
      </c>
      <c r="S42" s="79">
        <f t="shared" si="24"/>
        <v>0.40556059589618665</v>
      </c>
      <c r="T42" s="79">
        <f t="shared" si="24"/>
        <v>0.47058031293919234</v>
      </c>
      <c r="U42" s="79">
        <f t="shared" si="24"/>
        <v>0</v>
      </c>
      <c r="V42" s="79">
        <f t="shared" si="24"/>
        <v>0</v>
      </c>
      <c r="W42" s="79">
        <f t="shared" si="24"/>
        <v>0</v>
      </c>
      <c r="X42" s="79">
        <f t="shared" si="24"/>
        <v>0</v>
      </c>
      <c r="Y42" s="79">
        <f t="shared" si="24"/>
        <v>0</v>
      </c>
      <c r="Z42" s="79">
        <f t="shared" si="24"/>
        <v>0</v>
      </c>
      <c r="AA42" s="79">
        <f t="shared" si="24"/>
        <v>0</v>
      </c>
      <c r="AB42" s="79">
        <f t="shared" si="24"/>
        <v>0</v>
      </c>
    </row>
    <row r="43" spans="1:28" s="22" customFormat="1" ht="13.5" thickBot="1" x14ac:dyDescent="0.25">
      <c r="A43" s="128"/>
      <c r="B43" s="129"/>
      <c r="C43" s="129"/>
      <c r="D43" s="130"/>
      <c r="E43" s="43" t="s">
        <v>5</v>
      </c>
      <c r="F43" s="57" t="s">
        <v>50</v>
      </c>
      <c r="G43" s="57" t="s">
        <v>52</v>
      </c>
      <c r="H43" s="57">
        <v>1739</v>
      </c>
      <c r="I43" s="57">
        <v>2094</v>
      </c>
      <c r="J43" s="57">
        <v>2592.6892200000002</v>
      </c>
      <c r="K43" s="57">
        <v>3654</v>
      </c>
      <c r="L43" s="94">
        <v>2164.5390000000002</v>
      </c>
      <c r="M43" s="94">
        <v>2100.7148299999999</v>
      </c>
      <c r="N43" s="94">
        <v>3300.3358600000001</v>
      </c>
      <c r="O43" s="94">
        <v>3900.9346999999998</v>
      </c>
      <c r="P43" s="94"/>
      <c r="Q43" s="80">
        <v>293.37369000000001</v>
      </c>
      <c r="R43" s="80">
        <v>952.60119999999995</v>
      </c>
      <c r="S43" s="80">
        <v>1082.13706</v>
      </c>
      <c r="T43" s="80">
        <v>1255.62592</v>
      </c>
      <c r="U43" s="80"/>
      <c r="V43" s="80"/>
      <c r="W43" s="80"/>
      <c r="X43" s="80"/>
      <c r="Y43" s="80"/>
      <c r="Z43" s="80"/>
      <c r="AA43" s="80"/>
      <c r="AB43" s="80"/>
    </row>
    <row r="44" spans="1:28" s="8" customFormat="1" x14ac:dyDescent="0.2">
      <c r="A44" s="125" t="s">
        <v>14</v>
      </c>
      <c r="B44" s="126"/>
      <c r="C44" s="126"/>
      <c r="D44" s="127"/>
      <c r="E44" s="42" t="s">
        <v>6</v>
      </c>
      <c r="F44" s="37">
        <v>90</v>
      </c>
      <c r="G44" s="37">
        <v>50</v>
      </c>
      <c r="H44" s="37">
        <v>80</v>
      </c>
      <c r="I44" s="37">
        <v>30</v>
      </c>
      <c r="J44" s="37">
        <v>30</v>
      </c>
      <c r="K44" s="37">
        <v>90</v>
      </c>
      <c r="L44" s="65">
        <v>64</v>
      </c>
      <c r="M44" s="65">
        <v>125</v>
      </c>
      <c r="N44" s="98">
        <v>100</v>
      </c>
      <c r="O44" s="98">
        <v>127.2</v>
      </c>
      <c r="P44" s="98">
        <v>184.72499999999999</v>
      </c>
      <c r="Q44" s="79">
        <f>Q45/$P$44</f>
        <v>5.9417458384084451E-2</v>
      </c>
      <c r="R44" s="79">
        <f t="shared" ref="R44:AB44" si="25">R45/$P$44</f>
        <v>0.12855114359182571</v>
      </c>
      <c r="S44" s="79">
        <f t="shared" si="25"/>
        <v>0.22175585329543918</v>
      </c>
      <c r="T44" s="79">
        <f t="shared" si="25"/>
        <v>0.26324628501827041</v>
      </c>
      <c r="U44" s="79">
        <f t="shared" si="25"/>
        <v>0</v>
      </c>
      <c r="V44" s="79">
        <f t="shared" si="25"/>
        <v>0</v>
      </c>
      <c r="W44" s="79">
        <f t="shared" si="25"/>
        <v>0</v>
      </c>
      <c r="X44" s="79">
        <f t="shared" si="25"/>
        <v>0</v>
      </c>
      <c r="Y44" s="79">
        <f t="shared" si="25"/>
        <v>0</v>
      </c>
      <c r="Z44" s="79">
        <f t="shared" si="25"/>
        <v>0</v>
      </c>
      <c r="AA44" s="79">
        <f t="shared" si="25"/>
        <v>0</v>
      </c>
      <c r="AB44" s="79">
        <f t="shared" si="25"/>
        <v>0</v>
      </c>
    </row>
    <row r="45" spans="1:28" s="22" customFormat="1" ht="13.5" thickBot="1" x14ac:dyDescent="0.25">
      <c r="A45" s="128"/>
      <c r="B45" s="129"/>
      <c r="C45" s="129"/>
      <c r="D45" s="130"/>
      <c r="E45" s="43" t="s">
        <v>5</v>
      </c>
      <c r="F45" s="44">
        <v>48</v>
      </c>
      <c r="G45" s="44">
        <v>76</v>
      </c>
      <c r="H45" s="44">
        <v>27.234300000000001</v>
      </c>
      <c r="I45" s="44">
        <v>75</v>
      </c>
      <c r="J45" s="44">
        <v>94.187939999999998</v>
      </c>
      <c r="K45" s="44">
        <v>66</v>
      </c>
      <c r="L45" s="94">
        <v>145.05000000000001</v>
      </c>
      <c r="M45" s="94">
        <v>138.71097</v>
      </c>
      <c r="N45" s="94">
        <v>176.13726</v>
      </c>
      <c r="O45" s="94">
        <v>219.50876</v>
      </c>
      <c r="P45" s="94"/>
      <c r="Q45" s="80">
        <v>10.97589</v>
      </c>
      <c r="R45" s="80">
        <v>23.74661</v>
      </c>
      <c r="S45" s="80">
        <v>40.963850000000001</v>
      </c>
      <c r="T45" s="80">
        <v>48.628169999999997</v>
      </c>
      <c r="U45" s="80"/>
      <c r="V45" s="80"/>
      <c r="W45" s="80"/>
      <c r="X45" s="80"/>
      <c r="Y45" s="80"/>
      <c r="Z45" s="80"/>
      <c r="AA45" s="80"/>
      <c r="AB45" s="80"/>
    </row>
    <row r="46" spans="1:28" s="8" customFormat="1" x14ac:dyDescent="0.2">
      <c r="A46" s="125" t="s">
        <v>15</v>
      </c>
      <c r="B46" s="126"/>
      <c r="C46" s="126"/>
      <c r="D46" s="127"/>
      <c r="E46" s="42" t="s">
        <v>6</v>
      </c>
      <c r="F46" s="37">
        <v>210</v>
      </c>
      <c r="G46" s="37">
        <v>170</v>
      </c>
      <c r="H46" s="37">
        <v>170</v>
      </c>
      <c r="I46" s="37">
        <v>170</v>
      </c>
      <c r="J46" s="37">
        <v>430</v>
      </c>
      <c r="K46" s="37">
        <v>1600</v>
      </c>
      <c r="L46" s="65">
        <v>1524</v>
      </c>
      <c r="M46" s="65">
        <v>250</v>
      </c>
      <c r="N46" s="98">
        <v>150</v>
      </c>
      <c r="O46" s="98">
        <v>159</v>
      </c>
      <c r="P46" s="98">
        <v>615.75</v>
      </c>
      <c r="Q46" s="79">
        <f>Q47/$P$46</f>
        <v>0.15050372716199756</v>
      </c>
      <c r="R46" s="79">
        <f t="shared" ref="R46:AB46" si="26">R47/$P$46</f>
        <v>0.2384342346731628</v>
      </c>
      <c r="S46" s="79">
        <f t="shared" si="26"/>
        <v>0.26579228583028824</v>
      </c>
      <c r="T46" s="79">
        <f t="shared" si="26"/>
        <v>0.3181367113276492</v>
      </c>
      <c r="U46" s="79">
        <f t="shared" si="26"/>
        <v>0</v>
      </c>
      <c r="V46" s="79">
        <f t="shared" si="26"/>
        <v>0</v>
      </c>
      <c r="W46" s="79">
        <f t="shared" si="26"/>
        <v>0</v>
      </c>
      <c r="X46" s="79">
        <f t="shared" si="26"/>
        <v>0</v>
      </c>
      <c r="Y46" s="79">
        <f t="shared" si="26"/>
        <v>0</v>
      </c>
      <c r="Z46" s="79">
        <f t="shared" si="26"/>
        <v>0</v>
      </c>
      <c r="AA46" s="79">
        <f t="shared" si="26"/>
        <v>0</v>
      </c>
      <c r="AB46" s="79">
        <f t="shared" si="26"/>
        <v>0</v>
      </c>
    </row>
    <row r="47" spans="1:28" s="22" customFormat="1" ht="13.5" thickBot="1" x14ac:dyDescent="0.25">
      <c r="A47" s="128"/>
      <c r="B47" s="129"/>
      <c r="C47" s="129"/>
      <c r="D47" s="130"/>
      <c r="E47" s="43" t="s">
        <v>5</v>
      </c>
      <c r="F47" s="44">
        <v>106</v>
      </c>
      <c r="G47" s="44">
        <v>195</v>
      </c>
      <c r="H47" s="44">
        <v>263.8143</v>
      </c>
      <c r="I47" s="44">
        <v>256</v>
      </c>
      <c r="J47" s="44">
        <v>190.79435000000001</v>
      </c>
      <c r="K47" s="44">
        <v>2203</v>
      </c>
      <c r="L47" s="94">
        <v>439.18200000000002</v>
      </c>
      <c r="M47" s="94">
        <v>256.92975000000001</v>
      </c>
      <c r="N47" s="94">
        <v>385.93921</v>
      </c>
      <c r="O47" s="94">
        <v>928.34132999999997</v>
      </c>
      <c r="P47" s="94"/>
      <c r="Q47" s="80">
        <v>92.672669999999997</v>
      </c>
      <c r="R47" s="80">
        <v>146.81587999999999</v>
      </c>
      <c r="S47" s="80">
        <v>163.66159999999999</v>
      </c>
      <c r="T47" s="80">
        <v>195.89268000000001</v>
      </c>
      <c r="U47" s="80"/>
      <c r="V47" s="80"/>
      <c r="W47" s="80"/>
      <c r="X47" s="80"/>
      <c r="Y47" s="80"/>
      <c r="Z47" s="80"/>
      <c r="AA47" s="80"/>
      <c r="AB47" s="80"/>
    </row>
    <row r="48" spans="1:28" s="8" customFormat="1" x14ac:dyDescent="0.2">
      <c r="A48" s="125" t="s">
        <v>3</v>
      </c>
      <c r="B48" s="126"/>
      <c r="C48" s="126"/>
      <c r="D48" s="127"/>
      <c r="E48" s="42" t="s">
        <v>6</v>
      </c>
      <c r="F48" s="37">
        <v>12902</v>
      </c>
      <c r="G48" s="37">
        <v>0</v>
      </c>
      <c r="H48" s="37">
        <v>0</v>
      </c>
      <c r="I48" s="37">
        <v>0</v>
      </c>
      <c r="J48" s="37">
        <v>0</v>
      </c>
      <c r="K48" s="37">
        <v>0</v>
      </c>
      <c r="L48" s="65">
        <v>0</v>
      </c>
      <c r="M48" s="65">
        <v>0</v>
      </c>
      <c r="N48" s="98">
        <v>0</v>
      </c>
      <c r="O48" s="98">
        <v>0</v>
      </c>
      <c r="P48" s="98">
        <v>0</v>
      </c>
      <c r="Q48" s="79">
        <v>0</v>
      </c>
      <c r="R48" s="79">
        <v>0</v>
      </c>
      <c r="S48" s="79">
        <v>0</v>
      </c>
      <c r="T48" s="79">
        <v>0</v>
      </c>
      <c r="U48" s="79">
        <v>0</v>
      </c>
      <c r="V48" s="79">
        <v>0</v>
      </c>
      <c r="W48" s="79">
        <v>0</v>
      </c>
      <c r="X48" s="79">
        <v>0</v>
      </c>
      <c r="Y48" s="79">
        <v>0</v>
      </c>
      <c r="Z48" s="79">
        <v>0</v>
      </c>
      <c r="AA48" s="79">
        <v>0</v>
      </c>
      <c r="AB48" s="79">
        <v>0</v>
      </c>
    </row>
    <row r="49" spans="1:29" s="22" customFormat="1" ht="13.5" thickBot="1" x14ac:dyDescent="0.25">
      <c r="A49" s="128"/>
      <c r="B49" s="129"/>
      <c r="C49" s="129"/>
      <c r="D49" s="130"/>
      <c r="E49" s="43" t="s">
        <v>5</v>
      </c>
      <c r="F49" s="44">
        <v>12587</v>
      </c>
      <c r="G49" s="44">
        <v>0</v>
      </c>
      <c r="H49" s="44">
        <v>0</v>
      </c>
      <c r="I49" s="44">
        <v>0</v>
      </c>
      <c r="J49" s="44">
        <v>-0.53239999999999998</v>
      </c>
      <c r="K49" s="44">
        <v>-12</v>
      </c>
      <c r="L49" s="94">
        <v>-18.027999999999999</v>
      </c>
      <c r="M49" s="94">
        <v>-14.424239999999999</v>
      </c>
      <c r="N49" s="94"/>
      <c r="O49" s="94">
        <v>0</v>
      </c>
      <c r="P49" s="94"/>
      <c r="Q49" s="80">
        <v>0</v>
      </c>
      <c r="R49" s="80">
        <v>0</v>
      </c>
      <c r="S49" s="80">
        <v>0</v>
      </c>
      <c r="T49" s="80">
        <v>0</v>
      </c>
      <c r="U49" s="80">
        <v>0</v>
      </c>
      <c r="V49" s="80">
        <v>0</v>
      </c>
      <c r="W49" s="80">
        <v>0</v>
      </c>
      <c r="X49" s="80">
        <v>0</v>
      </c>
      <c r="Y49" s="80">
        <v>0</v>
      </c>
      <c r="Z49" s="80">
        <v>0</v>
      </c>
      <c r="AA49" s="80">
        <v>0</v>
      </c>
      <c r="AB49" s="80">
        <v>0</v>
      </c>
    </row>
    <row r="50" spans="1:29" s="8" customFormat="1" x14ac:dyDescent="0.2">
      <c r="A50" s="125" t="s">
        <v>51</v>
      </c>
      <c r="B50" s="126"/>
      <c r="C50" s="126"/>
      <c r="D50" s="127"/>
      <c r="E50" s="42" t="s">
        <v>6</v>
      </c>
      <c r="F50" s="37">
        <v>0</v>
      </c>
      <c r="G50" s="37">
        <v>17100</v>
      </c>
      <c r="H50" s="37">
        <v>25300</v>
      </c>
      <c r="I50" s="37">
        <v>23500</v>
      </c>
      <c r="J50" s="37">
        <v>22800</v>
      </c>
      <c r="K50" s="37">
        <v>24350</v>
      </c>
      <c r="L50" s="65">
        <f>6648+13152+5824</f>
        <v>25624</v>
      </c>
      <c r="M50" s="65">
        <f>6905+14250.706+5919</f>
        <v>27074.705999999998</v>
      </c>
      <c r="N50" s="98">
        <v>46757.36</v>
      </c>
      <c r="O50" s="98">
        <f>25544.94+16698.18+8329.48</f>
        <v>50572.599999999991</v>
      </c>
      <c r="P50" s="98">
        <f>18744.456+18980.494+8628.71</f>
        <v>46353.659999999996</v>
      </c>
      <c r="Q50" s="79">
        <f>Q51/$P$50</f>
        <v>6.3223161666198541E-2</v>
      </c>
      <c r="R50" s="79">
        <f t="shared" ref="R50:AB50" si="27">R51/$P$50</f>
        <v>0.13621641397896089</v>
      </c>
      <c r="S50" s="79">
        <f t="shared" si="27"/>
        <v>0.20633608306226525</v>
      </c>
      <c r="T50" s="79">
        <f t="shared" si="27"/>
        <v>0.2862677199599773</v>
      </c>
      <c r="U50" s="79">
        <f t="shared" si="27"/>
        <v>0</v>
      </c>
      <c r="V50" s="79">
        <f t="shared" si="27"/>
        <v>0</v>
      </c>
      <c r="W50" s="79">
        <f t="shared" si="27"/>
        <v>0</v>
      </c>
      <c r="X50" s="79">
        <f t="shared" si="27"/>
        <v>0</v>
      </c>
      <c r="Y50" s="79">
        <f t="shared" si="27"/>
        <v>0</v>
      </c>
      <c r="Z50" s="79">
        <f t="shared" si="27"/>
        <v>0</v>
      </c>
      <c r="AA50" s="79">
        <f t="shared" si="27"/>
        <v>0</v>
      </c>
      <c r="AB50" s="79">
        <f t="shared" si="27"/>
        <v>0</v>
      </c>
    </row>
    <row r="51" spans="1:29" s="22" customFormat="1" ht="13.5" thickBot="1" x14ac:dyDescent="0.25">
      <c r="A51" s="128"/>
      <c r="B51" s="129"/>
      <c r="C51" s="129"/>
      <c r="D51" s="130"/>
      <c r="E51" s="43" t="s">
        <v>5</v>
      </c>
      <c r="F51" s="44"/>
      <c r="G51" s="44">
        <v>19988</v>
      </c>
      <c r="H51" s="44">
        <v>24624.534</v>
      </c>
      <c r="I51" s="44">
        <v>23748</v>
      </c>
      <c r="J51" s="44">
        <v>24210.658369999997</v>
      </c>
      <c r="K51" s="44">
        <v>25599</v>
      </c>
      <c r="L51" s="94">
        <f>6626.177+13876.703+5955.428</f>
        <v>26458.307999999997</v>
      </c>
      <c r="M51" s="94">
        <v>45346.01872</v>
      </c>
      <c r="N51" s="94">
        <f>26106.2769+14017.32276+8179.08684</f>
        <v>48302.686499999996</v>
      </c>
      <c r="O51" s="94">
        <f>9295.66377+17088.26776+7291.61172</f>
        <v>33675.543249999995</v>
      </c>
      <c r="P51" s="94"/>
      <c r="Q51" s="80">
        <f>724.82112+1553.47766+652.32616</f>
        <v>2930.6249400000002</v>
      </c>
      <c r="R51" s="80">
        <f>1600.77006+3388.01688+1325.3424</f>
        <v>6314.1293399999995</v>
      </c>
      <c r="S51" s="80">
        <f>2458.30706+5122.88335+1983.24223</f>
        <v>9564.4326400000009</v>
      </c>
      <c r="T51" s="80">
        <f>3170.70698+6646.0779+2660.47248+792.2992</f>
        <v>13269.556559999999</v>
      </c>
      <c r="U51" s="80"/>
      <c r="V51" s="80"/>
      <c r="W51" s="80"/>
      <c r="X51" s="80"/>
      <c r="Y51" s="80"/>
      <c r="Z51" s="80"/>
      <c r="AA51" s="80"/>
      <c r="AB51" s="80"/>
    </row>
    <row r="52" spans="1:29" s="8" customFormat="1" x14ac:dyDescent="0.2">
      <c r="A52" s="125" t="s">
        <v>40</v>
      </c>
      <c r="B52" s="126"/>
      <c r="C52" s="126"/>
      <c r="D52" s="127"/>
      <c r="E52" s="42" t="s">
        <v>6</v>
      </c>
      <c r="F52" s="37">
        <v>80</v>
      </c>
      <c r="G52" s="37">
        <v>70</v>
      </c>
      <c r="H52" s="37">
        <v>100</v>
      </c>
      <c r="I52" s="37">
        <v>200</v>
      </c>
      <c r="J52" s="37">
        <v>735</v>
      </c>
      <c r="K52" s="37">
        <v>900</v>
      </c>
      <c r="L52" s="65">
        <v>860</v>
      </c>
      <c r="M52" s="98">
        <v>860</v>
      </c>
      <c r="N52" s="98">
        <v>520</v>
      </c>
      <c r="O52" s="98">
        <v>1346.2</v>
      </c>
      <c r="P52" s="98">
        <v>1100</v>
      </c>
      <c r="Q52" s="79">
        <f>Q53/$P$52</f>
        <v>3.8719790909090904E-2</v>
      </c>
      <c r="R52" s="79">
        <f t="shared" ref="R52:AB52" si="28">R53/$P$52</f>
        <v>0.13926445454545455</v>
      </c>
      <c r="S52" s="79">
        <f t="shared" si="28"/>
        <v>0.36846912727272724</v>
      </c>
      <c r="T52" s="79">
        <f t="shared" si="28"/>
        <v>0.37490443636363635</v>
      </c>
      <c r="U52" s="79">
        <f t="shared" si="28"/>
        <v>0</v>
      </c>
      <c r="V52" s="79">
        <f t="shared" si="28"/>
        <v>0</v>
      </c>
      <c r="W52" s="79">
        <f t="shared" si="28"/>
        <v>0</v>
      </c>
      <c r="X52" s="79">
        <f t="shared" si="28"/>
        <v>0</v>
      </c>
      <c r="Y52" s="79">
        <f t="shared" si="28"/>
        <v>0</v>
      </c>
      <c r="Z52" s="79">
        <f t="shared" si="28"/>
        <v>0</v>
      </c>
      <c r="AA52" s="79">
        <f t="shared" si="28"/>
        <v>0</v>
      </c>
      <c r="AB52" s="79">
        <f t="shared" si="28"/>
        <v>0</v>
      </c>
    </row>
    <row r="53" spans="1:29" s="22" customFormat="1" ht="13.5" thickBot="1" x14ac:dyDescent="0.25">
      <c r="A53" s="128"/>
      <c r="B53" s="129"/>
      <c r="C53" s="129"/>
      <c r="D53" s="130"/>
      <c r="E53" s="43" t="s">
        <v>5</v>
      </c>
      <c r="F53" s="44">
        <v>37</v>
      </c>
      <c r="G53" s="44">
        <v>59</v>
      </c>
      <c r="H53" s="44">
        <v>524.37419999999997</v>
      </c>
      <c r="I53" s="44">
        <v>475</v>
      </c>
      <c r="J53" s="44">
        <v>655.05777999999998</v>
      </c>
      <c r="K53" s="44">
        <v>783</v>
      </c>
      <c r="L53" s="94">
        <v>919.90599999999995</v>
      </c>
      <c r="M53" s="94">
        <v>890.39522999999997</v>
      </c>
      <c r="N53" s="94">
        <v>883.84702000000004</v>
      </c>
      <c r="O53" s="94">
        <v>2291.4097299999999</v>
      </c>
      <c r="P53" s="94"/>
      <c r="Q53" s="80">
        <v>42.591769999999997</v>
      </c>
      <c r="R53" s="80">
        <v>153.1909</v>
      </c>
      <c r="S53" s="80">
        <v>405.31603999999999</v>
      </c>
      <c r="T53" s="80">
        <v>412.39488</v>
      </c>
      <c r="U53" s="80"/>
      <c r="V53" s="80"/>
      <c r="W53" s="80"/>
      <c r="X53" s="80"/>
      <c r="Y53" s="80"/>
      <c r="Z53" s="80"/>
      <c r="AA53" s="80"/>
      <c r="AB53" s="80"/>
    </row>
    <row r="54" spans="1:29" s="8" customFormat="1" ht="14.25" hidden="1" thickTop="1" thickBot="1" x14ac:dyDescent="0.25">
      <c r="A54" s="5" t="s">
        <v>31</v>
      </c>
      <c r="B54" s="6"/>
      <c r="C54" s="6"/>
      <c r="D54" s="7"/>
      <c r="E54" s="14" t="s">
        <v>6</v>
      </c>
      <c r="F54" s="59"/>
      <c r="G54" s="59"/>
      <c r="H54" s="59"/>
      <c r="I54" s="59"/>
      <c r="J54" s="59"/>
      <c r="K54" s="59"/>
      <c r="L54" s="59"/>
      <c r="M54" s="101"/>
      <c r="N54" s="101"/>
      <c r="O54" s="101"/>
      <c r="P54" s="101"/>
      <c r="Q54" s="81" t="e">
        <f>Q55/G54</f>
        <v>#DIV/0!</v>
      </c>
      <c r="R54" s="81" t="e">
        <f>R55/G54</f>
        <v>#DIV/0!</v>
      </c>
      <c r="S54" s="81" t="e">
        <f>S55/G54</f>
        <v>#DIV/0!</v>
      </c>
      <c r="T54" s="81" t="e">
        <f>T55/G54</f>
        <v>#DIV/0!</v>
      </c>
      <c r="U54" s="81" t="e">
        <f>U55/G54</f>
        <v>#DIV/0!</v>
      </c>
      <c r="V54" s="81" t="e">
        <f>V55/G54</f>
        <v>#DIV/0!</v>
      </c>
      <c r="W54" s="81" t="e">
        <f>W55/G54</f>
        <v>#DIV/0!</v>
      </c>
      <c r="X54" s="81" t="e">
        <f>X55/G54</f>
        <v>#DIV/0!</v>
      </c>
      <c r="Y54" s="81" t="e">
        <f>Y55/G54</f>
        <v>#DIV/0!</v>
      </c>
      <c r="Z54" s="81" t="e">
        <f>Z55/G54</f>
        <v>#DIV/0!</v>
      </c>
      <c r="AA54" s="81" t="e">
        <f>AA55/G54</f>
        <v>#DIV/0!</v>
      </c>
      <c r="AB54" s="81" t="e">
        <f>AB55/G54</f>
        <v>#DIV/0!</v>
      </c>
    </row>
    <row r="55" spans="1:29" s="8" customFormat="1" ht="13.5" hidden="1" thickBot="1" x14ac:dyDescent="0.25">
      <c r="A55" s="3"/>
      <c r="B55" s="4"/>
      <c r="C55" s="4"/>
      <c r="D55" s="15"/>
      <c r="E55" s="20" t="s">
        <v>5</v>
      </c>
      <c r="F55" s="60"/>
      <c r="G55" s="60"/>
      <c r="H55" s="60"/>
      <c r="I55" s="60"/>
      <c r="J55" s="60"/>
      <c r="K55" s="60"/>
      <c r="L55" s="60"/>
      <c r="M55" s="102"/>
      <c r="N55" s="102"/>
      <c r="O55" s="102"/>
      <c r="P55" s="102"/>
      <c r="Q55" s="82">
        <v>89</v>
      </c>
      <c r="R55" s="82">
        <v>532</v>
      </c>
      <c r="S55" s="82">
        <v>935</v>
      </c>
      <c r="T55" s="82">
        <v>1342</v>
      </c>
      <c r="U55" s="82">
        <v>1778</v>
      </c>
      <c r="V55" s="82">
        <v>2014</v>
      </c>
      <c r="W55" s="82">
        <v>2120</v>
      </c>
      <c r="X55" s="82">
        <v>2102</v>
      </c>
      <c r="Y55" s="82">
        <v>1343</v>
      </c>
      <c r="Z55" s="82">
        <v>1455</v>
      </c>
      <c r="AA55" s="82">
        <v>2463</v>
      </c>
      <c r="AB55" s="82">
        <v>9920</v>
      </c>
    </row>
    <row r="56" spans="1:29" s="8" customFormat="1" x14ac:dyDescent="0.2">
      <c r="A56" s="125" t="s">
        <v>47</v>
      </c>
      <c r="B56" s="126"/>
      <c r="C56" s="126"/>
      <c r="D56" s="127"/>
      <c r="E56" s="42" t="s">
        <v>6</v>
      </c>
      <c r="F56" s="37">
        <v>700</v>
      </c>
      <c r="G56" s="37">
        <v>500</v>
      </c>
      <c r="H56" s="37">
        <v>596</v>
      </c>
      <c r="I56" s="37">
        <v>670</v>
      </c>
      <c r="J56" s="37">
        <v>2690</v>
      </c>
      <c r="K56" s="37">
        <v>611</v>
      </c>
      <c r="L56" s="65">
        <v>480</v>
      </c>
      <c r="M56" s="98">
        <v>510</v>
      </c>
      <c r="N56" s="98">
        <v>850</v>
      </c>
      <c r="O56" s="98">
        <v>1000</v>
      </c>
      <c r="P56" s="98">
        <v>1000</v>
      </c>
      <c r="Q56" s="79">
        <f>Q57/$P$56</f>
        <v>2.1091640000000002E-2</v>
      </c>
      <c r="R56" s="79">
        <f t="shared" ref="R56:AB56" si="29">R57/$P$56</f>
        <v>0.11028937000000001</v>
      </c>
      <c r="S56" s="79">
        <f t="shared" si="29"/>
        <v>0.20798667000000001</v>
      </c>
      <c r="T56" s="79">
        <f t="shared" si="29"/>
        <v>0.49152323999999997</v>
      </c>
      <c r="U56" s="79">
        <f t="shared" si="29"/>
        <v>0</v>
      </c>
      <c r="V56" s="79">
        <f t="shared" si="29"/>
        <v>0</v>
      </c>
      <c r="W56" s="79">
        <f t="shared" si="29"/>
        <v>0</v>
      </c>
      <c r="X56" s="79">
        <f t="shared" si="29"/>
        <v>0</v>
      </c>
      <c r="Y56" s="79">
        <f t="shared" si="29"/>
        <v>0</v>
      </c>
      <c r="Z56" s="79">
        <f t="shared" si="29"/>
        <v>0</v>
      </c>
      <c r="AA56" s="79">
        <f t="shared" si="29"/>
        <v>0</v>
      </c>
      <c r="AB56" s="79">
        <f t="shared" si="29"/>
        <v>0</v>
      </c>
    </row>
    <row r="57" spans="1:29" s="22" customFormat="1" ht="13.5" thickBot="1" x14ac:dyDescent="0.25">
      <c r="A57" s="128"/>
      <c r="B57" s="129"/>
      <c r="C57" s="129"/>
      <c r="D57" s="130"/>
      <c r="E57" s="43" t="s">
        <v>5</v>
      </c>
      <c r="F57" s="44">
        <v>557</v>
      </c>
      <c r="G57" s="44">
        <v>801</v>
      </c>
      <c r="H57" s="44">
        <v>451.4418</v>
      </c>
      <c r="I57" s="44">
        <v>443</v>
      </c>
      <c r="J57" s="44">
        <v>491.48545000000001</v>
      </c>
      <c r="K57" s="44">
        <v>333</v>
      </c>
      <c r="L57" s="94">
        <v>597.40899999999999</v>
      </c>
      <c r="M57" s="94">
        <v>973.03315999999995</v>
      </c>
      <c r="N57" s="94">
        <v>1171.3294699999999</v>
      </c>
      <c r="O57" s="94">
        <v>1615.92282</v>
      </c>
      <c r="P57" s="94"/>
      <c r="Q57" s="80">
        <v>21.091640000000002</v>
      </c>
      <c r="R57" s="80">
        <v>110.28937000000001</v>
      </c>
      <c r="S57" s="80">
        <v>207.98667</v>
      </c>
      <c r="T57" s="80">
        <v>491.52323999999999</v>
      </c>
      <c r="U57" s="80"/>
      <c r="V57" s="80"/>
      <c r="W57" s="80"/>
      <c r="X57" s="80"/>
      <c r="Y57" s="80"/>
      <c r="Z57" s="80"/>
      <c r="AA57" s="80"/>
      <c r="AB57" s="80"/>
    </row>
    <row r="58" spans="1:29" s="8" customFormat="1" x14ac:dyDescent="0.2">
      <c r="A58" s="125" t="s">
        <v>48</v>
      </c>
      <c r="B58" s="126"/>
      <c r="C58" s="126"/>
      <c r="D58" s="127"/>
      <c r="E58" s="42" t="s">
        <v>6</v>
      </c>
      <c r="F58" s="37">
        <v>350</v>
      </c>
      <c r="G58" s="37">
        <v>350</v>
      </c>
      <c r="H58" s="37">
        <v>80</v>
      </c>
      <c r="I58" s="37">
        <v>80</v>
      </c>
      <c r="J58" s="37">
        <v>90</v>
      </c>
      <c r="K58" s="37">
        <v>205</v>
      </c>
      <c r="L58" s="65">
        <v>205</v>
      </c>
      <c r="M58" s="98">
        <v>200</v>
      </c>
      <c r="N58" s="98">
        <v>250</v>
      </c>
      <c r="O58" s="98">
        <v>200</v>
      </c>
      <c r="P58" s="98">
        <v>200</v>
      </c>
      <c r="Q58" s="79">
        <f>Q59/$P$58</f>
        <v>6.1008199999999999E-2</v>
      </c>
      <c r="R58" s="79">
        <f t="shared" ref="R58:AB58" si="30">R59/$P$58</f>
        <v>0.12138109999999999</v>
      </c>
      <c r="S58" s="79">
        <f t="shared" si="30"/>
        <v>0.3313855</v>
      </c>
      <c r="T58" s="79">
        <f t="shared" si="30"/>
        <v>0.3313855</v>
      </c>
      <c r="U58" s="79">
        <f t="shared" si="30"/>
        <v>0</v>
      </c>
      <c r="V58" s="79">
        <f t="shared" si="30"/>
        <v>0</v>
      </c>
      <c r="W58" s="79">
        <f t="shared" si="30"/>
        <v>0</v>
      </c>
      <c r="X58" s="79">
        <f t="shared" si="30"/>
        <v>0</v>
      </c>
      <c r="Y58" s="79">
        <f t="shared" si="30"/>
        <v>0</v>
      </c>
      <c r="Z58" s="79">
        <f t="shared" si="30"/>
        <v>0</v>
      </c>
      <c r="AA58" s="79">
        <f t="shared" si="30"/>
        <v>0</v>
      </c>
      <c r="AB58" s="79">
        <f t="shared" si="30"/>
        <v>0</v>
      </c>
    </row>
    <row r="59" spans="1:29" s="22" customFormat="1" ht="13.5" thickBot="1" x14ac:dyDescent="0.25">
      <c r="A59" s="128"/>
      <c r="B59" s="129"/>
      <c r="C59" s="129"/>
      <c r="D59" s="130"/>
      <c r="E59" s="43" t="s">
        <v>5</v>
      </c>
      <c r="F59" s="44">
        <v>245</v>
      </c>
      <c r="G59" s="44">
        <v>159</v>
      </c>
      <c r="H59" s="44">
        <v>38.531100000000002</v>
      </c>
      <c r="I59" s="44">
        <v>107</v>
      </c>
      <c r="J59" s="44">
        <v>100.09638</v>
      </c>
      <c r="K59" s="44">
        <v>214</v>
      </c>
      <c r="L59" s="94">
        <v>151.19399999999999</v>
      </c>
      <c r="M59" s="94">
        <v>235.74321</v>
      </c>
      <c r="N59" s="94">
        <v>186.56073000000001</v>
      </c>
      <c r="O59" s="94">
        <v>235.47434999999999</v>
      </c>
      <c r="P59" s="94"/>
      <c r="Q59" s="80">
        <v>12.201639999999999</v>
      </c>
      <c r="R59" s="80">
        <v>24.276219999999999</v>
      </c>
      <c r="S59" s="80">
        <v>66.277100000000004</v>
      </c>
      <c r="T59" s="80">
        <v>66.277100000000004</v>
      </c>
      <c r="U59" s="80"/>
      <c r="V59" s="80"/>
      <c r="W59" s="80"/>
      <c r="X59" s="80"/>
      <c r="Y59" s="80"/>
      <c r="Z59" s="80"/>
      <c r="AA59" s="80"/>
      <c r="AB59" s="80"/>
    </row>
    <row r="60" spans="1:29" s="8" customFormat="1" x14ac:dyDescent="0.2">
      <c r="A60" s="125" t="s">
        <v>49</v>
      </c>
      <c r="B60" s="126"/>
      <c r="C60" s="126"/>
      <c r="D60" s="127"/>
      <c r="E60" s="42" t="s">
        <v>6</v>
      </c>
      <c r="F60" s="37">
        <v>3000</v>
      </c>
      <c r="G60" s="37">
        <v>13500</v>
      </c>
      <c r="H60" s="37">
        <v>6870</v>
      </c>
      <c r="I60" s="37">
        <v>7500</v>
      </c>
      <c r="J60" s="37">
        <v>8540</v>
      </c>
      <c r="K60" s="37">
        <v>30434</v>
      </c>
      <c r="L60" s="65">
        <v>9000</v>
      </c>
      <c r="M60" s="98">
        <v>13500</v>
      </c>
      <c r="N60" s="98">
        <v>12250</v>
      </c>
      <c r="O60" s="98">
        <v>13801.2</v>
      </c>
      <c r="P60" s="98">
        <v>19050</v>
      </c>
      <c r="Q60" s="79">
        <f>Q61/$P$60</f>
        <v>1.9826253018372701E-2</v>
      </c>
      <c r="R60" s="79">
        <f t="shared" ref="R60:AB60" si="31">R61/$P$60</f>
        <v>3.4866730183727039E-2</v>
      </c>
      <c r="S60" s="79">
        <f t="shared" si="31"/>
        <v>5.3168424671916008E-2</v>
      </c>
      <c r="T60" s="79">
        <f t="shared" si="31"/>
        <v>7.4194556955380575E-2</v>
      </c>
      <c r="U60" s="79">
        <f t="shared" si="31"/>
        <v>0</v>
      </c>
      <c r="V60" s="79">
        <f t="shared" si="31"/>
        <v>0</v>
      </c>
      <c r="W60" s="79">
        <f t="shared" si="31"/>
        <v>0</v>
      </c>
      <c r="X60" s="79">
        <f t="shared" si="31"/>
        <v>0</v>
      </c>
      <c r="Y60" s="79">
        <f t="shared" si="31"/>
        <v>0</v>
      </c>
      <c r="Z60" s="79">
        <f t="shared" si="31"/>
        <v>0</v>
      </c>
      <c r="AA60" s="79">
        <f t="shared" si="31"/>
        <v>0</v>
      </c>
      <c r="AB60" s="79">
        <f t="shared" si="31"/>
        <v>0</v>
      </c>
    </row>
    <row r="61" spans="1:29" s="22" customFormat="1" x14ac:dyDescent="0.2">
      <c r="A61" s="128"/>
      <c r="B61" s="129"/>
      <c r="C61" s="129"/>
      <c r="D61" s="130"/>
      <c r="E61" s="43" t="s">
        <v>5</v>
      </c>
      <c r="F61" s="44">
        <v>3801</v>
      </c>
      <c r="G61" s="44">
        <v>7527</v>
      </c>
      <c r="H61" s="44">
        <v>5672.8467000000001</v>
      </c>
      <c r="I61" s="44">
        <v>4322</v>
      </c>
      <c r="J61" s="44">
        <v>7109.32089</v>
      </c>
      <c r="K61" s="44">
        <v>11407</v>
      </c>
      <c r="L61" s="94">
        <v>5181.5320000000002</v>
      </c>
      <c r="M61" s="94">
        <v>8880.5187800000003</v>
      </c>
      <c r="N61" s="94">
        <v>10650.502339999999</v>
      </c>
      <c r="O61" s="94">
        <v>16042.510340000001</v>
      </c>
      <c r="P61" s="94"/>
      <c r="Q61" s="80">
        <v>377.69011999999998</v>
      </c>
      <c r="R61" s="80">
        <v>664.21121000000005</v>
      </c>
      <c r="S61" s="80">
        <v>1012.85849</v>
      </c>
      <c r="T61" s="80">
        <v>1413.4063100000001</v>
      </c>
      <c r="U61" s="80"/>
      <c r="V61" s="80"/>
      <c r="W61" s="80"/>
      <c r="X61" s="80"/>
      <c r="Y61" s="80"/>
      <c r="Z61" s="80"/>
      <c r="AA61" s="80"/>
      <c r="AB61" s="80"/>
    </row>
    <row r="62" spans="1:29" s="8" customFormat="1" x14ac:dyDescent="0.2">
      <c r="A62" s="125" t="s">
        <v>39</v>
      </c>
      <c r="B62" s="126"/>
      <c r="C62" s="126"/>
      <c r="D62" s="127"/>
      <c r="E62" s="42" t="s">
        <v>6</v>
      </c>
      <c r="F62" s="37">
        <v>1105</v>
      </c>
      <c r="G62" s="37">
        <v>5000</v>
      </c>
      <c r="H62" s="37">
        <v>2152</v>
      </c>
      <c r="I62" s="37">
        <v>2300</v>
      </c>
      <c r="J62" s="37">
        <v>2050</v>
      </c>
      <c r="K62" s="37">
        <v>1937</v>
      </c>
      <c r="L62" s="65">
        <v>1500</v>
      </c>
      <c r="M62" s="98">
        <v>1000</v>
      </c>
      <c r="N62" s="98">
        <v>900</v>
      </c>
      <c r="O62" s="98">
        <v>848</v>
      </c>
      <c r="P62" s="98">
        <v>950</v>
      </c>
      <c r="Q62" s="79">
        <f>Q63/$P$62</f>
        <v>3.002822105263158E-2</v>
      </c>
      <c r="R62" s="79">
        <f t="shared" ref="R62:AB62" si="32">R63/$P$62</f>
        <v>5.4924231578947366E-2</v>
      </c>
      <c r="S62" s="79">
        <f t="shared" si="32"/>
        <v>5.8526863157894737E-2</v>
      </c>
      <c r="T62" s="79">
        <f t="shared" si="32"/>
        <v>5.8526863157894737E-2</v>
      </c>
      <c r="U62" s="79">
        <f t="shared" si="32"/>
        <v>0</v>
      </c>
      <c r="V62" s="79">
        <f t="shared" si="32"/>
        <v>0</v>
      </c>
      <c r="W62" s="79">
        <f t="shared" si="32"/>
        <v>0</v>
      </c>
      <c r="X62" s="79">
        <f t="shared" si="32"/>
        <v>0</v>
      </c>
      <c r="Y62" s="79">
        <f t="shared" si="32"/>
        <v>0</v>
      </c>
      <c r="Z62" s="79">
        <f t="shared" si="32"/>
        <v>0</v>
      </c>
      <c r="AA62" s="79">
        <f t="shared" si="32"/>
        <v>0</v>
      </c>
      <c r="AB62" s="79">
        <f t="shared" si="32"/>
        <v>0</v>
      </c>
    </row>
    <row r="63" spans="1:29" s="22" customFormat="1" ht="13.5" thickBot="1" x14ac:dyDescent="0.25">
      <c r="A63" s="128"/>
      <c r="B63" s="129"/>
      <c r="C63" s="129"/>
      <c r="D63" s="130"/>
      <c r="E63" s="43" t="s">
        <v>5</v>
      </c>
      <c r="F63" s="44">
        <v>660</v>
      </c>
      <c r="G63" s="44">
        <v>1300</v>
      </c>
      <c r="H63" s="44">
        <v>2289.3777</v>
      </c>
      <c r="I63" s="44">
        <v>1656</v>
      </c>
      <c r="J63" s="44">
        <v>1222.1398300000001</v>
      </c>
      <c r="K63" s="44">
        <v>1811</v>
      </c>
      <c r="L63" s="94">
        <v>739.40800000000002</v>
      </c>
      <c r="M63" s="94">
        <v>895.57737999999995</v>
      </c>
      <c r="N63" s="94">
        <v>523.29483000000005</v>
      </c>
      <c r="O63" s="94">
        <v>1102.4987900000001</v>
      </c>
      <c r="P63" s="94"/>
      <c r="Q63" s="80">
        <v>28.526810000000001</v>
      </c>
      <c r="R63" s="80">
        <v>52.178019999999997</v>
      </c>
      <c r="S63" s="80">
        <v>55.600520000000003</v>
      </c>
      <c r="T63" s="80">
        <v>55.600520000000003</v>
      </c>
      <c r="U63" s="80"/>
      <c r="V63" s="80"/>
      <c r="W63" s="80"/>
      <c r="X63" s="80"/>
      <c r="Y63" s="80"/>
      <c r="Z63" s="80"/>
      <c r="AA63" s="80"/>
      <c r="AB63" s="80"/>
    </row>
    <row r="64" spans="1:29" s="8" customFormat="1" x14ac:dyDescent="0.2">
      <c r="A64" s="143" t="s">
        <v>41</v>
      </c>
      <c r="B64" s="144"/>
      <c r="C64" s="144"/>
      <c r="D64" s="145"/>
      <c r="E64" s="25" t="s">
        <v>6</v>
      </c>
      <c r="F64" s="38" t="e">
        <f>#REF!+F36+F30+F32+F34+#REF!+F38+F62+F60+F52+F42+F44+F46+F50+F48+#REF!</f>
        <v>#REF!</v>
      </c>
      <c r="G64" s="38" t="e">
        <f>#REF!+G36+G30+G32+G34+#REF!+G38+G62+G60+G52+G42+G44+G46+G50+G48+#REF!</f>
        <v>#REF!</v>
      </c>
      <c r="H64" s="38" t="e">
        <f>#REF!+H36+H30+H32+H34+#REF!+H38+H62+H60+H52+H42+H44+H46+H50+H48+#REF!</f>
        <v>#REF!</v>
      </c>
      <c r="I64" s="38" t="e">
        <f>#REF!+I36+I30+I32+I34+#REF!+I38+I62+I60+I52+I42+I44+I46+I50+I48+#REF!</f>
        <v>#REF!</v>
      </c>
      <c r="J64" s="38">
        <f>+J36+J30+J32+J34+J38+J62+J60+J52+J42+J44+J46+J50+J48+J40+J56+J58</f>
        <v>62220</v>
      </c>
      <c r="K64" s="38">
        <f t="shared" ref="K64:P64" si="33">+K36+K30+K32+K34+K38+K62+K60+K52+K42+K44+K46+K50+K48+K40+K56+K58</f>
        <v>85512</v>
      </c>
      <c r="L64" s="38">
        <f t="shared" si="33"/>
        <v>65046</v>
      </c>
      <c r="M64" s="38">
        <f t="shared" si="33"/>
        <v>65852.706000000006</v>
      </c>
      <c r="N64" s="38">
        <f t="shared" si="33"/>
        <v>84480.36</v>
      </c>
      <c r="O64" s="38">
        <f t="shared" si="33"/>
        <v>93696.659999999989</v>
      </c>
      <c r="P64" s="38">
        <f t="shared" si="33"/>
        <v>98357.440999999992</v>
      </c>
      <c r="Q64" s="78">
        <f>Q65/$P$64</f>
        <v>5.7607280368345511E-2</v>
      </c>
      <c r="R64" s="78">
        <f t="shared" ref="R64:AB64" si="34">R65/$P$64</f>
        <v>0.12505093996904618</v>
      </c>
      <c r="S64" s="78">
        <f t="shared" si="34"/>
        <v>0.19044758260841699</v>
      </c>
      <c r="T64" s="78">
        <f t="shared" si="34"/>
        <v>0.26392908615831107</v>
      </c>
      <c r="U64" s="78">
        <f t="shared" si="34"/>
        <v>0</v>
      </c>
      <c r="V64" s="78">
        <f t="shared" si="34"/>
        <v>0</v>
      </c>
      <c r="W64" s="78">
        <f t="shared" si="34"/>
        <v>0</v>
      </c>
      <c r="X64" s="78">
        <f t="shared" si="34"/>
        <v>0</v>
      </c>
      <c r="Y64" s="78">
        <f t="shared" si="34"/>
        <v>0</v>
      </c>
      <c r="Z64" s="78">
        <f t="shared" si="34"/>
        <v>0</v>
      </c>
      <c r="AA64" s="78">
        <f t="shared" si="34"/>
        <v>0</v>
      </c>
      <c r="AB64" s="78">
        <f t="shared" si="34"/>
        <v>0</v>
      </c>
      <c r="AC64" s="103"/>
    </row>
    <row r="65" spans="1:82" s="22" customFormat="1" ht="13.5" thickBot="1" x14ac:dyDescent="0.25">
      <c r="A65" s="118"/>
      <c r="B65" s="119"/>
      <c r="C65" s="119"/>
      <c r="D65" s="120"/>
      <c r="E65" s="40" t="s">
        <v>5</v>
      </c>
      <c r="F65" s="46" t="e">
        <f>#REF!+F37+F31+F33+F35+#REF!+F39+F63+F61+F53+F57+F59+F41+F43+F45+F47+F51+F49+#REF!</f>
        <v>#REF!</v>
      </c>
      <c r="G65" s="46" t="e">
        <f>#REF!+G37+G31+G33+G35+#REF!+G39+G63+G61+G53+G57+G59+G41+G43+G45+G47+G51+G49+#REF!</f>
        <v>#REF!</v>
      </c>
      <c r="H65" s="46" t="e">
        <f>#REF!+H37+H31+H33+H35+#REF!+H39+H63+H61+H53+H57+H59+H41+H43+H45+H47+H51+H49+#REF!</f>
        <v>#REF!</v>
      </c>
      <c r="I65" s="46" t="e">
        <f>#REF!+I37+I31+I33+I35+#REF!+I39+I63+I61+I53+I57+I59+I41+I43+I45+I47+I51+I49+#REF!</f>
        <v>#REF!</v>
      </c>
      <c r="J65" s="46">
        <f>+J37+J31+J33+J35+J39+J63+J61+J53+J57+J59+J41+J43+J45+J47+J51+J49</f>
        <v>59906.165260000002</v>
      </c>
      <c r="K65" s="46">
        <f t="shared" ref="K65:P65" si="35">+K37+K31+K33+K35+K39+K63+K61+K53+K57+K59+K41+K43+K45+K47+K51+K49</f>
        <v>66485.198000000004</v>
      </c>
      <c r="L65" s="46">
        <f t="shared" si="35"/>
        <v>57975.162999999993</v>
      </c>
      <c r="M65" s="46">
        <f t="shared" si="35"/>
        <v>80776.955140000005</v>
      </c>
      <c r="N65" s="46">
        <f t="shared" si="35"/>
        <v>87952.993999999977</v>
      </c>
      <c r="O65" s="46">
        <f t="shared" si="35"/>
        <v>84814.422029999987</v>
      </c>
      <c r="P65" s="46">
        <f t="shared" si="35"/>
        <v>0</v>
      </c>
      <c r="Q65" s="35">
        <f>+Q37+Q31+Q33+Q35+Q39+Q63+Q61+Q53+Q57+Q59+Q41+Q43+Q45+Q47+Q51+Q49</f>
        <v>5666.1046800000013</v>
      </c>
      <c r="R65" s="35">
        <f t="shared" ref="R65:AB65" si="36">+R37+R31+R33+R35+R39+R63+R61+R53+R57+R59+R41+R43+R45+R47+R51+R49</f>
        <v>12299.69045</v>
      </c>
      <c r="S65" s="35">
        <f t="shared" si="36"/>
        <v>18731.936869999998</v>
      </c>
      <c r="T65" s="35">
        <f t="shared" si="36"/>
        <v>25959.389519999997</v>
      </c>
      <c r="U65" s="35">
        <f t="shared" si="36"/>
        <v>0</v>
      </c>
      <c r="V65" s="35">
        <f t="shared" si="36"/>
        <v>0</v>
      </c>
      <c r="W65" s="35">
        <f t="shared" si="36"/>
        <v>0</v>
      </c>
      <c r="X65" s="35">
        <f t="shared" si="36"/>
        <v>0</v>
      </c>
      <c r="Y65" s="35">
        <f t="shared" si="36"/>
        <v>0</v>
      </c>
      <c r="Z65" s="35">
        <f t="shared" si="36"/>
        <v>0</v>
      </c>
      <c r="AA65" s="35">
        <f t="shared" si="36"/>
        <v>0</v>
      </c>
      <c r="AB65" s="35">
        <f t="shared" si="36"/>
        <v>0</v>
      </c>
    </row>
    <row r="66" spans="1:82" s="8" customFormat="1" ht="13.5" thickBot="1" x14ac:dyDescent="0.25">
      <c r="A66" s="9"/>
      <c r="B66" s="9"/>
      <c r="F66" s="61"/>
      <c r="G66" s="61"/>
      <c r="H66" s="61"/>
      <c r="I66" s="61"/>
      <c r="J66" s="61"/>
      <c r="K66" s="61"/>
      <c r="L66" s="61"/>
      <c r="M66" s="61"/>
      <c r="N66" s="61"/>
      <c r="O66" s="61"/>
      <c r="P66" s="61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6"/>
      <c r="AC66" s="1"/>
      <c r="AD66" s="1"/>
      <c r="AE66" s="1"/>
      <c r="AF66" s="1"/>
      <c r="AG66" s="1"/>
      <c r="AH66" s="1"/>
      <c r="AI66" s="1"/>
      <c r="AJ66" s="1"/>
    </row>
    <row r="67" spans="1:82" s="1" customFormat="1" x14ac:dyDescent="0.2">
      <c r="A67" s="137" t="s">
        <v>42</v>
      </c>
      <c r="B67" s="138"/>
      <c r="C67" s="138"/>
      <c r="D67" s="139"/>
      <c r="E67" s="49" t="s">
        <v>6</v>
      </c>
      <c r="F67" s="37">
        <v>38500</v>
      </c>
      <c r="G67" s="37">
        <v>40000</v>
      </c>
      <c r="H67" s="37">
        <v>40500</v>
      </c>
      <c r="I67" s="37">
        <v>39871</v>
      </c>
      <c r="J67" s="37">
        <v>41100</v>
      </c>
      <c r="K67" s="37">
        <v>46750</v>
      </c>
      <c r="L67" s="65">
        <v>49000</v>
      </c>
      <c r="M67" s="65">
        <v>55700</v>
      </c>
      <c r="N67" s="65">
        <v>60000</v>
      </c>
      <c r="O67" s="65">
        <v>65000</v>
      </c>
      <c r="P67" s="65">
        <v>71000</v>
      </c>
      <c r="Q67" s="83">
        <f>Q68/$P$67</f>
        <v>7.7196450985915488E-2</v>
      </c>
      <c r="R67" s="83">
        <f t="shared" ref="R67:AB67" si="37">R68/$P$67</f>
        <v>0.15450482239436619</v>
      </c>
      <c r="S67" s="83">
        <f t="shared" si="37"/>
        <v>0.23171490450704224</v>
      </c>
      <c r="T67" s="83">
        <f t="shared" si="37"/>
        <v>0.30902679915492959</v>
      </c>
      <c r="U67" s="83">
        <f t="shared" si="37"/>
        <v>0</v>
      </c>
      <c r="V67" s="83">
        <f t="shared" si="37"/>
        <v>0</v>
      </c>
      <c r="W67" s="83">
        <f t="shared" si="37"/>
        <v>0</v>
      </c>
      <c r="X67" s="83">
        <f t="shared" si="37"/>
        <v>0</v>
      </c>
      <c r="Y67" s="83">
        <f t="shared" si="37"/>
        <v>0</v>
      </c>
      <c r="Z67" s="83">
        <f t="shared" si="37"/>
        <v>0</v>
      </c>
      <c r="AA67" s="83">
        <f t="shared" si="37"/>
        <v>0</v>
      </c>
      <c r="AB67" s="83">
        <f t="shared" si="37"/>
        <v>0</v>
      </c>
      <c r="AK67" s="8"/>
      <c r="AL67" s="8"/>
      <c r="AM67" s="8"/>
      <c r="AN67" s="8"/>
      <c r="AO67" s="8"/>
      <c r="AP67" s="8"/>
      <c r="AQ67" s="8"/>
      <c r="AR67" s="8"/>
      <c r="AS67" s="8"/>
      <c r="AT67" s="8"/>
      <c r="AU67" s="8"/>
      <c r="AV67" s="8"/>
      <c r="AW67" s="8"/>
      <c r="AX67" s="8"/>
      <c r="AY67" s="8"/>
      <c r="AZ67" s="8"/>
      <c r="BA67" s="8"/>
      <c r="BB67" s="8"/>
      <c r="BC67" s="8"/>
      <c r="BD67" s="8"/>
      <c r="BE67" s="8"/>
      <c r="BF67" s="8"/>
      <c r="BG67" s="8"/>
      <c r="BH67" s="8"/>
      <c r="BI67" s="8"/>
      <c r="BJ67" s="8"/>
      <c r="BK67" s="8"/>
      <c r="BL67" s="8"/>
      <c r="BM67" s="8"/>
      <c r="BN67" s="8"/>
      <c r="BO67" s="8"/>
      <c r="BP67" s="8"/>
      <c r="BQ67" s="8"/>
      <c r="BR67" s="8"/>
      <c r="BS67" s="8"/>
      <c r="BT67" s="8"/>
      <c r="BU67" s="8"/>
      <c r="BV67" s="8"/>
      <c r="BW67" s="8"/>
      <c r="BX67" s="8"/>
      <c r="BY67" s="8"/>
      <c r="BZ67" s="8"/>
      <c r="CA67" s="8"/>
      <c r="CB67" s="8"/>
      <c r="CC67" s="8"/>
      <c r="CD67" s="8"/>
    </row>
    <row r="68" spans="1:82" s="48" customFormat="1" ht="13.5" thickBot="1" x14ac:dyDescent="0.25">
      <c r="A68" s="146"/>
      <c r="B68" s="147"/>
      <c r="C68" s="147"/>
      <c r="D68" s="148"/>
      <c r="E68" s="50" t="s">
        <v>5</v>
      </c>
      <c r="F68" s="44">
        <v>39846</v>
      </c>
      <c r="G68" s="44">
        <v>37693</v>
      </c>
      <c r="H68" s="44">
        <v>38797.184000000001</v>
      </c>
      <c r="I68" s="44">
        <v>39556</v>
      </c>
      <c r="J68" s="44">
        <v>40931.802000000003</v>
      </c>
      <c r="K68" s="44">
        <v>44541</v>
      </c>
      <c r="L68" s="94">
        <v>47797.521999999997</v>
      </c>
      <c r="M68" s="94">
        <v>53670.366309999998</v>
      </c>
      <c r="N68" s="94">
        <v>57929.631970000002</v>
      </c>
      <c r="O68" s="94">
        <v>61287.990160000001</v>
      </c>
      <c r="P68" s="94"/>
      <c r="Q68" s="84">
        <v>5480.9480199999998</v>
      </c>
      <c r="R68" s="84">
        <v>10969.84239</v>
      </c>
      <c r="S68" s="84">
        <v>16451.75822</v>
      </c>
      <c r="T68" s="84">
        <v>21940.902740000001</v>
      </c>
      <c r="U68" s="84"/>
      <c r="V68" s="84"/>
      <c r="W68" s="84"/>
      <c r="X68" s="84"/>
      <c r="Y68" s="84"/>
      <c r="Z68" s="84"/>
      <c r="AA68" s="84"/>
      <c r="AB68" s="84"/>
      <c r="AK68" s="22"/>
      <c r="AL68" s="22"/>
      <c r="AM68" s="22"/>
      <c r="AN68" s="22"/>
      <c r="AO68" s="22"/>
      <c r="AP68" s="22"/>
      <c r="AQ68" s="22"/>
      <c r="AR68" s="22"/>
      <c r="AS68" s="22"/>
      <c r="AT68" s="22"/>
      <c r="AU68" s="22"/>
      <c r="AV68" s="22"/>
      <c r="AW68" s="22"/>
      <c r="AX68" s="22"/>
      <c r="AY68" s="22"/>
      <c r="AZ68" s="22"/>
      <c r="BA68" s="22"/>
      <c r="BB68" s="22"/>
      <c r="BC68" s="22"/>
      <c r="BD68" s="22"/>
      <c r="BE68" s="22"/>
      <c r="BF68" s="22"/>
      <c r="BG68" s="22"/>
      <c r="BH68" s="22"/>
      <c r="BI68" s="22"/>
      <c r="BJ68" s="22"/>
      <c r="BK68" s="22"/>
      <c r="BL68" s="22"/>
      <c r="BM68" s="22"/>
      <c r="BN68" s="22"/>
      <c r="BO68" s="22"/>
      <c r="BP68" s="22"/>
      <c r="BQ68" s="22"/>
      <c r="BR68" s="22"/>
      <c r="BS68" s="22"/>
      <c r="BT68" s="22"/>
      <c r="BU68" s="22"/>
      <c r="BV68" s="22"/>
      <c r="BW68" s="22"/>
      <c r="BX68" s="22"/>
      <c r="BY68" s="22"/>
      <c r="BZ68" s="22"/>
      <c r="CA68" s="22"/>
      <c r="CB68" s="22"/>
      <c r="CC68" s="22"/>
      <c r="CD68" s="22"/>
    </row>
    <row r="69" spans="1:82" s="1" customFormat="1" x14ac:dyDescent="0.2">
      <c r="A69" s="137" t="s">
        <v>58</v>
      </c>
      <c r="B69" s="138"/>
      <c r="C69" s="138"/>
      <c r="D69" s="139"/>
      <c r="E69" s="49" t="s">
        <v>6</v>
      </c>
      <c r="F69" s="37">
        <v>0</v>
      </c>
      <c r="G69" s="37">
        <v>0</v>
      </c>
      <c r="H69" s="37">
        <v>0</v>
      </c>
      <c r="I69" s="37">
        <v>1500</v>
      </c>
      <c r="J69" s="37">
        <v>2100</v>
      </c>
      <c r="K69" s="37">
        <v>1300</v>
      </c>
      <c r="L69" s="98">
        <v>1500</v>
      </c>
      <c r="M69" s="98">
        <v>2200</v>
      </c>
      <c r="N69" s="98">
        <v>2800</v>
      </c>
      <c r="O69" s="98">
        <v>4000</v>
      </c>
      <c r="P69" s="98">
        <v>5000</v>
      </c>
      <c r="Q69" s="83">
        <f>Q70/$P$69</f>
        <v>0.125754066</v>
      </c>
      <c r="R69" s="83">
        <f t="shared" ref="R69:AB69" si="38">R70/$P$69</f>
        <v>0.24903648199999998</v>
      </c>
      <c r="S69" s="83">
        <f t="shared" si="38"/>
        <v>0.38832925600000001</v>
      </c>
      <c r="T69" s="83">
        <f t="shared" si="38"/>
        <v>0.51361835600000005</v>
      </c>
      <c r="U69" s="83">
        <f t="shared" si="38"/>
        <v>0</v>
      </c>
      <c r="V69" s="83">
        <f t="shared" si="38"/>
        <v>0</v>
      </c>
      <c r="W69" s="83">
        <f t="shared" si="38"/>
        <v>0</v>
      </c>
      <c r="X69" s="83">
        <f t="shared" si="38"/>
        <v>0</v>
      </c>
      <c r="Y69" s="83">
        <f t="shared" si="38"/>
        <v>0</v>
      </c>
      <c r="Z69" s="83">
        <f t="shared" si="38"/>
        <v>0</v>
      </c>
      <c r="AA69" s="83">
        <f t="shared" si="38"/>
        <v>0</v>
      </c>
      <c r="AB69" s="83">
        <f t="shared" si="38"/>
        <v>0</v>
      </c>
      <c r="AK69" s="8"/>
      <c r="AL69" s="8"/>
      <c r="AM69" s="8"/>
      <c r="AN69" s="8"/>
      <c r="AO69" s="8"/>
      <c r="AP69" s="8"/>
      <c r="AQ69" s="8"/>
      <c r="AR69" s="8"/>
      <c r="AS69" s="8"/>
      <c r="AT69" s="8"/>
      <c r="AU69" s="8"/>
      <c r="AV69" s="8"/>
      <c r="AW69" s="8"/>
      <c r="AX69" s="8"/>
      <c r="AY69" s="8"/>
      <c r="AZ69" s="8"/>
      <c r="BA69" s="8"/>
      <c r="BB69" s="8"/>
      <c r="BC69" s="8"/>
      <c r="BD69" s="8"/>
      <c r="BE69" s="8"/>
      <c r="BF69" s="8"/>
      <c r="BG69" s="8"/>
      <c r="BH69" s="8"/>
      <c r="BI69" s="8"/>
      <c r="BJ69" s="8"/>
      <c r="BK69" s="8"/>
      <c r="BL69" s="8"/>
      <c r="BM69" s="8"/>
      <c r="BN69" s="8"/>
      <c r="BO69" s="8"/>
      <c r="BP69" s="8"/>
      <c r="BQ69" s="8"/>
      <c r="BR69" s="8"/>
      <c r="BS69" s="8"/>
      <c r="BT69" s="8"/>
      <c r="BU69" s="8"/>
      <c r="BV69" s="8"/>
      <c r="BW69" s="8"/>
      <c r="BX69" s="8"/>
      <c r="BY69" s="8"/>
      <c r="BZ69" s="8"/>
      <c r="CA69" s="8"/>
      <c r="CB69" s="8"/>
      <c r="CC69" s="8"/>
      <c r="CD69" s="8"/>
    </row>
    <row r="70" spans="1:82" s="48" customFormat="1" ht="13.5" thickBot="1" x14ac:dyDescent="0.25">
      <c r="A70" s="140"/>
      <c r="B70" s="141"/>
      <c r="C70" s="141"/>
      <c r="D70" s="142"/>
      <c r="E70" s="51" t="s">
        <v>5</v>
      </c>
      <c r="F70" s="45">
        <v>0</v>
      </c>
      <c r="G70" s="45">
        <v>0</v>
      </c>
      <c r="H70" s="45">
        <v>0</v>
      </c>
      <c r="I70" s="45">
        <v>1537.3869999999999</v>
      </c>
      <c r="J70" s="45">
        <v>1306.1559999999999</v>
      </c>
      <c r="K70" s="45">
        <v>2720</v>
      </c>
      <c r="L70" s="97">
        <v>3594.299</v>
      </c>
      <c r="M70" s="97">
        <v>3531.6731599999998</v>
      </c>
      <c r="N70" s="97">
        <v>5707.6125499999998</v>
      </c>
      <c r="O70" s="97">
        <v>6284.5908399999998</v>
      </c>
      <c r="P70" s="97"/>
      <c r="Q70" s="85">
        <v>628.77032999999994</v>
      </c>
      <c r="R70" s="85">
        <v>1245.1824099999999</v>
      </c>
      <c r="S70" s="85">
        <v>1941.6462799999999</v>
      </c>
      <c r="T70" s="85">
        <v>2568.0917800000002</v>
      </c>
      <c r="U70" s="85"/>
      <c r="V70" s="85"/>
      <c r="W70" s="85"/>
      <c r="X70" s="85"/>
      <c r="Y70" s="85"/>
      <c r="Z70" s="85"/>
      <c r="AA70" s="85"/>
      <c r="AB70" s="85"/>
      <c r="AK70" s="22"/>
      <c r="AL70" s="22"/>
      <c r="AM70" s="22"/>
      <c r="AN70" s="22"/>
      <c r="AO70" s="22"/>
      <c r="AP70" s="22"/>
      <c r="AQ70" s="22"/>
      <c r="AR70" s="22"/>
      <c r="AS70" s="22"/>
      <c r="AT70" s="22"/>
      <c r="AU70" s="22"/>
      <c r="AV70" s="22"/>
      <c r="AW70" s="22"/>
      <c r="AX70" s="22"/>
      <c r="AY70" s="22"/>
      <c r="AZ70" s="22"/>
      <c r="BA70" s="22"/>
      <c r="BB70" s="22"/>
      <c r="BC70" s="22"/>
      <c r="BD70" s="22"/>
      <c r="BE70" s="22"/>
      <c r="BF70" s="22"/>
      <c r="BG70" s="22"/>
      <c r="BH70" s="22"/>
      <c r="BI70" s="22"/>
      <c r="BJ70" s="22"/>
      <c r="BK70" s="22"/>
      <c r="BL70" s="22"/>
      <c r="BM70" s="22"/>
      <c r="BN70" s="22"/>
      <c r="BO70" s="22"/>
      <c r="BP70" s="22"/>
      <c r="BQ70" s="22"/>
      <c r="BR70" s="22"/>
      <c r="BS70" s="22"/>
      <c r="BT70" s="22"/>
      <c r="BU70" s="22"/>
      <c r="BV70" s="22"/>
      <c r="BW70" s="22"/>
      <c r="BX70" s="22"/>
      <c r="BY70" s="22"/>
      <c r="BZ70" s="22"/>
      <c r="CA70" s="22"/>
      <c r="CB70" s="22"/>
      <c r="CC70" s="22"/>
      <c r="CD70" s="22"/>
    </row>
    <row r="71" spans="1:82" s="1" customFormat="1" x14ac:dyDescent="0.2">
      <c r="A71" s="137" t="s">
        <v>55</v>
      </c>
      <c r="B71" s="138"/>
      <c r="C71" s="138"/>
      <c r="D71" s="139"/>
      <c r="E71" s="49" t="s">
        <v>6</v>
      </c>
      <c r="F71" s="37">
        <v>670</v>
      </c>
      <c r="G71" s="37">
        <v>550</v>
      </c>
      <c r="H71" s="37">
        <v>600</v>
      </c>
      <c r="I71" s="37">
        <v>600</v>
      </c>
      <c r="J71" s="37">
        <v>600</v>
      </c>
      <c r="K71" s="37">
        <v>600</v>
      </c>
      <c r="L71" s="98">
        <v>50</v>
      </c>
      <c r="M71" s="98">
        <v>0</v>
      </c>
      <c r="N71" s="98">
        <v>0</v>
      </c>
      <c r="O71" s="98">
        <v>0</v>
      </c>
      <c r="P71" s="98">
        <v>0</v>
      </c>
      <c r="Q71" s="83">
        <f>IF(O71,+Q71/O71,0)</f>
        <v>0</v>
      </c>
      <c r="R71" s="83">
        <f t="shared" ref="R71:AB71" si="39">IF(Q71,+R71/Q71,0)</f>
        <v>0</v>
      </c>
      <c r="S71" s="83">
        <f t="shared" si="39"/>
        <v>0</v>
      </c>
      <c r="T71" s="83">
        <f t="shared" si="39"/>
        <v>0</v>
      </c>
      <c r="U71" s="83">
        <f t="shared" si="39"/>
        <v>0</v>
      </c>
      <c r="V71" s="83">
        <f t="shared" si="39"/>
        <v>0</v>
      </c>
      <c r="W71" s="83">
        <f t="shared" si="39"/>
        <v>0</v>
      </c>
      <c r="X71" s="83">
        <f t="shared" si="39"/>
        <v>0</v>
      </c>
      <c r="Y71" s="83">
        <f t="shared" si="39"/>
        <v>0</v>
      </c>
      <c r="Z71" s="83">
        <f t="shared" si="39"/>
        <v>0</v>
      </c>
      <c r="AA71" s="83">
        <f t="shared" si="39"/>
        <v>0</v>
      </c>
      <c r="AB71" s="83">
        <f t="shared" si="39"/>
        <v>0</v>
      </c>
      <c r="AK71" s="8"/>
      <c r="AL71" s="8"/>
      <c r="AM71" s="8"/>
      <c r="AN71" s="8"/>
      <c r="AO71" s="8"/>
      <c r="AP71" s="8"/>
      <c r="AQ71" s="8"/>
      <c r="AR71" s="8"/>
      <c r="AS71" s="8"/>
      <c r="AT71" s="8"/>
      <c r="AU71" s="8"/>
      <c r="AV71" s="8"/>
      <c r="AW71" s="8"/>
      <c r="AX71" s="8"/>
      <c r="AY71" s="8"/>
      <c r="AZ71" s="8"/>
      <c r="BA71" s="8"/>
      <c r="BB71" s="8"/>
      <c r="BC71" s="8"/>
      <c r="BD71" s="8"/>
      <c r="BE71" s="8"/>
      <c r="BF71" s="8"/>
      <c r="BG71" s="8"/>
      <c r="BH71" s="8"/>
      <c r="BI71" s="8"/>
      <c r="BJ71" s="8"/>
      <c r="BK71" s="8"/>
      <c r="BL71" s="8"/>
      <c r="BM71" s="8"/>
      <c r="BN71" s="8"/>
      <c r="BO71" s="8"/>
      <c r="BP71" s="8"/>
      <c r="BQ71" s="8"/>
      <c r="BR71" s="8"/>
      <c r="BS71" s="8"/>
      <c r="BT71" s="8"/>
      <c r="BU71" s="8"/>
      <c r="BV71" s="8"/>
      <c r="BW71" s="8"/>
      <c r="BX71" s="8"/>
      <c r="BY71" s="8"/>
      <c r="BZ71" s="8"/>
      <c r="CA71" s="8"/>
      <c r="CB71" s="8"/>
      <c r="CC71" s="8"/>
      <c r="CD71" s="8"/>
    </row>
    <row r="72" spans="1:82" s="48" customFormat="1" ht="13.5" thickBot="1" x14ac:dyDescent="0.25">
      <c r="A72" s="140"/>
      <c r="B72" s="141"/>
      <c r="C72" s="141"/>
      <c r="D72" s="142"/>
      <c r="E72" s="51" t="s">
        <v>5</v>
      </c>
      <c r="F72" s="45">
        <v>570</v>
      </c>
      <c r="G72" s="45">
        <v>524</v>
      </c>
      <c r="H72" s="45">
        <v>663.31399999999996</v>
      </c>
      <c r="I72" s="45">
        <v>620</v>
      </c>
      <c r="J72" s="45">
        <v>414.05</v>
      </c>
      <c r="K72" s="45">
        <v>38</v>
      </c>
      <c r="L72" s="97">
        <v>0</v>
      </c>
      <c r="M72" s="97">
        <v>0</v>
      </c>
      <c r="N72" s="97">
        <v>0</v>
      </c>
      <c r="O72" s="97">
        <v>0</v>
      </c>
      <c r="P72" s="97"/>
      <c r="Q72" s="85">
        <v>0</v>
      </c>
      <c r="R72" s="85">
        <v>0</v>
      </c>
      <c r="S72" s="85">
        <v>0</v>
      </c>
      <c r="T72" s="85">
        <v>0</v>
      </c>
      <c r="U72" s="85">
        <v>0</v>
      </c>
      <c r="V72" s="85">
        <v>0</v>
      </c>
      <c r="W72" s="85">
        <v>0</v>
      </c>
      <c r="X72" s="85">
        <v>0</v>
      </c>
      <c r="Y72" s="85">
        <v>0</v>
      </c>
      <c r="Z72" s="85">
        <v>0</v>
      </c>
      <c r="AA72" s="85">
        <v>0</v>
      </c>
      <c r="AB72" s="85">
        <v>0</v>
      </c>
      <c r="AK72" s="22"/>
      <c r="AL72" s="22"/>
      <c r="AM72" s="22"/>
      <c r="AN72" s="22"/>
      <c r="AO72" s="22"/>
      <c r="AP72" s="22"/>
      <c r="AQ72" s="22"/>
      <c r="AR72" s="22"/>
      <c r="AS72" s="22"/>
      <c r="AT72" s="22"/>
      <c r="AU72" s="22"/>
      <c r="AV72" s="22"/>
      <c r="AW72" s="22"/>
      <c r="AX72" s="22"/>
      <c r="AY72" s="22"/>
      <c r="AZ72" s="22"/>
      <c r="BA72" s="22"/>
      <c r="BB72" s="22"/>
      <c r="BC72" s="22"/>
      <c r="BD72" s="22"/>
      <c r="BE72" s="22"/>
      <c r="BF72" s="22"/>
      <c r="BG72" s="22"/>
      <c r="BH72" s="22"/>
      <c r="BI72" s="22"/>
      <c r="BJ72" s="22"/>
      <c r="BK72" s="22"/>
      <c r="BL72" s="22"/>
      <c r="BM72" s="22"/>
      <c r="BN72" s="22"/>
      <c r="BO72" s="22"/>
      <c r="BP72" s="22"/>
      <c r="BQ72" s="22"/>
      <c r="BR72" s="22"/>
      <c r="BS72" s="22"/>
      <c r="BT72" s="22"/>
      <c r="BU72" s="22"/>
      <c r="BV72" s="22"/>
      <c r="BW72" s="22"/>
      <c r="BX72" s="22"/>
      <c r="BY72" s="22"/>
      <c r="BZ72" s="22"/>
      <c r="CA72" s="22"/>
      <c r="CB72" s="22"/>
      <c r="CC72" s="22"/>
      <c r="CD72" s="22"/>
    </row>
    <row r="73" spans="1:82" s="1" customFormat="1" x14ac:dyDescent="0.2">
      <c r="A73" s="137" t="s">
        <v>54</v>
      </c>
      <c r="B73" s="138"/>
      <c r="C73" s="138"/>
      <c r="D73" s="139"/>
      <c r="E73" s="49" t="s">
        <v>6</v>
      </c>
      <c r="F73" s="37">
        <v>5800</v>
      </c>
      <c r="G73" s="37">
        <v>5900</v>
      </c>
      <c r="H73" s="37">
        <v>746</v>
      </c>
      <c r="I73" s="37">
        <v>350</v>
      </c>
      <c r="J73" s="37">
        <v>330</v>
      </c>
      <c r="K73" s="37">
        <v>330</v>
      </c>
      <c r="L73" s="98">
        <v>1830</v>
      </c>
      <c r="M73" s="98">
        <v>1830</v>
      </c>
      <c r="N73" s="98">
        <v>830</v>
      </c>
      <c r="O73" s="98">
        <v>84.8</v>
      </c>
      <c r="P73" s="98">
        <v>150</v>
      </c>
      <c r="Q73" s="83">
        <f>Q74/$P$73</f>
        <v>8.1423200000000001E-2</v>
      </c>
      <c r="R73" s="83">
        <f t="shared" ref="R73:AB73" si="40">R74/$P$73</f>
        <v>0.14368800000000001</v>
      </c>
      <c r="S73" s="83">
        <f t="shared" si="40"/>
        <v>0.22032160000000001</v>
      </c>
      <c r="T73" s="83">
        <f t="shared" si="40"/>
        <v>0.22032160000000001</v>
      </c>
      <c r="U73" s="83">
        <f t="shared" si="40"/>
        <v>0</v>
      </c>
      <c r="V73" s="83">
        <f t="shared" si="40"/>
        <v>0</v>
      </c>
      <c r="W73" s="83">
        <f t="shared" si="40"/>
        <v>0</v>
      </c>
      <c r="X73" s="83">
        <f t="shared" si="40"/>
        <v>0</v>
      </c>
      <c r="Y73" s="83">
        <f t="shared" si="40"/>
        <v>0</v>
      </c>
      <c r="Z73" s="83">
        <f t="shared" si="40"/>
        <v>0</v>
      </c>
      <c r="AA73" s="83">
        <f t="shared" si="40"/>
        <v>0</v>
      </c>
      <c r="AB73" s="83">
        <f t="shared" si="40"/>
        <v>0</v>
      </c>
      <c r="AK73" s="8"/>
      <c r="AL73" s="8"/>
      <c r="AM73" s="8"/>
      <c r="AN73" s="8"/>
      <c r="AO73" s="8"/>
      <c r="AP73" s="8"/>
      <c r="AQ73" s="8"/>
      <c r="AR73" s="8"/>
      <c r="AS73" s="8"/>
      <c r="AT73" s="8"/>
      <c r="AU73" s="8"/>
      <c r="AV73" s="8"/>
      <c r="AW73" s="8"/>
      <c r="AX73" s="8"/>
      <c r="AY73" s="8"/>
      <c r="AZ73" s="8"/>
      <c r="BA73" s="8"/>
      <c r="BB73" s="8"/>
      <c r="BC73" s="8"/>
      <c r="BD73" s="8"/>
      <c r="BE73" s="8"/>
      <c r="BF73" s="8"/>
      <c r="BG73" s="8"/>
      <c r="BH73" s="8"/>
      <c r="BI73" s="8"/>
      <c r="BJ73" s="8"/>
      <c r="BK73" s="8"/>
      <c r="BL73" s="8"/>
      <c r="BM73" s="8"/>
      <c r="BN73" s="8"/>
      <c r="BO73" s="8"/>
      <c r="BP73" s="8"/>
      <c r="BQ73" s="8"/>
      <c r="BR73" s="8"/>
      <c r="BS73" s="8"/>
      <c r="BT73" s="8"/>
      <c r="BU73" s="8"/>
      <c r="BV73" s="8"/>
      <c r="BW73" s="8"/>
      <c r="BX73" s="8"/>
      <c r="BY73" s="8"/>
      <c r="BZ73" s="8"/>
      <c r="CA73" s="8"/>
      <c r="CB73" s="8"/>
      <c r="CC73" s="8"/>
      <c r="CD73" s="8"/>
    </row>
    <row r="74" spans="1:82" s="48" customFormat="1" ht="13.5" thickBot="1" x14ac:dyDescent="0.25">
      <c r="A74" s="146"/>
      <c r="B74" s="147"/>
      <c r="C74" s="147"/>
      <c r="D74" s="148"/>
      <c r="E74" s="50" t="s">
        <v>5</v>
      </c>
      <c r="F74" s="44">
        <v>5851</v>
      </c>
      <c r="G74" s="44">
        <v>5864</v>
      </c>
      <c r="H74" s="44">
        <v>1250.0707</v>
      </c>
      <c r="I74" s="44">
        <v>313</v>
      </c>
      <c r="J74" s="44">
        <v>315.142</v>
      </c>
      <c r="K74" s="44">
        <v>324</v>
      </c>
      <c r="L74" s="94">
        <v>336.74400000000003</v>
      </c>
      <c r="M74" s="94">
        <v>284.28949999999998</v>
      </c>
      <c r="N74" s="94">
        <v>72.647959999999998</v>
      </c>
      <c r="O74" s="94">
        <v>116.32741</v>
      </c>
      <c r="P74" s="94"/>
      <c r="Q74" s="84">
        <v>12.213480000000001</v>
      </c>
      <c r="R74" s="84">
        <v>21.5532</v>
      </c>
      <c r="S74" s="84">
        <v>33.04824</v>
      </c>
      <c r="T74" s="84">
        <v>33.04824</v>
      </c>
      <c r="U74" s="84"/>
      <c r="V74" s="84"/>
      <c r="W74" s="84"/>
      <c r="X74" s="84"/>
      <c r="Y74" s="84"/>
      <c r="Z74" s="84"/>
      <c r="AA74" s="84"/>
      <c r="AB74" s="84"/>
      <c r="AK74" s="22"/>
      <c r="AL74" s="22"/>
      <c r="AM74" s="22"/>
      <c r="AN74" s="22"/>
      <c r="AO74" s="22"/>
      <c r="AP74" s="22"/>
      <c r="AQ74" s="22"/>
      <c r="AR74" s="22"/>
      <c r="AS74" s="22"/>
      <c r="AT74" s="22"/>
      <c r="AU74" s="22"/>
      <c r="AV74" s="22"/>
      <c r="AW74" s="22"/>
      <c r="AX74" s="22"/>
      <c r="AY74" s="22"/>
      <c r="AZ74" s="22"/>
      <c r="BA74" s="22"/>
      <c r="BB74" s="22"/>
      <c r="BC74" s="22"/>
      <c r="BD74" s="22"/>
      <c r="BE74" s="22"/>
      <c r="BF74" s="22"/>
      <c r="BG74" s="22"/>
      <c r="BH74" s="22"/>
      <c r="BI74" s="22"/>
      <c r="BJ74" s="22"/>
      <c r="BK74" s="22"/>
      <c r="BL74" s="22"/>
      <c r="BM74" s="22"/>
      <c r="BN74" s="22"/>
      <c r="BO74" s="22"/>
      <c r="BP74" s="22"/>
      <c r="BQ74" s="22"/>
      <c r="BR74" s="22"/>
      <c r="BS74" s="22"/>
      <c r="BT74" s="22"/>
      <c r="BU74" s="22"/>
      <c r="BV74" s="22"/>
      <c r="BW74" s="22"/>
      <c r="BX74" s="22"/>
      <c r="BY74" s="22"/>
      <c r="BZ74" s="22"/>
      <c r="CA74" s="22"/>
      <c r="CB74" s="22"/>
      <c r="CC74" s="22"/>
      <c r="CD74" s="22"/>
    </row>
    <row r="75" spans="1:82" s="8" customFormat="1" x14ac:dyDescent="0.2">
      <c r="A75" s="143" t="s">
        <v>43</v>
      </c>
      <c r="B75" s="144"/>
      <c r="C75" s="144"/>
      <c r="D75" s="149"/>
      <c r="E75" s="25" t="s">
        <v>6</v>
      </c>
      <c r="F75" s="38">
        <f t="shared" ref="F75:P76" si="41">F67+F73+F71+F69</f>
        <v>44970</v>
      </c>
      <c r="G75" s="38">
        <f t="shared" si="41"/>
        <v>46450</v>
      </c>
      <c r="H75" s="38">
        <f t="shared" si="41"/>
        <v>41846</v>
      </c>
      <c r="I75" s="38">
        <f t="shared" si="41"/>
        <v>42321</v>
      </c>
      <c r="J75" s="38">
        <f t="shared" si="41"/>
        <v>44130</v>
      </c>
      <c r="K75" s="38">
        <f t="shared" si="41"/>
        <v>48980</v>
      </c>
      <c r="L75" s="66">
        <f t="shared" si="41"/>
        <v>52380</v>
      </c>
      <c r="M75" s="66">
        <f t="shared" si="41"/>
        <v>59730</v>
      </c>
      <c r="N75" s="66">
        <f t="shared" si="41"/>
        <v>63630</v>
      </c>
      <c r="O75" s="66">
        <f t="shared" si="41"/>
        <v>69084.800000000003</v>
      </c>
      <c r="P75" s="66">
        <f t="shared" si="41"/>
        <v>76150</v>
      </c>
      <c r="Q75" s="78">
        <f>Q76/$P$75</f>
        <v>8.039306408404466E-2</v>
      </c>
      <c r="R75" s="78">
        <f t="shared" ref="R75:AB75" si="42">R76/$P$75</f>
        <v>0.1606904530531845</v>
      </c>
      <c r="S75" s="78">
        <f t="shared" si="42"/>
        <v>0.24197574182534473</v>
      </c>
      <c r="T75" s="78">
        <f t="shared" si="42"/>
        <v>0.32228552541037425</v>
      </c>
      <c r="U75" s="78">
        <f t="shared" si="42"/>
        <v>0</v>
      </c>
      <c r="V75" s="78">
        <f t="shared" si="42"/>
        <v>0</v>
      </c>
      <c r="W75" s="78">
        <f t="shared" si="42"/>
        <v>0</v>
      </c>
      <c r="X75" s="78">
        <f t="shared" si="42"/>
        <v>0</v>
      </c>
      <c r="Y75" s="78">
        <f t="shared" si="42"/>
        <v>0</v>
      </c>
      <c r="Z75" s="78">
        <f t="shared" si="42"/>
        <v>0</v>
      </c>
      <c r="AA75" s="78">
        <f t="shared" si="42"/>
        <v>0</v>
      </c>
      <c r="AB75" s="78">
        <f t="shared" si="42"/>
        <v>0</v>
      </c>
    </row>
    <row r="76" spans="1:82" s="22" customFormat="1" ht="13.5" thickBot="1" x14ac:dyDescent="0.25">
      <c r="A76" s="118"/>
      <c r="B76" s="119"/>
      <c r="C76" s="119"/>
      <c r="D76" s="150"/>
      <c r="E76" s="40" t="s">
        <v>5</v>
      </c>
      <c r="F76" s="39">
        <f t="shared" si="41"/>
        <v>46267</v>
      </c>
      <c r="G76" s="39">
        <f t="shared" si="41"/>
        <v>44081</v>
      </c>
      <c r="H76" s="39">
        <f t="shared" si="41"/>
        <v>40710.568699999996</v>
      </c>
      <c r="I76" s="39">
        <f t="shared" si="41"/>
        <v>42026.387000000002</v>
      </c>
      <c r="J76" s="39">
        <f t="shared" si="41"/>
        <v>42967.150000000009</v>
      </c>
      <c r="K76" s="39">
        <f t="shared" si="41"/>
        <v>47623</v>
      </c>
      <c r="L76" s="67">
        <f t="shared" si="41"/>
        <v>51728.564999999995</v>
      </c>
      <c r="M76" s="67">
        <f t="shared" si="41"/>
        <v>57486.328969999995</v>
      </c>
      <c r="N76" s="67">
        <f t="shared" si="41"/>
        <v>63709.892480000002</v>
      </c>
      <c r="O76" s="67">
        <f t="shared" si="41"/>
        <v>67688.908410000004</v>
      </c>
      <c r="P76" s="67">
        <f t="shared" si="41"/>
        <v>0</v>
      </c>
      <c r="Q76" s="35">
        <f t="shared" ref="Q76:AB76" si="43">Q68+Q74+Q72+Q70</f>
        <v>6121.9318300000004</v>
      </c>
      <c r="R76" s="35">
        <f t="shared" si="43"/>
        <v>12236.578</v>
      </c>
      <c r="S76" s="35">
        <f t="shared" si="43"/>
        <v>18426.452740000001</v>
      </c>
      <c r="T76" s="35">
        <f>T68+T74+T72+T70</f>
        <v>24542.04276</v>
      </c>
      <c r="U76" s="35">
        <f t="shared" si="43"/>
        <v>0</v>
      </c>
      <c r="V76" s="35">
        <f t="shared" si="43"/>
        <v>0</v>
      </c>
      <c r="W76" s="35">
        <f t="shared" si="43"/>
        <v>0</v>
      </c>
      <c r="X76" s="35">
        <f t="shared" si="43"/>
        <v>0</v>
      </c>
      <c r="Y76" s="35">
        <f t="shared" si="43"/>
        <v>0</v>
      </c>
      <c r="Z76" s="35">
        <f t="shared" si="43"/>
        <v>0</v>
      </c>
      <c r="AA76" s="35">
        <f t="shared" si="43"/>
        <v>0</v>
      </c>
      <c r="AB76" s="35">
        <f t="shared" si="43"/>
        <v>0</v>
      </c>
    </row>
    <row r="77" spans="1:82" s="8" customFormat="1" ht="13.5" thickBot="1" x14ac:dyDescent="0.25">
      <c r="A77" s="1"/>
      <c r="B77" s="1"/>
      <c r="C77" s="1"/>
      <c r="D77" s="1"/>
      <c r="E77" s="1"/>
      <c r="F77" s="48"/>
      <c r="G77" s="48"/>
      <c r="H77" s="48"/>
      <c r="I77" s="48"/>
      <c r="J77" s="48"/>
      <c r="K77" s="48"/>
      <c r="L77" s="48"/>
      <c r="M77" s="48"/>
      <c r="N77" s="48"/>
      <c r="O77" s="48"/>
      <c r="P77" s="48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</row>
    <row r="78" spans="1:82" s="8" customFormat="1" x14ac:dyDescent="0.2">
      <c r="A78" s="151" t="s">
        <v>10</v>
      </c>
      <c r="B78" s="152"/>
      <c r="C78" s="152"/>
      <c r="D78" s="153"/>
      <c r="E78" s="53" t="s">
        <v>6</v>
      </c>
      <c r="F78" s="37">
        <v>1450</v>
      </c>
      <c r="G78" s="37">
        <v>1400</v>
      </c>
      <c r="H78" s="37">
        <v>1400</v>
      </c>
      <c r="I78" s="37">
        <v>1200</v>
      </c>
      <c r="J78" s="37">
        <v>1200</v>
      </c>
      <c r="K78" s="37">
        <v>1250</v>
      </c>
      <c r="L78" s="65">
        <v>1200</v>
      </c>
      <c r="M78" s="65">
        <v>0</v>
      </c>
      <c r="N78" s="65">
        <v>0</v>
      </c>
      <c r="O78" s="65">
        <v>0</v>
      </c>
      <c r="P78" s="65">
        <v>0</v>
      </c>
      <c r="Q78" s="86">
        <f>IF(O78,+Q78/O78,0)</f>
        <v>0</v>
      </c>
      <c r="R78" s="86">
        <f t="shared" ref="R78:AB78" si="44">IF(Q78,+R78/Q78,0)</f>
        <v>0</v>
      </c>
      <c r="S78" s="86">
        <f t="shared" si="44"/>
        <v>0</v>
      </c>
      <c r="T78" s="86">
        <f t="shared" si="44"/>
        <v>0</v>
      </c>
      <c r="U78" s="86">
        <f t="shared" si="44"/>
        <v>0</v>
      </c>
      <c r="V78" s="86">
        <f t="shared" si="44"/>
        <v>0</v>
      </c>
      <c r="W78" s="86">
        <f t="shared" si="44"/>
        <v>0</v>
      </c>
      <c r="X78" s="86">
        <f t="shared" si="44"/>
        <v>0</v>
      </c>
      <c r="Y78" s="86">
        <f t="shared" si="44"/>
        <v>0</v>
      </c>
      <c r="Z78" s="86">
        <f t="shared" si="44"/>
        <v>0</v>
      </c>
      <c r="AA78" s="86">
        <f t="shared" si="44"/>
        <v>0</v>
      </c>
      <c r="AB78" s="86">
        <f t="shared" si="44"/>
        <v>0</v>
      </c>
    </row>
    <row r="79" spans="1:82" s="22" customFormat="1" ht="13.5" thickBot="1" x14ac:dyDescent="0.25">
      <c r="A79" s="154"/>
      <c r="B79" s="155"/>
      <c r="C79" s="155"/>
      <c r="D79" s="156"/>
      <c r="E79" s="54" t="s">
        <v>5</v>
      </c>
      <c r="F79" s="44">
        <v>1380</v>
      </c>
      <c r="G79" s="44">
        <v>1169</v>
      </c>
      <c r="H79" s="44">
        <v>1139.3315</v>
      </c>
      <c r="I79" s="44">
        <v>1202</v>
      </c>
      <c r="J79" s="44">
        <v>1178.4190000000001</v>
      </c>
      <c r="K79" s="44">
        <v>1190</v>
      </c>
      <c r="L79" s="94">
        <v>296.07299999999998</v>
      </c>
      <c r="M79" s="94">
        <v>0</v>
      </c>
      <c r="N79" s="94">
        <v>0</v>
      </c>
      <c r="O79" s="94">
        <v>0</v>
      </c>
      <c r="P79" s="94"/>
      <c r="Q79" s="87">
        <v>0</v>
      </c>
      <c r="R79" s="87">
        <v>0</v>
      </c>
      <c r="S79" s="87">
        <v>0</v>
      </c>
      <c r="T79" s="87">
        <v>0</v>
      </c>
      <c r="U79" s="87">
        <v>0</v>
      </c>
      <c r="V79" s="87">
        <v>0</v>
      </c>
      <c r="W79" s="87">
        <v>0</v>
      </c>
      <c r="X79" s="87">
        <v>0</v>
      </c>
      <c r="Y79" s="87">
        <v>0</v>
      </c>
      <c r="Z79" s="87">
        <v>0</v>
      </c>
      <c r="AA79" s="87">
        <v>0</v>
      </c>
      <c r="AB79" s="87">
        <v>0</v>
      </c>
    </row>
    <row r="80" spans="1:82" s="8" customFormat="1" ht="13.5" hidden="1" thickBot="1" x14ac:dyDescent="0.25">
      <c r="A80" s="16" t="s">
        <v>32</v>
      </c>
      <c r="B80" s="17"/>
      <c r="C80" s="17"/>
      <c r="D80" s="18"/>
      <c r="E80" s="52" t="s">
        <v>6</v>
      </c>
      <c r="F80" s="62"/>
      <c r="G80" s="62"/>
      <c r="H80" s="62"/>
      <c r="I80" s="62"/>
      <c r="J80" s="62"/>
      <c r="K80" s="62"/>
      <c r="L80" s="99"/>
      <c r="M80" s="101"/>
      <c r="N80" s="101"/>
      <c r="O80" s="101"/>
      <c r="P80" s="101"/>
      <c r="Q80" s="88" t="e">
        <f>Q81/G80</f>
        <v>#DIV/0!</v>
      </c>
      <c r="R80" s="88" t="e">
        <f>R81/G80</f>
        <v>#DIV/0!</v>
      </c>
      <c r="S80" s="88" t="e">
        <f>S81/G80</f>
        <v>#DIV/0!</v>
      </c>
      <c r="T80" s="88" t="e">
        <f>T81/G80</f>
        <v>#DIV/0!</v>
      </c>
      <c r="U80" s="88" t="e">
        <f>U81/G80</f>
        <v>#DIV/0!</v>
      </c>
      <c r="V80" s="88" t="e">
        <f>V81/G80</f>
        <v>#DIV/0!</v>
      </c>
      <c r="W80" s="88" t="e">
        <f>W81/G80</f>
        <v>#DIV/0!</v>
      </c>
      <c r="X80" s="88" t="e">
        <f>X81/G80</f>
        <v>#DIV/0!</v>
      </c>
      <c r="Y80" s="88" t="e">
        <f>Y81/G80</f>
        <v>#DIV/0!</v>
      </c>
      <c r="Z80" s="88" t="e">
        <f>Z81/G80</f>
        <v>#DIV/0!</v>
      </c>
      <c r="AA80" s="88" t="e">
        <f>AA81/G80</f>
        <v>#DIV/0!</v>
      </c>
      <c r="AB80" s="88" t="e">
        <f>AB81/G80</f>
        <v>#DIV/0!</v>
      </c>
    </row>
    <row r="81" spans="1:82" s="8" customFormat="1" ht="13.5" hidden="1" thickBot="1" x14ac:dyDescent="0.25">
      <c r="A81" s="16"/>
      <c r="B81" s="17"/>
      <c r="C81" s="17"/>
      <c r="D81" s="18"/>
      <c r="E81" s="19" t="s">
        <v>5</v>
      </c>
      <c r="F81" s="63"/>
      <c r="G81" s="63"/>
      <c r="H81" s="63"/>
      <c r="I81" s="63"/>
      <c r="J81" s="63"/>
      <c r="K81" s="63"/>
      <c r="L81" s="100"/>
      <c r="M81" s="102"/>
      <c r="N81" s="102"/>
      <c r="O81" s="102"/>
      <c r="P81" s="102"/>
      <c r="Q81" s="89">
        <v>0</v>
      </c>
      <c r="R81" s="89">
        <v>0</v>
      </c>
      <c r="S81" s="89">
        <v>0</v>
      </c>
      <c r="T81" s="89">
        <v>0</v>
      </c>
      <c r="U81" s="89">
        <v>0</v>
      </c>
      <c r="V81" s="89">
        <v>0</v>
      </c>
      <c r="W81" s="89">
        <v>0</v>
      </c>
      <c r="X81" s="89">
        <v>0</v>
      </c>
      <c r="Y81" s="89">
        <v>0</v>
      </c>
      <c r="Z81" s="89">
        <v>0</v>
      </c>
      <c r="AA81" s="89">
        <v>0</v>
      </c>
      <c r="AB81" s="89">
        <v>0</v>
      </c>
    </row>
    <row r="82" spans="1:82" s="8" customFormat="1" x14ac:dyDescent="0.2">
      <c r="A82" s="151" t="s">
        <v>44</v>
      </c>
      <c r="B82" s="152"/>
      <c r="C82" s="152"/>
      <c r="D82" s="153"/>
      <c r="E82" s="53" t="s">
        <v>6</v>
      </c>
      <c r="F82" s="37">
        <v>250</v>
      </c>
      <c r="G82" s="37">
        <v>250</v>
      </c>
      <c r="H82" s="37">
        <v>200</v>
      </c>
      <c r="I82" s="37">
        <v>350</v>
      </c>
      <c r="J82" s="37">
        <v>300</v>
      </c>
      <c r="K82" s="37">
        <v>300</v>
      </c>
      <c r="L82" s="98">
        <v>300</v>
      </c>
      <c r="M82" s="98">
        <v>150</v>
      </c>
      <c r="N82" s="98">
        <v>100</v>
      </c>
      <c r="O82" s="98">
        <v>74.2</v>
      </c>
      <c r="P82" s="98">
        <v>71.837999999999994</v>
      </c>
      <c r="Q82" s="86">
        <f>Q83/$P$82</f>
        <v>0.26520699351318244</v>
      </c>
      <c r="R82" s="86">
        <f t="shared" ref="R82:AB82" si="45">R83/$P$82</f>
        <v>0.37044419388067601</v>
      </c>
      <c r="S82" s="86">
        <f t="shared" si="45"/>
        <v>0.39026504078621344</v>
      </c>
      <c r="T82" s="86">
        <f t="shared" si="45"/>
        <v>0.50217558952086649</v>
      </c>
      <c r="U82" s="86">
        <f t="shared" si="45"/>
        <v>0</v>
      </c>
      <c r="V82" s="86">
        <f t="shared" si="45"/>
        <v>0</v>
      </c>
      <c r="W82" s="86">
        <f t="shared" si="45"/>
        <v>0</v>
      </c>
      <c r="X82" s="86">
        <f t="shared" si="45"/>
        <v>0</v>
      </c>
      <c r="Y82" s="86">
        <f t="shared" si="45"/>
        <v>0</v>
      </c>
      <c r="Z82" s="86">
        <f t="shared" si="45"/>
        <v>0</v>
      </c>
      <c r="AA82" s="86">
        <f t="shared" si="45"/>
        <v>0</v>
      </c>
      <c r="AB82" s="86">
        <f t="shared" si="45"/>
        <v>0</v>
      </c>
    </row>
    <row r="83" spans="1:82" s="22" customFormat="1" ht="13.5" thickBot="1" x14ac:dyDescent="0.25">
      <c r="A83" s="157"/>
      <c r="B83" s="158"/>
      <c r="C83" s="158"/>
      <c r="D83" s="159"/>
      <c r="E83" s="55" t="s">
        <v>5</v>
      </c>
      <c r="F83" s="45">
        <v>144</v>
      </c>
      <c r="G83" s="45">
        <v>171</v>
      </c>
      <c r="H83" s="45">
        <v>314.4101</v>
      </c>
      <c r="I83" s="45">
        <v>251</v>
      </c>
      <c r="J83" s="45">
        <v>316.20666999999997</v>
      </c>
      <c r="K83" s="45">
        <v>307</v>
      </c>
      <c r="L83" s="97">
        <v>100.161</v>
      </c>
      <c r="M83" s="97">
        <v>59.289250000000003</v>
      </c>
      <c r="N83" s="97">
        <v>74.331270000000004</v>
      </c>
      <c r="O83" s="97">
        <v>78.972909999999999</v>
      </c>
      <c r="P83" s="97"/>
      <c r="Q83" s="90">
        <v>19.051939999999998</v>
      </c>
      <c r="R83" s="90">
        <v>26.611969999999999</v>
      </c>
      <c r="S83" s="90">
        <v>28.03586</v>
      </c>
      <c r="T83" s="90">
        <v>36.075290000000003</v>
      </c>
      <c r="U83" s="90"/>
      <c r="V83" s="90"/>
      <c r="W83" s="90"/>
      <c r="X83" s="90"/>
      <c r="Y83" s="90"/>
      <c r="Z83" s="90"/>
      <c r="AA83" s="90"/>
      <c r="AB83" s="90"/>
    </row>
    <row r="84" spans="1:82" s="8" customFormat="1" x14ac:dyDescent="0.2">
      <c r="A84" s="151" t="s">
        <v>60</v>
      </c>
      <c r="B84" s="152"/>
      <c r="C84" s="152"/>
      <c r="D84" s="153"/>
      <c r="E84" s="53" t="s">
        <v>6</v>
      </c>
      <c r="F84" s="37">
        <v>0</v>
      </c>
      <c r="G84" s="37">
        <v>0</v>
      </c>
      <c r="H84" s="37">
        <v>0</v>
      </c>
      <c r="I84" s="37">
        <v>0</v>
      </c>
      <c r="J84" s="37">
        <v>0</v>
      </c>
      <c r="K84" s="37">
        <v>0</v>
      </c>
      <c r="L84" s="98">
        <v>0</v>
      </c>
      <c r="M84" s="98">
        <v>38500</v>
      </c>
      <c r="N84" s="98">
        <v>42000</v>
      </c>
      <c r="O84" s="98">
        <v>48000</v>
      </c>
      <c r="P84" s="98">
        <v>63000</v>
      </c>
      <c r="Q84" s="86">
        <f>Q85/$P$84</f>
        <v>8.1505840476190472E-2</v>
      </c>
      <c r="R84" s="86">
        <f t="shared" ref="R84:AB84" si="46">R85/$P$84</f>
        <v>0.15686049650793651</v>
      </c>
      <c r="S84" s="86">
        <f t="shared" si="46"/>
        <v>0.2429592503174603</v>
      </c>
      <c r="T84" s="86">
        <f t="shared" si="46"/>
        <v>0.31055133365079363</v>
      </c>
      <c r="U84" s="86">
        <f t="shared" si="46"/>
        <v>0</v>
      </c>
      <c r="V84" s="86">
        <f t="shared" si="46"/>
        <v>0</v>
      </c>
      <c r="W84" s="86">
        <f t="shared" si="46"/>
        <v>0</v>
      </c>
      <c r="X84" s="86">
        <f t="shared" si="46"/>
        <v>0</v>
      </c>
      <c r="Y84" s="86">
        <f t="shared" si="46"/>
        <v>0</v>
      </c>
      <c r="Z84" s="86">
        <f t="shared" si="46"/>
        <v>0</v>
      </c>
      <c r="AA84" s="86">
        <f t="shared" si="46"/>
        <v>0</v>
      </c>
      <c r="AB84" s="86">
        <f t="shared" si="46"/>
        <v>0</v>
      </c>
    </row>
    <row r="85" spans="1:82" s="22" customFormat="1" ht="13.5" thickBot="1" x14ac:dyDescent="0.25">
      <c r="A85" s="157"/>
      <c r="B85" s="158"/>
      <c r="C85" s="158"/>
      <c r="D85" s="159"/>
      <c r="E85" s="55" t="s">
        <v>5</v>
      </c>
      <c r="F85" s="45">
        <v>0</v>
      </c>
      <c r="G85" s="45">
        <v>0</v>
      </c>
      <c r="H85" s="45">
        <v>0</v>
      </c>
      <c r="I85" s="45">
        <v>0</v>
      </c>
      <c r="J85" s="45">
        <v>0</v>
      </c>
      <c r="K85" s="45">
        <v>0</v>
      </c>
      <c r="L85" s="97">
        <v>22003.819</v>
      </c>
      <c r="M85" s="97">
        <v>39959.863519999999</v>
      </c>
      <c r="N85" s="97">
        <v>43967.554580000004</v>
      </c>
      <c r="O85" s="97">
        <v>47465.36894</v>
      </c>
      <c r="P85" s="97"/>
      <c r="Q85" s="90">
        <v>5134.8679499999998</v>
      </c>
      <c r="R85" s="90">
        <v>9882.2112799999995</v>
      </c>
      <c r="S85" s="90">
        <v>15306.432769999999</v>
      </c>
      <c r="T85" s="90">
        <v>19564.73402</v>
      </c>
      <c r="U85" s="90"/>
      <c r="V85" s="90"/>
      <c r="W85" s="90"/>
      <c r="X85" s="90"/>
      <c r="Y85" s="90"/>
      <c r="Z85" s="90"/>
      <c r="AA85" s="90"/>
      <c r="AB85" s="90"/>
    </row>
    <row r="86" spans="1:82" s="22" customFormat="1" x14ac:dyDescent="0.2">
      <c r="A86" s="143" t="s">
        <v>45</v>
      </c>
      <c r="B86" s="144"/>
      <c r="C86" s="144"/>
      <c r="D86" s="149"/>
      <c r="E86" s="25" t="s">
        <v>6</v>
      </c>
      <c r="F86" s="38">
        <f>F78+F82+F84</f>
        <v>1700</v>
      </c>
      <c r="G86" s="38">
        <f t="shared" ref="G86:P86" si="47">G78+G82+G84</f>
        <v>1650</v>
      </c>
      <c r="H86" s="38">
        <f t="shared" si="47"/>
        <v>1600</v>
      </c>
      <c r="I86" s="38">
        <f t="shared" si="47"/>
        <v>1550</v>
      </c>
      <c r="J86" s="38">
        <f t="shared" si="47"/>
        <v>1500</v>
      </c>
      <c r="K86" s="38">
        <f t="shared" si="47"/>
        <v>1550</v>
      </c>
      <c r="L86" s="38">
        <f t="shared" si="47"/>
        <v>1500</v>
      </c>
      <c r="M86" s="38">
        <f t="shared" si="47"/>
        <v>38650</v>
      </c>
      <c r="N86" s="38">
        <f t="shared" si="47"/>
        <v>42100</v>
      </c>
      <c r="O86" s="38">
        <f t="shared" si="47"/>
        <v>48074.2</v>
      </c>
      <c r="P86" s="38">
        <f t="shared" si="47"/>
        <v>63071.838000000003</v>
      </c>
      <c r="Q86" s="78">
        <f>Q87/$P$86</f>
        <v>8.1715073691050508E-2</v>
      </c>
      <c r="R86" s="78">
        <f t="shared" ref="R86:AB86" si="48">R87/$P$86</f>
        <v>0.15710376555064082</v>
      </c>
      <c r="S86" s="78">
        <f t="shared" si="48"/>
        <v>0.24312702968954225</v>
      </c>
      <c r="T86" s="78">
        <f t="shared" si="48"/>
        <v>0.31076959117633451</v>
      </c>
      <c r="U86" s="78">
        <f t="shared" si="48"/>
        <v>0</v>
      </c>
      <c r="V86" s="78">
        <f t="shared" si="48"/>
        <v>0</v>
      </c>
      <c r="W86" s="78">
        <f t="shared" si="48"/>
        <v>0</v>
      </c>
      <c r="X86" s="78">
        <f t="shared" si="48"/>
        <v>0</v>
      </c>
      <c r="Y86" s="78">
        <f t="shared" si="48"/>
        <v>0</v>
      </c>
      <c r="Z86" s="78">
        <f t="shared" si="48"/>
        <v>0</v>
      </c>
      <c r="AA86" s="78">
        <f t="shared" si="48"/>
        <v>0</v>
      </c>
      <c r="AB86" s="78">
        <f t="shared" si="48"/>
        <v>0</v>
      </c>
    </row>
    <row r="87" spans="1:82" s="22" customFormat="1" ht="13.5" thickBot="1" x14ac:dyDescent="0.25">
      <c r="A87" s="118"/>
      <c r="B87" s="119"/>
      <c r="C87" s="119"/>
      <c r="D87" s="150"/>
      <c r="E87" s="40" t="s">
        <v>5</v>
      </c>
      <c r="F87" s="39">
        <f>F79+F83+F85</f>
        <v>1524</v>
      </c>
      <c r="G87" s="39">
        <f t="shared" ref="G87:P87" si="49">G79+G83+G85</f>
        <v>1340</v>
      </c>
      <c r="H87" s="39">
        <f t="shared" si="49"/>
        <v>1453.7416000000001</v>
      </c>
      <c r="I87" s="39">
        <f t="shared" si="49"/>
        <v>1453</v>
      </c>
      <c r="J87" s="39">
        <f t="shared" si="49"/>
        <v>1494.6256700000001</v>
      </c>
      <c r="K87" s="39">
        <f t="shared" si="49"/>
        <v>1497</v>
      </c>
      <c r="L87" s="39">
        <f t="shared" si="49"/>
        <v>22400.053</v>
      </c>
      <c r="M87" s="39">
        <f t="shared" si="49"/>
        <v>40019.152770000001</v>
      </c>
      <c r="N87" s="39">
        <f t="shared" si="49"/>
        <v>44041.885850000006</v>
      </c>
      <c r="O87" s="39">
        <f t="shared" si="49"/>
        <v>47544.341849999997</v>
      </c>
      <c r="P87" s="39">
        <f t="shared" si="49"/>
        <v>0</v>
      </c>
      <c r="Q87" s="35">
        <f>Q79+Q83+Q85</f>
        <v>5153.9198900000001</v>
      </c>
      <c r="R87" s="35">
        <f t="shared" ref="R87:AB87" si="50">R79+R83+R85</f>
        <v>9908.8232499999995</v>
      </c>
      <c r="S87" s="35">
        <f t="shared" si="50"/>
        <v>15334.468629999999</v>
      </c>
      <c r="T87" s="35">
        <f>T79+T83+T85</f>
        <v>19600.809310000001</v>
      </c>
      <c r="U87" s="35">
        <f t="shared" si="50"/>
        <v>0</v>
      </c>
      <c r="V87" s="35">
        <f t="shared" si="50"/>
        <v>0</v>
      </c>
      <c r="W87" s="35">
        <f t="shared" si="50"/>
        <v>0</v>
      </c>
      <c r="X87" s="35">
        <f t="shared" si="50"/>
        <v>0</v>
      </c>
      <c r="Y87" s="35">
        <f t="shared" si="50"/>
        <v>0</v>
      </c>
      <c r="Z87" s="35">
        <f t="shared" si="50"/>
        <v>0</v>
      </c>
      <c r="AA87" s="35">
        <f t="shared" si="50"/>
        <v>0</v>
      </c>
      <c r="AB87" s="35">
        <f t="shared" si="50"/>
        <v>0</v>
      </c>
    </row>
    <row r="88" spans="1:82" s="1" customFormat="1" ht="13.5" thickBot="1" x14ac:dyDescent="0.25">
      <c r="B88" s="47"/>
      <c r="F88" s="64"/>
      <c r="G88" s="64"/>
      <c r="H88" s="64"/>
      <c r="I88" s="64"/>
      <c r="J88" s="64"/>
      <c r="K88" s="64"/>
      <c r="L88" s="64"/>
      <c r="M88" s="64"/>
      <c r="N88" s="64"/>
      <c r="O88" s="64"/>
      <c r="P88" s="64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8"/>
      <c r="AD88" s="8"/>
      <c r="AE88" s="8"/>
      <c r="AF88" s="8"/>
      <c r="AG88" s="8"/>
      <c r="AH88" s="8"/>
      <c r="AI88" s="8"/>
      <c r="AJ88" s="8"/>
      <c r="AK88" s="8"/>
      <c r="AL88" s="8"/>
      <c r="AM88" s="8"/>
      <c r="AN88" s="8"/>
      <c r="AO88" s="8"/>
      <c r="AP88" s="8"/>
      <c r="AQ88" s="8"/>
      <c r="AR88" s="8"/>
      <c r="AS88" s="8"/>
      <c r="AT88" s="8"/>
      <c r="AU88" s="8"/>
      <c r="AV88" s="8"/>
      <c r="AW88" s="8"/>
      <c r="AX88" s="8"/>
      <c r="AY88" s="8"/>
      <c r="AZ88" s="8"/>
      <c r="BA88" s="8"/>
      <c r="BB88" s="8"/>
      <c r="BC88" s="8"/>
      <c r="BD88" s="8"/>
      <c r="BE88" s="8"/>
      <c r="BF88" s="8"/>
      <c r="BG88" s="8"/>
      <c r="BH88" s="8"/>
      <c r="BI88" s="8"/>
      <c r="BJ88" s="8"/>
      <c r="BK88" s="8"/>
      <c r="BL88" s="8"/>
      <c r="BM88" s="8"/>
      <c r="BN88" s="8"/>
      <c r="BO88" s="8"/>
      <c r="BP88" s="8"/>
      <c r="BQ88" s="8"/>
      <c r="BR88" s="8"/>
      <c r="BS88" s="8"/>
      <c r="BT88" s="8"/>
      <c r="BU88" s="8"/>
      <c r="BV88" s="8"/>
      <c r="BW88" s="8"/>
      <c r="BX88" s="8"/>
      <c r="BY88" s="8"/>
      <c r="BZ88" s="8"/>
      <c r="CA88" s="8"/>
      <c r="CB88" s="8"/>
      <c r="CC88" s="8"/>
      <c r="CD88" s="8"/>
    </row>
    <row r="89" spans="1:82" s="12" customFormat="1" x14ac:dyDescent="0.2">
      <c r="A89" s="160" t="s">
        <v>46</v>
      </c>
      <c r="B89" s="161"/>
      <c r="C89" s="161"/>
      <c r="D89" s="162"/>
      <c r="E89" s="23" t="s">
        <v>6</v>
      </c>
      <c r="F89" s="37" t="e">
        <f t="shared" ref="F89:P89" si="51">F6+F27+F64+F75+F86</f>
        <v>#REF!</v>
      </c>
      <c r="G89" s="37" t="e">
        <f t="shared" si="51"/>
        <v>#REF!</v>
      </c>
      <c r="H89" s="37" t="e">
        <f t="shared" si="51"/>
        <v>#REF!</v>
      </c>
      <c r="I89" s="37" t="e">
        <f t="shared" si="51"/>
        <v>#REF!</v>
      </c>
      <c r="J89" s="37">
        <f t="shared" si="51"/>
        <v>114380</v>
      </c>
      <c r="K89" s="37">
        <f t="shared" si="51"/>
        <v>143597</v>
      </c>
      <c r="L89" s="37">
        <f t="shared" si="51"/>
        <v>126526</v>
      </c>
      <c r="M89" s="37">
        <f t="shared" si="51"/>
        <v>172607.70600000001</v>
      </c>
      <c r="N89" s="37">
        <f t="shared" si="51"/>
        <v>198600.36</v>
      </c>
      <c r="O89" s="37">
        <f t="shared" si="51"/>
        <v>219582.46000000002</v>
      </c>
      <c r="P89" s="37">
        <f t="shared" si="51"/>
        <v>247828.848</v>
      </c>
      <c r="Q89" s="91">
        <f>Q90/$P$89</f>
        <v>7.1802574331459604E-2</v>
      </c>
      <c r="R89" s="91">
        <f t="shared" ref="R89:AB89" si="52">R90/$P$89</f>
        <v>0.14592421839446229</v>
      </c>
      <c r="S89" s="91">
        <f t="shared" si="52"/>
        <v>0.22250052306259357</v>
      </c>
      <c r="T89" s="91">
        <f t="shared" si="52"/>
        <v>0.29684992959334577</v>
      </c>
      <c r="U89" s="91">
        <f t="shared" si="52"/>
        <v>0</v>
      </c>
      <c r="V89" s="91">
        <f t="shared" si="52"/>
        <v>0</v>
      </c>
      <c r="W89" s="91">
        <f t="shared" si="52"/>
        <v>0</v>
      </c>
      <c r="X89" s="91">
        <f t="shared" si="52"/>
        <v>0</v>
      </c>
      <c r="Y89" s="91">
        <f t="shared" si="52"/>
        <v>0</v>
      </c>
      <c r="Z89" s="91">
        <f t="shared" si="52"/>
        <v>0</v>
      </c>
      <c r="AA89" s="91">
        <f t="shared" si="52"/>
        <v>0</v>
      </c>
      <c r="AB89" s="91">
        <f t="shared" si="52"/>
        <v>0</v>
      </c>
    </row>
    <row r="90" spans="1:82" s="56" customFormat="1" ht="13.5" thickBot="1" x14ac:dyDescent="0.25">
      <c r="A90" s="163"/>
      <c r="B90" s="164"/>
      <c r="C90" s="164"/>
      <c r="D90" s="165"/>
      <c r="E90" s="58" t="s">
        <v>5</v>
      </c>
      <c r="F90" s="57" t="e">
        <f t="shared" ref="F90:P90" si="53">F7+F28+F65+F76+F87</f>
        <v>#REF!</v>
      </c>
      <c r="G90" s="57" t="e">
        <f t="shared" si="53"/>
        <v>#REF!</v>
      </c>
      <c r="H90" s="57" t="e">
        <f t="shared" si="53"/>
        <v>#REF!</v>
      </c>
      <c r="I90" s="57" t="e">
        <f t="shared" si="53"/>
        <v>#REF!</v>
      </c>
      <c r="J90" s="57">
        <f t="shared" si="53"/>
        <v>111587.82724</v>
      </c>
      <c r="K90" s="57">
        <f t="shared" si="53"/>
        <v>123449.734</v>
      </c>
      <c r="L90" s="57">
        <f t="shared" si="53"/>
        <v>140138.48699999996</v>
      </c>
      <c r="M90" s="57">
        <f t="shared" si="53"/>
        <v>185696.64156000002</v>
      </c>
      <c r="N90" s="57">
        <f t="shared" si="53"/>
        <v>203815.65409999999</v>
      </c>
      <c r="O90" s="57">
        <f t="shared" si="53"/>
        <v>211335.66007999997</v>
      </c>
      <c r="P90" s="57">
        <f t="shared" si="53"/>
        <v>0</v>
      </c>
      <c r="Q90" s="92">
        <f t="shared" ref="Q90:AB90" si="54">Q7+Q28+Q65+Q76+Q87</f>
        <v>17794.749280000004</v>
      </c>
      <c r="R90" s="92">
        <f t="shared" si="54"/>
        <v>36164.230940000001</v>
      </c>
      <c r="S90" s="92">
        <f t="shared" si="54"/>
        <v>55142.048309999998</v>
      </c>
      <c r="T90" s="92">
        <f t="shared" si="54"/>
        <v>73567.976079999993</v>
      </c>
      <c r="U90" s="92">
        <f t="shared" si="54"/>
        <v>0</v>
      </c>
      <c r="V90" s="92">
        <f t="shared" si="54"/>
        <v>0</v>
      </c>
      <c r="W90" s="92">
        <f t="shared" si="54"/>
        <v>0</v>
      </c>
      <c r="X90" s="92">
        <f t="shared" si="54"/>
        <v>0</v>
      </c>
      <c r="Y90" s="92">
        <f t="shared" si="54"/>
        <v>0</v>
      </c>
      <c r="Z90" s="92">
        <f t="shared" si="54"/>
        <v>0</v>
      </c>
      <c r="AA90" s="92">
        <f t="shared" si="54"/>
        <v>0</v>
      </c>
      <c r="AB90" s="92">
        <f t="shared" si="54"/>
        <v>0</v>
      </c>
    </row>
    <row r="91" spans="1:82" x14ac:dyDescent="0.2">
      <c r="AK91" s="12"/>
      <c r="AL91" s="12"/>
      <c r="AM91" s="12"/>
      <c r="AN91" s="12"/>
      <c r="AO91" s="12"/>
      <c r="AP91" s="12"/>
      <c r="AQ91" s="12"/>
      <c r="AR91" s="12"/>
      <c r="AS91" s="12"/>
      <c r="AT91" s="12"/>
      <c r="AU91" s="12"/>
      <c r="AV91" s="12"/>
      <c r="AW91" s="12"/>
      <c r="AX91" s="12"/>
      <c r="AY91" s="12"/>
      <c r="AZ91" s="12"/>
      <c r="BA91" s="12"/>
      <c r="BB91" s="12"/>
      <c r="BC91" s="12"/>
      <c r="BD91" s="12"/>
      <c r="BE91" s="12"/>
      <c r="BF91" s="12"/>
      <c r="BG91" s="12"/>
      <c r="BH91" s="12"/>
      <c r="BI91" s="12"/>
      <c r="BJ91" s="12"/>
      <c r="BK91" s="12"/>
      <c r="BL91" s="12"/>
      <c r="BM91" s="12"/>
      <c r="BN91" s="12"/>
      <c r="BO91" s="12"/>
      <c r="BP91" s="12"/>
      <c r="BQ91" s="12"/>
      <c r="BR91" s="12"/>
      <c r="BS91" s="12"/>
      <c r="BT91" s="12"/>
      <c r="BU91" s="12"/>
      <c r="BV91" s="12"/>
      <c r="BW91" s="12"/>
      <c r="BX91" s="12"/>
      <c r="BY91" s="12"/>
      <c r="BZ91" s="12"/>
      <c r="CA91" s="12"/>
      <c r="CB91" s="12"/>
      <c r="CC91" s="12"/>
      <c r="CD91" s="12"/>
    </row>
    <row r="92" spans="1:82" x14ac:dyDescent="0.2">
      <c r="A92" s="9"/>
      <c r="B92" s="9"/>
      <c r="C92" s="9"/>
      <c r="D92" s="9"/>
      <c r="E92" s="8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/>
      <c r="AB92" s="10"/>
      <c r="AK92" s="12"/>
      <c r="AL92" s="12"/>
      <c r="AM92" s="12"/>
      <c r="AN92" s="12"/>
      <c r="AO92" s="12"/>
      <c r="AP92" s="12"/>
      <c r="AQ92" s="12"/>
      <c r="AR92" s="12"/>
      <c r="AS92" s="12"/>
      <c r="AT92" s="12"/>
      <c r="AU92" s="12"/>
      <c r="AV92" s="12"/>
      <c r="AW92" s="12"/>
      <c r="AX92" s="12"/>
      <c r="AY92" s="12"/>
      <c r="AZ92" s="12"/>
      <c r="BA92" s="12"/>
      <c r="BB92" s="12"/>
      <c r="BC92" s="12"/>
      <c r="BD92" s="12"/>
      <c r="BE92" s="12"/>
      <c r="BF92" s="12"/>
      <c r="BG92" s="12"/>
      <c r="BH92" s="12"/>
      <c r="BI92" s="12"/>
      <c r="BJ92" s="12"/>
      <c r="BK92" s="12"/>
      <c r="BL92" s="12"/>
      <c r="BM92" s="12"/>
      <c r="BN92" s="12"/>
      <c r="BO92" s="12"/>
      <c r="BP92" s="12"/>
      <c r="BQ92" s="12"/>
      <c r="BR92" s="12"/>
      <c r="BS92" s="12"/>
      <c r="BT92" s="12"/>
      <c r="BU92" s="12"/>
      <c r="BV92" s="12"/>
      <c r="BW92" s="12"/>
      <c r="BX92" s="12"/>
      <c r="BY92" s="12"/>
      <c r="BZ92" s="12"/>
      <c r="CA92" s="12"/>
      <c r="CB92" s="12"/>
      <c r="CC92" s="12"/>
      <c r="CD92" s="12"/>
    </row>
    <row r="93" spans="1:82" x14ac:dyDescent="0.2">
      <c r="A93" s="9"/>
      <c r="B93" s="8"/>
      <c r="C93" s="8"/>
      <c r="D93" s="8"/>
      <c r="E93" s="8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  <c r="AA93" s="10"/>
      <c r="AB93" s="10"/>
      <c r="AK93" s="12"/>
      <c r="AL93" s="12"/>
      <c r="AM93" s="12"/>
      <c r="AN93" s="12"/>
      <c r="AO93" s="12"/>
      <c r="AP93" s="12"/>
      <c r="AQ93" s="12"/>
      <c r="AR93" s="12"/>
      <c r="AS93" s="12"/>
      <c r="AT93" s="12"/>
      <c r="AU93" s="12"/>
      <c r="AV93" s="12"/>
      <c r="AW93" s="12"/>
      <c r="AX93" s="12"/>
      <c r="AY93" s="12"/>
      <c r="AZ93" s="12"/>
      <c r="BA93" s="12"/>
      <c r="BB93" s="12"/>
      <c r="BC93" s="12"/>
      <c r="BD93" s="12"/>
      <c r="BE93" s="12"/>
      <c r="BF93" s="12"/>
      <c r="BG93" s="12"/>
      <c r="BH93" s="12"/>
      <c r="BI93" s="12"/>
      <c r="BJ93" s="12"/>
      <c r="BK93" s="12"/>
      <c r="BL93" s="12"/>
      <c r="BM93" s="12"/>
      <c r="BN93" s="12"/>
      <c r="BO93" s="12"/>
      <c r="BP93" s="12"/>
      <c r="BQ93" s="12"/>
      <c r="BR93" s="12"/>
      <c r="BS93" s="12"/>
      <c r="BT93" s="12"/>
      <c r="BU93" s="12"/>
      <c r="BV93" s="12"/>
      <c r="BW93" s="12"/>
      <c r="BX93" s="12"/>
      <c r="BY93" s="12"/>
      <c r="BZ93" s="12"/>
      <c r="CA93" s="12"/>
      <c r="CB93" s="12"/>
      <c r="CC93" s="12"/>
      <c r="CD93" s="12"/>
    </row>
    <row r="94" spans="1:82" x14ac:dyDescent="0.2">
      <c r="A94" s="8"/>
      <c r="B94" s="8"/>
      <c r="C94" s="8"/>
      <c r="D94" s="8"/>
      <c r="E94" s="8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  <c r="AA94" s="10"/>
      <c r="AB94" s="10"/>
      <c r="AK94" s="12"/>
      <c r="AL94" s="12"/>
      <c r="AM94" s="12"/>
      <c r="AN94" s="12"/>
      <c r="AO94" s="12"/>
      <c r="AP94" s="12"/>
      <c r="AQ94" s="12"/>
      <c r="AR94" s="12"/>
      <c r="AS94" s="12"/>
      <c r="AT94" s="12"/>
      <c r="AU94" s="12"/>
      <c r="AV94" s="12"/>
      <c r="AW94" s="12"/>
      <c r="AX94" s="12"/>
      <c r="AY94" s="12"/>
      <c r="AZ94" s="12"/>
      <c r="BA94" s="12"/>
      <c r="BB94" s="12"/>
      <c r="BC94" s="12"/>
      <c r="BD94" s="12"/>
      <c r="BE94" s="12"/>
      <c r="BF94" s="12"/>
      <c r="BG94" s="12"/>
      <c r="BH94" s="12"/>
      <c r="BI94" s="12"/>
      <c r="BJ94" s="12"/>
      <c r="BK94" s="12"/>
      <c r="BL94" s="12"/>
      <c r="BM94" s="12"/>
      <c r="BN94" s="12"/>
      <c r="BO94" s="12"/>
      <c r="BP94" s="12"/>
      <c r="BQ94" s="12"/>
      <c r="BR94" s="12"/>
      <c r="BS94" s="12"/>
      <c r="BT94" s="12"/>
      <c r="BU94" s="12"/>
      <c r="BV94" s="12"/>
      <c r="BW94" s="12"/>
      <c r="BX94" s="12"/>
      <c r="BY94" s="12"/>
      <c r="BZ94" s="12"/>
      <c r="CA94" s="12"/>
      <c r="CB94" s="12"/>
      <c r="CC94" s="12"/>
      <c r="CD94" s="12"/>
    </row>
    <row r="95" spans="1:82" x14ac:dyDescent="0.2">
      <c r="A95" s="8"/>
      <c r="B95" s="8"/>
      <c r="C95" s="8"/>
      <c r="D95" s="8"/>
      <c r="E95" s="8"/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  <c r="AB95" s="11"/>
      <c r="AK95" s="12"/>
      <c r="AL95" s="12"/>
      <c r="AM95" s="12"/>
      <c r="AN95" s="12"/>
      <c r="AO95" s="12"/>
      <c r="AP95" s="12"/>
      <c r="AQ95" s="12"/>
      <c r="AR95" s="12"/>
      <c r="AS95" s="12"/>
      <c r="AT95" s="12"/>
      <c r="AU95" s="12"/>
      <c r="AV95" s="12"/>
      <c r="AW95" s="12"/>
      <c r="AX95" s="12"/>
      <c r="AY95" s="12"/>
      <c r="AZ95" s="12"/>
      <c r="BA95" s="12"/>
      <c r="BB95" s="12"/>
      <c r="BC95" s="12"/>
      <c r="BD95" s="12"/>
      <c r="BE95" s="12"/>
      <c r="BF95" s="12"/>
      <c r="BG95" s="12"/>
      <c r="BH95" s="12"/>
      <c r="BI95" s="12"/>
      <c r="BJ95" s="12"/>
      <c r="BK95" s="12"/>
      <c r="BL95" s="12"/>
      <c r="BM95" s="12"/>
      <c r="BN95" s="12"/>
      <c r="BO95" s="12"/>
      <c r="BP95" s="12"/>
      <c r="BQ95" s="12"/>
      <c r="BR95" s="12"/>
      <c r="BS95" s="12"/>
      <c r="BT95" s="12"/>
      <c r="BU95" s="12"/>
      <c r="BV95" s="12"/>
      <c r="BW95" s="12"/>
      <c r="BX95" s="12"/>
      <c r="BY95" s="12"/>
      <c r="BZ95" s="12"/>
      <c r="CA95" s="12"/>
      <c r="CB95" s="12"/>
      <c r="CC95" s="12"/>
      <c r="CD95" s="12"/>
    </row>
    <row r="96" spans="1:82" x14ac:dyDescent="0.2">
      <c r="AK96" s="12"/>
      <c r="AL96" s="12"/>
      <c r="AM96" s="12"/>
      <c r="AN96" s="12"/>
      <c r="AO96" s="12"/>
      <c r="AP96" s="12"/>
      <c r="AQ96" s="12"/>
      <c r="AR96" s="12"/>
      <c r="AS96" s="12"/>
      <c r="AT96" s="12"/>
      <c r="AU96" s="12"/>
      <c r="AV96" s="12"/>
      <c r="AW96" s="12"/>
      <c r="AX96" s="12"/>
      <c r="AY96" s="12"/>
      <c r="AZ96" s="12"/>
      <c r="BA96" s="12"/>
      <c r="BB96" s="12"/>
      <c r="BC96" s="12"/>
      <c r="BD96" s="12"/>
      <c r="BE96" s="12"/>
      <c r="BF96" s="12"/>
      <c r="BG96" s="12"/>
      <c r="BH96" s="12"/>
      <c r="BI96" s="12"/>
      <c r="BJ96" s="12"/>
      <c r="BK96" s="12"/>
      <c r="BL96" s="12"/>
      <c r="BM96" s="12"/>
      <c r="BN96" s="12"/>
      <c r="BO96" s="12"/>
      <c r="BP96" s="12"/>
      <c r="BQ96" s="12"/>
      <c r="BR96" s="12"/>
      <c r="BS96" s="12"/>
      <c r="BT96" s="12"/>
      <c r="BU96" s="12"/>
      <c r="BV96" s="12"/>
      <c r="BW96" s="12"/>
      <c r="BX96" s="12"/>
      <c r="BY96" s="12"/>
      <c r="BZ96" s="12"/>
      <c r="CA96" s="12"/>
      <c r="CB96" s="12"/>
      <c r="CC96" s="12"/>
      <c r="CD96" s="12"/>
    </row>
    <row r="97" spans="37:82" x14ac:dyDescent="0.2">
      <c r="AK97" s="12"/>
      <c r="AL97" s="12"/>
      <c r="AM97" s="12"/>
      <c r="AN97" s="12"/>
      <c r="AO97" s="12"/>
      <c r="AP97" s="12"/>
      <c r="AQ97" s="12"/>
      <c r="AR97" s="12"/>
      <c r="AS97" s="12"/>
      <c r="AT97" s="12"/>
      <c r="AU97" s="12"/>
      <c r="AV97" s="12"/>
      <c r="AW97" s="12"/>
      <c r="AX97" s="12"/>
      <c r="AY97" s="12"/>
      <c r="AZ97" s="12"/>
      <c r="BA97" s="12"/>
      <c r="BB97" s="12"/>
      <c r="BC97" s="12"/>
      <c r="BD97" s="12"/>
      <c r="BE97" s="12"/>
      <c r="BF97" s="12"/>
      <c r="BG97" s="12"/>
      <c r="BH97" s="12"/>
      <c r="BI97" s="12"/>
      <c r="BJ97" s="12"/>
      <c r="BK97" s="12"/>
      <c r="BL97" s="12"/>
      <c r="BM97" s="12"/>
      <c r="BN97" s="12"/>
      <c r="BO97" s="12"/>
      <c r="BP97" s="12"/>
      <c r="BQ97" s="12"/>
      <c r="BR97" s="12"/>
      <c r="BS97" s="12"/>
      <c r="BT97" s="12"/>
      <c r="BU97" s="12"/>
      <c r="BV97" s="12"/>
      <c r="BW97" s="12"/>
      <c r="BX97" s="12"/>
      <c r="BY97" s="12"/>
      <c r="BZ97" s="12"/>
      <c r="CA97" s="12"/>
      <c r="CB97" s="12"/>
      <c r="CC97" s="12"/>
      <c r="CD97" s="12"/>
    </row>
  </sheetData>
  <mergeCells count="41">
    <mergeCell ref="A75:D76"/>
    <mergeCell ref="A78:D79"/>
    <mergeCell ref="A82:D83"/>
    <mergeCell ref="A84:D85"/>
    <mergeCell ref="A89:D90"/>
    <mergeCell ref="A86:D87"/>
    <mergeCell ref="A69:D70"/>
    <mergeCell ref="A64:D65"/>
    <mergeCell ref="A67:D68"/>
    <mergeCell ref="A50:D51"/>
    <mergeCell ref="A73:D74"/>
    <mergeCell ref="A71:D72"/>
    <mergeCell ref="A62:D63"/>
    <mergeCell ref="A60:D61"/>
    <mergeCell ref="A52:D53"/>
    <mergeCell ref="A56:D57"/>
    <mergeCell ref="A58:D59"/>
    <mergeCell ref="A25:D26"/>
    <mergeCell ref="A27:D28"/>
    <mergeCell ref="A2:D3"/>
    <mergeCell ref="A13:D14"/>
    <mergeCell ref="A15:D16"/>
    <mergeCell ref="A23:D24"/>
    <mergeCell ref="A17:D18"/>
    <mergeCell ref="A19:D20"/>
    <mergeCell ref="A21:D22"/>
    <mergeCell ref="A36:D37"/>
    <mergeCell ref="A30:D31"/>
    <mergeCell ref="A32:D33"/>
    <mergeCell ref="A34:D35"/>
    <mergeCell ref="A48:D49"/>
    <mergeCell ref="A38:D39"/>
    <mergeCell ref="A40:D41"/>
    <mergeCell ref="A42:D43"/>
    <mergeCell ref="A44:D45"/>
    <mergeCell ref="A46:D47"/>
    <mergeCell ref="A1:D1"/>
    <mergeCell ref="A4:D5"/>
    <mergeCell ref="A6:D7"/>
    <mergeCell ref="A9:D10"/>
    <mergeCell ref="A11:D12"/>
  </mergeCells>
  <phoneticPr fontId="11" type="noConversion"/>
  <pageMargins left="0.70866141732283472" right="0.70866141732283472" top="0.78740157480314965" bottom="0.78740157480314965" header="0.31496062992125984" footer="0.31496062992125984"/>
  <pageSetup paperSize="8" scale="43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Hospodaření 2023</vt:lpstr>
    </vt:vector>
  </TitlesOfParts>
  <Company>Fakultní nemocnice Olomouc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Fakultní nemocnice Olomouc</dc:creator>
  <cp:lastModifiedBy>Uživatel systému Windows</cp:lastModifiedBy>
  <cp:lastPrinted>2023-02-17T08:39:14Z</cp:lastPrinted>
  <dcterms:created xsi:type="dcterms:W3CDTF">2006-11-02T10:16:44Z</dcterms:created>
  <dcterms:modified xsi:type="dcterms:W3CDTF">2023-05-23T09:05:45Z</dcterms:modified>
</cp:coreProperties>
</file>