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3063B6D-E9D7-4B8D-98B7-90C6CA02E592}" xr6:coauthVersionLast="36" xr6:coauthVersionMax="36" xr10:uidLastSave="{00000000-0000-0000-0000-000000000000}"/>
  <bookViews>
    <workbookView xWindow="0" yWindow="0" windowWidth="28800" windowHeight="11625" xr2:uid="{4EC004E8-5E29-45D9-AC94-5A205C3582F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0" i="1" l="1"/>
  <c r="AH29" i="1"/>
  <c r="Y21" i="1"/>
  <c r="AD23" i="1" l="1"/>
  <c r="AD47" i="1"/>
  <c r="AM36" i="1" l="1"/>
  <c r="AN36" i="1" s="1"/>
  <c r="AN35" i="1"/>
  <c r="AM35" i="1"/>
  <c r="AN50" i="1"/>
  <c r="AM50" i="1"/>
  <c r="AN49" i="1"/>
  <c r="AM49" i="1"/>
  <c r="AM29" i="1"/>
  <c r="AM25" i="1"/>
  <c r="AN44" i="1"/>
  <c r="AN45" i="1"/>
  <c r="AN46" i="1"/>
  <c r="AN48" i="1"/>
  <c r="AM48" i="1" l="1"/>
  <c r="AM47" i="1"/>
  <c r="AN47" i="1" s="1"/>
  <c r="AM46" i="1"/>
  <c r="AM45" i="1"/>
  <c r="AM44" i="1"/>
  <c r="AN29" i="1" l="1"/>
  <c r="AK29" i="1"/>
  <c r="AE29" i="1"/>
  <c r="AB29" i="1"/>
  <c r="Y29" i="1"/>
  <c r="AD29" i="1"/>
  <c r="AN25" i="1"/>
  <c r="AE25" i="1"/>
  <c r="AD25" i="1"/>
  <c r="AE45" i="1"/>
  <c r="AN19" i="1"/>
  <c r="AG19" i="1"/>
  <c r="AD19" i="1"/>
  <c r="AE19" i="1"/>
  <c r="AK36" i="1"/>
  <c r="AH36" i="1"/>
  <c r="AE36" i="1"/>
  <c r="AB36" i="1"/>
  <c r="AJ36" i="1"/>
  <c r="AG36" i="1"/>
  <c r="AD36" i="1"/>
  <c r="AA36" i="1"/>
  <c r="Y57" i="1" l="1"/>
  <c r="Y56" i="1"/>
  <c r="X58" i="1"/>
  <c r="X59" i="1"/>
  <c r="Z41" i="1" l="1"/>
  <c r="Y59" i="1"/>
  <c r="Y58" i="1"/>
  <c r="AH35" i="1"/>
  <c r="AK35" i="1"/>
  <c r="AE35" i="1"/>
  <c r="AB35" i="1"/>
  <c r="AL35" i="1"/>
  <c r="AI35" i="1"/>
  <c r="AC35" i="1"/>
  <c r="AC41" i="1" s="1"/>
  <c r="AL41" i="1"/>
  <c r="AI41" i="1"/>
  <c r="AF23" i="1"/>
  <c r="AF41" i="1" s="1"/>
  <c r="AF38" i="1"/>
  <c r="AF35" i="1"/>
  <c r="AF29" i="1"/>
  <c r="AF26" i="1"/>
  <c r="AF25" i="1"/>
  <c r="Y55" i="1"/>
  <c r="Y54" i="1"/>
  <c r="Y53" i="1"/>
  <c r="Y52" i="1"/>
  <c r="AK20" i="1"/>
  <c r="AE20" i="1"/>
  <c r="AH20" i="1"/>
  <c r="AB20" i="1"/>
  <c r="AH23" i="1"/>
  <c r="AB23" i="1"/>
  <c r="AM23" i="1" s="1"/>
  <c r="AB19" i="1"/>
  <c r="AH19" i="1"/>
  <c r="AM19" i="1" s="1"/>
  <c r="AK19" i="1"/>
  <c r="AK23" i="1"/>
  <c r="AE23" i="1"/>
  <c r="Y23" i="1"/>
  <c r="Y19" i="1"/>
  <c r="AN23" i="1" l="1"/>
  <c r="AM20" i="1"/>
  <c r="AN20" i="1" s="1"/>
  <c r="AD22" i="1"/>
  <c r="AH21" i="1" l="1"/>
  <c r="AB21" i="1"/>
  <c r="AK22" i="1"/>
  <c r="AK21" i="1"/>
  <c r="AE21" i="1"/>
  <c r="Y22" i="1"/>
  <c r="AD20" i="1"/>
  <c r="AG23" i="1"/>
  <c r="AJ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X20" authorId="0" shapeId="0" xr:uid="{32BE8AA6-6EF7-414E-A577-ABC11F2067C6}">
      <text>
        <r>
          <rPr>
            <b/>
            <sz val="9"/>
            <color indexed="81"/>
            <rFont val="Tahoma"/>
            <family val="2"/>
            <charset val="238"/>
          </rPr>
          <t>tato budova nemá plochou střechu, ale půdu s krovem, jedná se tedy o jiný indikátor a limit?</t>
        </r>
      </text>
    </comment>
    <comment ref="AD22" authorId="0" shapeId="0" xr:uid="{2D83AA9C-E37E-45AB-8731-E2EA3E0D8D9E}">
      <text>
        <r>
          <rPr>
            <b/>
            <sz val="9"/>
            <color indexed="81"/>
            <rFont val="Tahoma"/>
            <family val="2"/>
            <charset val="238"/>
          </rPr>
          <t xml:space="preserve">zateplení stěny pod terénem má být součástí celkové plochy fasády nebo součástí plochy konstrukce  přiléhající k zemině ?
</t>
        </r>
      </text>
    </comment>
    <comment ref="AG22" authorId="0" shapeId="0" xr:uid="{7C267D88-39C1-4F1D-BD1D-58659BE9D73E}">
      <text>
        <r>
          <rPr>
            <b/>
            <sz val="9"/>
            <color indexed="81"/>
            <rFont val="Tahoma"/>
            <family val="2"/>
            <charset val="238"/>
          </rPr>
          <t>zateplení stěny pod terénem má být součástí celkové plochy fasády nebo součástí plochy konstrukce  přiléhající k zemině ?</t>
        </r>
      </text>
    </comment>
    <comment ref="X23" authorId="0" shapeId="0" xr:uid="{B148B9E8-B029-45B9-A21C-30D40BDB2B3D}">
      <text>
        <r>
          <rPr>
            <b/>
            <sz val="9"/>
            <color indexed="81"/>
            <rFont val="Tahoma"/>
            <family val="2"/>
            <charset val="238"/>
          </rPr>
          <t>již instalovaná nová okna nesplňují 
parametr Uw a tedy nutno jejich plochu odečíst z indikátoru</t>
        </r>
      </text>
    </comment>
    <comment ref="AD25" authorId="0" shapeId="0" xr:uid="{ED924B33-F00F-4631-9B90-968D7D95FE44}">
      <text>
        <r>
          <rPr>
            <sz val="9"/>
            <color indexed="81"/>
            <rFont val="Tahoma"/>
            <family val="2"/>
            <charset val="238"/>
          </rPr>
          <t xml:space="preserve">hodnota od projektanta
</t>
        </r>
      </text>
    </comment>
    <comment ref="AF25" authorId="0" shapeId="0" xr:uid="{809B803D-0F84-4FB1-B9C9-8E04B97532B0}">
      <text>
        <r>
          <rPr>
            <b/>
            <sz val="9"/>
            <color indexed="81"/>
            <rFont val="Tahoma"/>
            <family val="2"/>
            <charset val="238"/>
          </rPr>
          <t>cena pouze za hliníkové žaluzie s motorem, bez kabelů a ovládacích prvků</t>
        </r>
      </text>
    </comment>
    <comment ref="AF26" authorId="0" shapeId="0" xr:uid="{39EE93F9-7C52-42B5-AEBC-531F7344CCFE}">
      <text>
        <r>
          <rPr>
            <b/>
            <sz val="9"/>
            <color indexed="81"/>
            <rFont val="Tahoma"/>
            <family val="2"/>
            <charset val="238"/>
          </rPr>
          <t xml:space="preserve">cena za kabely a ovládací prvky žaluzií je ve smlouvě uvedena jen společně s osvětlením = odhad </t>
        </r>
      </text>
    </comment>
    <comment ref="X29" authorId="0" shapeId="0" xr:uid="{682C48CB-0167-4DAB-8A6B-72F3CC6DC4B6}">
      <text>
        <r>
          <rPr>
            <b/>
            <sz val="9"/>
            <color indexed="81"/>
            <rFont val="Tahoma"/>
            <family val="2"/>
            <charset val="238"/>
          </rPr>
          <t xml:space="preserve">hodnota od projektanta
</t>
        </r>
      </text>
    </comment>
    <comment ref="AA29" authorId="0" shapeId="0" xr:uid="{3A455DB5-1711-4960-B02D-C77FD81D36E7}">
      <text>
        <r>
          <rPr>
            <b/>
            <sz val="9"/>
            <color indexed="81"/>
            <rFont val="Tahoma"/>
            <family val="2"/>
            <charset val="238"/>
          </rPr>
          <t>hodnota od projektanta</t>
        </r>
      </text>
    </comment>
    <comment ref="AD29" authorId="0" shapeId="0" xr:uid="{00328394-0FB8-4AD1-BDDD-C5DBEC8B5337}">
      <text>
        <r>
          <rPr>
            <b/>
            <sz val="9"/>
            <color indexed="81"/>
            <rFont val="Tahoma"/>
            <family val="2"/>
            <charset val="238"/>
          </rPr>
          <t>hodnota od projektanta</t>
        </r>
      </text>
    </comment>
    <comment ref="AF29" authorId="0" shapeId="0" xr:uid="{474157DA-38EC-4BFD-89A0-B57BD28592E3}">
      <text>
        <r>
          <rPr>
            <b/>
            <sz val="9"/>
            <color indexed="81"/>
            <rFont val="Tahoma"/>
            <family val="2"/>
            <charset val="238"/>
          </rPr>
          <t xml:space="preserve">ve smlouvě není samostatně uvedena cena za osvětlení a žaluzie = rozdělení ceny odhadem
</t>
        </r>
      </text>
    </comment>
    <comment ref="AG29" authorId="0" shapeId="0" xr:uid="{F6A45A17-DC22-4647-BD23-56B6DF19CC5F}">
      <text>
        <r>
          <rPr>
            <b/>
            <sz val="9"/>
            <color indexed="81"/>
            <rFont val="Tahoma"/>
            <family val="2"/>
            <charset val="238"/>
          </rPr>
          <t>hodnota od projektanta</t>
        </r>
      </text>
    </comment>
    <comment ref="AJ29" authorId="0" shapeId="0" xr:uid="{28E9D59D-4FD4-431D-BCA8-9B9E041CD0E8}">
      <text>
        <r>
          <rPr>
            <b/>
            <sz val="9"/>
            <color indexed="81"/>
            <rFont val="Tahoma"/>
            <family val="2"/>
            <charset val="238"/>
          </rPr>
          <t>hodnota od projektanta</t>
        </r>
      </text>
    </comment>
    <comment ref="AE36" authorId="0" shapeId="0" xr:uid="{5B633726-9C91-42F2-9576-0597B94D359E}">
      <text>
        <r>
          <rPr>
            <b/>
            <sz val="9"/>
            <color indexed="81"/>
            <rFont val="Tahoma"/>
            <family val="2"/>
            <charset val="238"/>
          </rPr>
          <t>limit lze čerpat jen když by se instalovali baterie ?</t>
        </r>
      </text>
    </comment>
    <comment ref="X45" authorId="0" shapeId="0" xr:uid="{167DC0FF-544A-40F0-BEA3-23ACA2E6AB18}">
      <text>
        <r>
          <rPr>
            <b/>
            <sz val="9"/>
            <color indexed="81"/>
            <rFont val="Tahoma"/>
            <family val="2"/>
            <charset val="238"/>
          </rPr>
          <t xml:space="preserve">tato budova nemá plochou střechu, aůe půdu s krovem, jedná se tedy o jiný indikátor
</t>
        </r>
      </text>
    </comment>
    <comment ref="X46" authorId="0" shapeId="0" xr:uid="{CC893558-7F6A-4534-960F-3FA5BE210633}">
      <text>
        <r>
          <rPr>
            <b/>
            <sz val="9"/>
            <color indexed="81"/>
            <rFont val="Tahoma"/>
            <family val="2"/>
            <charset val="238"/>
          </rPr>
          <t>již instalovaná nová okna nesplňují parametr Uw a tedy nutno jejich plochu odečíst z indikátoru</t>
        </r>
      </text>
    </comment>
  </commentList>
</comments>
</file>

<file path=xl/sharedStrings.xml><?xml version="1.0" encoding="utf-8"?>
<sst xmlns="http://schemas.openxmlformats.org/spreadsheetml/2006/main" count="65" uniqueCount="47">
  <si>
    <t>Smlouva</t>
  </si>
  <si>
    <t>Plochy YC</t>
  </si>
  <si>
    <t>Limity Q</t>
  </si>
  <si>
    <t>Plochy Q</t>
  </si>
  <si>
    <t>Limity YC</t>
  </si>
  <si>
    <t>Limity YA</t>
  </si>
  <si>
    <t>Plochy YD</t>
  </si>
  <si>
    <t>Plochy YE</t>
  </si>
  <si>
    <t>Plochy YA</t>
  </si>
  <si>
    <t>Limity YD</t>
  </si>
  <si>
    <t>Limity YE</t>
  </si>
  <si>
    <t>Indikatory</t>
  </si>
  <si>
    <t>SUMA</t>
  </si>
  <si>
    <t>bonus 10%</t>
  </si>
  <si>
    <t>Základní</t>
  </si>
  <si>
    <t>žaluzie</t>
  </si>
  <si>
    <t>VRN</t>
  </si>
  <si>
    <t>Bleskosvod</t>
  </si>
  <si>
    <t>Lodžie</t>
  </si>
  <si>
    <t>osvětlení</t>
  </si>
  <si>
    <t>FVE</t>
  </si>
  <si>
    <t>FVE-akumulace</t>
  </si>
  <si>
    <t>výplně otvorů</t>
  </si>
  <si>
    <t>fasády</t>
  </si>
  <si>
    <t>střechy</t>
  </si>
  <si>
    <t>podlahy půda</t>
  </si>
  <si>
    <t>vzduchotechnika</t>
  </si>
  <si>
    <t>půda</t>
  </si>
  <si>
    <t>výplně</t>
  </si>
  <si>
    <t>FVE akumulace</t>
  </si>
  <si>
    <t>Limity zp. Kč/m2</t>
  </si>
  <si>
    <t>stínění oken</t>
  </si>
  <si>
    <t>modernizace osvětlení</t>
  </si>
  <si>
    <t>konstrukce zemina</t>
  </si>
  <si>
    <t>rozdíl</t>
  </si>
  <si>
    <t>Rozdíl oproti kum.rozpočtu</t>
  </si>
  <si>
    <t>fve</t>
  </si>
  <si>
    <t>akumulace</t>
  </si>
  <si>
    <t>Celková cena zhotovitele:</t>
  </si>
  <si>
    <t>akumulace Q ???</t>
  </si>
  <si>
    <t>zaokrouhlení u budovy YA ???</t>
  </si>
  <si>
    <t>jiné vyprojektované plochy osvětlení ???</t>
  </si>
  <si>
    <t>jiné vyprojektované plochy žaluzií ???</t>
  </si>
  <si>
    <t>E.posudek</t>
  </si>
  <si>
    <t>zaokrouhlení u budovy YC a Q???</t>
  </si>
  <si>
    <t xml:space="preserve">rozpor u budovy YC oproti enrg.posudku </t>
  </si>
  <si>
    <t>Limity způsobilých výdajů jednotlivých budov dle plochy (m2 ) z předložených "opravených" energ.průkazů budov: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</si>
</sst>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2" fillId="0" borderId="0" xfId="0" applyFont="1" applyBorder="1" applyAlignment="1">
      <alignment wrapText="1"/>
    </xf>
    <xf numFmtId="0" fontId="0" fillId="0" borderId="0" xfId="0" applyAlignment="1">
      <alignment horizontal="right"/>
    </xf>
    <xf numFmtId="0" fontId="0" fillId="0" borderId="10" xfId="0" applyFill="1" applyBorder="1" applyAlignment="1">
      <alignment horizontal="center"/>
    </xf>
    <xf numFmtId="9" fontId="0" fillId="0" borderId="10" xfId="0" applyNumberForma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/>
    <xf numFmtId="0" fontId="1" fillId="0" borderId="0" xfId="0" applyFont="1" applyBorder="1"/>
    <xf numFmtId="0" fontId="0" fillId="0" borderId="0" xfId="0" applyFill="1" applyBorder="1" applyAlignment="1">
      <alignment horizontal="right"/>
    </xf>
    <xf numFmtId="0" fontId="0" fillId="4" borderId="0" xfId="0" applyFill="1"/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2" borderId="17" xfId="0" applyFill="1" applyBorder="1"/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2" borderId="22" xfId="0" applyFill="1" applyBorder="1"/>
    <xf numFmtId="0" fontId="3" fillId="0" borderId="0" xfId="0" applyFont="1"/>
    <xf numFmtId="0" fontId="0" fillId="4" borderId="4" xfId="0" applyFill="1" applyBorder="1" applyAlignment="1">
      <alignment horizontal="center"/>
    </xf>
    <xf numFmtId="4" fontId="0" fillId="0" borderId="3" xfId="0" applyNumberFormat="1" applyBorder="1"/>
    <xf numFmtId="4" fontId="0" fillId="4" borderId="4" xfId="0" applyNumberFormat="1" applyFill="1" applyBorder="1"/>
    <xf numFmtId="4" fontId="0" fillId="0" borderId="3" xfId="0" applyNumberFormat="1" applyFill="1" applyBorder="1"/>
    <xf numFmtId="4" fontId="3" fillId="0" borderId="11" xfId="0" applyNumberFormat="1" applyFont="1" applyFill="1" applyBorder="1"/>
    <xf numFmtId="4" fontId="0" fillId="0" borderId="10" xfId="0" applyNumberFormat="1" applyBorder="1"/>
    <xf numFmtId="4" fontId="0" fillId="4" borderId="10" xfId="0" applyNumberFormat="1" applyFill="1" applyBorder="1"/>
    <xf numFmtId="4" fontId="0" fillId="0" borderId="28" xfId="0" applyNumberFormat="1" applyFill="1" applyBorder="1"/>
    <xf numFmtId="4" fontId="1" fillId="0" borderId="10" xfId="0" applyNumberFormat="1" applyFont="1" applyFill="1" applyBorder="1"/>
    <xf numFmtId="4" fontId="0" fillId="2" borderId="1" xfId="0" applyNumberFormat="1" applyFill="1" applyBorder="1"/>
    <xf numFmtId="4" fontId="0" fillId="2" borderId="5" xfId="0" applyNumberFormat="1" applyFill="1" applyBorder="1"/>
    <xf numFmtId="4" fontId="0" fillId="2" borderId="18" xfId="0" applyNumberFormat="1" applyFill="1" applyBorder="1"/>
    <xf numFmtId="4" fontId="0" fillId="3" borderId="1" xfId="0" applyNumberFormat="1" applyFill="1" applyBorder="1"/>
    <xf numFmtId="4" fontId="0" fillId="3" borderId="5" xfId="0" applyNumberFormat="1" applyFill="1" applyBorder="1"/>
    <xf numFmtId="4" fontId="0" fillId="3" borderId="2" xfId="0" applyNumberFormat="1" applyFill="1" applyBorder="1"/>
    <xf numFmtId="4" fontId="1" fillId="2" borderId="23" xfId="0" applyNumberFormat="1" applyFont="1" applyFill="1" applyBorder="1"/>
    <xf numFmtId="4" fontId="1" fillId="3" borderId="1" xfId="0" applyNumberFormat="1" applyFont="1" applyFill="1" applyBorder="1"/>
    <xf numFmtId="4" fontId="0" fillId="2" borderId="23" xfId="0" applyNumberFormat="1" applyFill="1" applyBorder="1"/>
    <xf numFmtId="4" fontId="1" fillId="2" borderId="3" xfId="0" applyNumberFormat="1" applyFont="1" applyFill="1" applyBorder="1"/>
    <xf numFmtId="4" fontId="0" fillId="2" borderId="6" xfId="0" applyNumberFormat="1" applyFill="1" applyBorder="1"/>
    <xf numFmtId="4" fontId="0" fillId="2" borderId="19" xfId="0" applyNumberFormat="1" applyFill="1" applyBorder="1"/>
    <xf numFmtId="4" fontId="0" fillId="3" borderId="3" xfId="0" applyNumberFormat="1" applyFill="1" applyBorder="1"/>
    <xf numFmtId="4" fontId="0" fillId="3" borderId="6" xfId="0" applyNumberFormat="1" applyFill="1" applyBorder="1"/>
    <xf numFmtId="4" fontId="0" fillId="3" borderId="4" xfId="0" applyNumberFormat="1" applyFill="1" applyBorder="1"/>
    <xf numFmtId="4" fontId="0" fillId="2" borderId="24" xfId="0" applyNumberFormat="1" applyFill="1" applyBorder="1"/>
    <xf numFmtId="4" fontId="3" fillId="2" borderId="24" xfId="0" applyNumberFormat="1" applyFont="1" applyFill="1" applyBorder="1"/>
    <xf numFmtId="4" fontId="0" fillId="2" borderId="3" xfId="0" applyNumberFormat="1" applyFill="1" applyBorder="1"/>
    <xf numFmtId="4" fontId="3" fillId="3" borderId="3" xfId="0" applyNumberFormat="1" applyFont="1" applyFill="1" applyBorder="1"/>
    <xf numFmtId="4" fontId="1" fillId="2" borderId="24" xfId="0" applyNumberFormat="1" applyFont="1" applyFill="1" applyBorder="1"/>
    <xf numFmtId="4" fontId="1" fillId="3" borderId="3" xfId="0" applyNumberFormat="1" applyFont="1" applyFill="1" applyBorder="1"/>
    <xf numFmtId="4" fontId="0" fillId="2" borderId="0" xfId="0" applyNumberFormat="1" applyFill="1" applyBorder="1"/>
    <xf numFmtId="4" fontId="0" fillId="2" borderId="20" xfId="0" applyNumberFormat="1" applyFill="1" applyBorder="1"/>
    <xf numFmtId="4" fontId="1" fillId="3" borderId="11" xfId="0" applyNumberFormat="1" applyFont="1" applyFill="1" applyBorder="1"/>
    <xf numFmtId="4" fontId="0" fillId="3" borderId="0" xfId="0" applyNumberFormat="1" applyFill="1" applyBorder="1"/>
    <xf numFmtId="4" fontId="0" fillId="3" borderId="12" xfId="0" applyNumberFormat="1" applyFill="1" applyBorder="1"/>
    <xf numFmtId="4" fontId="1" fillId="2" borderId="25" xfId="0" applyNumberFormat="1" applyFont="1" applyFill="1" applyBorder="1"/>
    <xf numFmtId="4" fontId="0" fillId="3" borderId="11" xfId="0" applyNumberFormat="1" applyFill="1" applyBorder="1"/>
    <xf numFmtId="4" fontId="0" fillId="2" borderId="25" xfId="0" applyNumberFormat="1" applyFill="1" applyBorder="1"/>
    <xf numFmtId="4" fontId="0" fillId="0" borderId="19" xfId="0" applyNumberFormat="1" applyBorder="1"/>
    <xf numFmtId="4" fontId="0" fillId="0" borderId="4" xfId="0" applyNumberFormat="1" applyBorder="1"/>
    <xf numFmtId="4" fontId="0" fillId="0" borderId="24" xfId="0" applyNumberFormat="1" applyBorder="1"/>
    <xf numFmtId="4" fontId="1" fillId="0" borderId="24" xfId="0" applyNumberFormat="1" applyFont="1" applyFill="1" applyBorder="1"/>
    <xf numFmtId="4" fontId="3" fillId="0" borderId="3" xfId="0" applyNumberFormat="1" applyFont="1" applyBorder="1"/>
    <xf numFmtId="4" fontId="0" fillId="4" borderId="19" xfId="0" applyNumberFormat="1" applyFill="1" applyBorder="1"/>
    <xf numFmtId="4" fontId="0" fillId="0" borderId="24" xfId="0" applyNumberFormat="1" applyFill="1" applyBorder="1"/>
    <xf numFmtId="4" fontId="1" fillId="0" borderId="24" xfId="0" applyNumberFormat="1" applyFont="1" applyBorder="1"/>
    <xf numFmtId="4" fontId="1" fillId="0" borderId="3" xfId="0" applyNumberFormat="1" applyFont="1" applyFill="1" applyBorder="1"/>
    <xf numFmtId="4" fontId="0" fillId="0" borderId="19" xfId="0" applyNumberFormat="1" applyFill="1" applyBorder="1" applyAlignment="1"/>
    <xf numFmtId="4" fontId="0" fillId="0" borderId="3" xfId="0" applyNumberFormat="1" applyFill="1" applyBorder="1" applyAlignment="1"/>
    <xf numFmtId="4" fontId="0" fillId="0" borderId="19" xfId="0" applyNumberFormat="1" applyFill="1" applyBorder="1" applyAlignment="1">
      <alignment horizontal="center"/>
    </xf>
    <xf numFmtId="4" fontId="0" fillId="0" borderId="3" xfId="0" applyNumberFormat="1" applyFill="1" applyBorder="1" applyAlignment="1">
      <alignment horizontal="center"/>
    </xf>
    <xf numFmtId="4" fontId="0" fillId="0" borderId="19" xfId="0" applyNumberFormat="1" applyFill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21" xfId="0" applyNumberFormat="1" applyFill="1" applyBorder="1"/>
    <xf numFmtId="4" fontId="3" fillId="0" borderId="14" xfId="0" applyNumberFormat="1" applyFont="1" applyFill="1" applyBorder="1"/>
    <xf numFmtId="4" fontId="0" fillId="0" borderId="16" xfId="0" applyNumberFormat="1" applyBorder="1"/>
    <xf numFmtId="4" fontId="1" fillId="4" borderId="26" xfId="0" applyNumberFormat="1" applyFont="1" applyFill="1" applyBorder="1"/>
    <xf numFmtId="4" fontId="0" fillId="0" borderId="21" xfId="0" applyNumberFormat="1" applyBorder="1"/>
    <xf numFmtId="4" fontId="3" fillId="0" borderId="26" xfId="0" applyNumberFormat="1" applyFont="1" applyFill="1" applyBorder="1"/>
    <xf numFmtId="4" fontId="0" fillId="0" borderId="13" xfId="0" applyNumberFormat="1" applyBorder="1"/>
    <xf numFmtId="4" fontId="0" fillId="0" borderId="27" xfId="0" applyNumberFormat="1" applyBorder="1"/>
    <xf numFmtId="4" fontId="0" fillId="0" borderId="0" xfId="0" applyNumberFormat="1"/>
    <xf numFmtId="4" fontId="3" fillId="0" borderId="10" xfId="0" applyNumberFormat="1" applyFont="1" applyBorder="1"/>
    <xf numFmtId="4" fontId="1" fillId="0" borderId="10" xfId="0" applyNumberFormat="1" applyFont="1" applyBorder="1"/>
    <xf numFmtId="4" fontId="3" fillId="0" borderId="0" xfId="0" applyNumberFormat="1" applyFont="1" applyFill="1" applyBorder="1"/>
    <xf numFmtId="4" fontId="0" fillId="0" borderId="10" xfId="0" applyNumberFormat="1" applyFill="1" applyBorder="1"/>
    <xf numFmtId="4" fontId="1" fillId="0" borderId="0" xfId="0" applyNumberFormat="1" applyFont="1" applyFill="1" applyBorder="1"/>
    <xf numFmtId="4" fontId="0" fillId="5" borderId="19" xfId="0" applyNumberFormat="1" applyFill="1" applyBorder="1"/>
    <xf numFmtId="4" fontId="0" fillId="5" borderId="18" xfId="0" applyNumberFormat="1" applyFill="1" applyBorder="1"/>
    <xf numFmtId="4" fontId="0" fillId="5" borderId="4" xfId="0" applyNumberFormat="1" applyFill="1" applyBorder="1"/>
    <xf numFmtId="4" fontId="0" fillId="5" borderId="21" xfId="0" applyNumberFormat="1" applyFill="1" applyBorder="1"/>
    <xf numFmtId="4" fontId="1" fillId="6" borderId="10" xfId="0" applyNumberFormat="1" applyFont="1" applyFill="1" applyBorder="1"/>
    <xf numFmtId="4" fontId="0" fillId="4" borderId="15" xfId="0" applyNumberFormat="1" applyFill="1" applyBorder="1"/>
    <xf numFmtId="4" fontId="1" fillId="4" borderId="11" xfId="0" applyNumberFormat="1" applyFont="1" applyFill="1" applyBorder="1"/>
    <xf numFmtId="4" fontId="0" fillId="4" borderId="0" xfId="0" applyNumberForma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328083</xdr:colOff>
      <xdr:row>0</xdr:row>
      <xdr:rowOff>169332</xdr:rowOff>
    </xdr:from>
    <xdr:to>
      <xdr:col>22</xdr:col>
      <xdr:colOff>317500</xdr:colOff>
      <xdr:row>37</xdr:row>
      <xdr:rowOff>74084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1702D617-D1B3-4824-B420-8BA5868677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180" t="24797" r="12026" b="9659"/>
        <a:stretch/>
      </xdr:blipFill>
      <xdr:spPr>
        <a:xfrm>
          <a:off x="328083" y="169332"/>
          <a:ext cx="13493750" cy="6995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AF441-82CE-492B-97EC-D80C8141577F}">
  <dimension ref="V6:AO59"/>
  <sheetViews>
    <sheetView tabSelected="1" topLeftCell="T13" zoomScale="90" zoomScaleNormal="90" workbookViewId="0">
      <selection activeCell="AL34" sqref="AL34"/>
    </sheetView>
  </sheetViews>
  <sheetFormatPr defaultRowHeight="15" x14ac:dyDescent="0.25"/>
  <cols>
    <col min="23" max="23" width="22.42578125" customWidth="1"/>
    <col min="24" max="24" width="9.85546875" customWidth="1"/>
    <col min="25" max="25" width="14.140625" customWidth="1"/>
    <col min="26" max="26" width="14.85546875" customWidth="1"/>
    <col min="27" max="27" width="11.140625" customWidth="1"/>
    <col min="28" max="28" width="12.5703125" customWidth="1"/>
    <col min="29" max="29" width="14.28515625" customWidth="1"/>
    <col min="30" max="30" width="8.5703125" customWidth="1"/>
    <col min="31" max="31" width="16" customWidth="1"/>
    <col min="32" max="32" width="15" customWidth="1"/>
    <col min="33" max="33" width="9.28515625" bestFit="1" customWidth="1"/>
    <col min="34" max="35" width="14" customWidth="1"/>
    <col min="36" max="36" width="9.28515625" bestFit="1" customWidth="1"/>
    <col min="37" max="37" width="12.5703125" bestFit="1" customWidth="1"/>
    <col min="38" max="38" width="14.85546875" customWidth="1"/>
    <col min="39" max="39" width="13.5703125" bestFit="1" customWidth="1"/>
    <col min="40" max="40" width="14.7109375" customWidth="1"/>
  </cols>
  <sheetData>
    <row r="6" spans="24:40" ht="15" customHeight="1" x14ac:dyDescent="0.25">
      <c r="X6" s="7"/>
      <c r="Y6" s="7"/>
      <c r="Z6" s="7"/>
      <c r="AA6" s="7"/>
      <c r="AB6" s="7"/>
      <c r="AC6" s="7"/>
      <c r="AD6" s="7"/>
      <c r="AE6" s="7"/>
      <c r="AF6" s="7"/>
    </row>
    <row r="7" spans="24:40" ht="15" customHeight="1" x14ac:dyDescent="0.25">
      <c r="X7" s="7"/>
      <c r="Y7" s="7"/>
      <c r="Z7" s="7"/>
      <c r="AA7" s="7"/>
      <c r="AB7" s="7"/>
      <c r="AC7" s="7"/>
      <c r="AD7" s="7"/>
      <c r="AE7" s="7"/>
      <c r="AF7" s="7"/>
    </row>
    <row r="8" spans="24:40" ht="13.5" customHeight="1" x14ac:dyDescent="0.25">
      <c r="X8" s="7"/>
      <c r="Y8" s="7"/>
      <c r="Z8" s="7"/>
      <c r="AA8" s="7"/>
      <c r="AB8" s="7"/>
      <c r="AC8" s="7"/>
      <c r="AD8" s="7"/>
      <c r="AE8" s="7"/>
      <c r="AF8" s="7"/>
    </row>
    <row r="9" spans="24:40" ht="15" hidden="1" customHeight="1" x14ac:dyDescent="0.25">
      <c r="X9" s="7"/>
      <c r="Y9" s="7"/>
      <c r="Z9" s="7"/>
      <c r="AA9" s="7"/>
      <c r="AB9" s="7"/>
      <c r="AC9" s="7"/>
      <c r="AD9" s="7"/>
      <c r="AE9" s="7"/>
      <c r="AF9" s="7"/>
    </row>
    <row r="10" spans="24:40" ht="15" customHeight="1" x14ac:dyDescent="0.25">
      <c r="X10" s="7"/>
      <c r="Y10" s="7"/>
      <c r="Z10" s="7"/>
      <c r="AA10" s="7"/>
      <c r="AB10" s="7"/>
      <c r="AC10" s="7"/>
      <c r="AD10" s="7"/>
      <c r="AE10" s="7"/>
      <c r="AF10" s="7"/>
    </row>
    <row r="11" spans="24:40" x14ac:dyDescent="0.25">
      <c r="X11" s="16"/>
      <c r="Y11" s="16"/>
      <c r="Z11" s="16"/>
      <c r="AA11" s="16"/>
      <c r="AB11" s="16"/>
      <c r="AC11" s="16"/>
      <c r="AD11" s="16"/>
      <c r="AE11" s="16"/>
      <c r="AF11" s="16"/>
    </row>
    <row r="12" spans="24:40" x14ac:dyDescent="0.25"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24:40" ht="15" customHeight="1" x14ac:dyDescent="0.25">
      <c r="X13" s="100" t="s">
        <v>46</v>
      </c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"/>
      <c r="AN13" s="1"/>
    </row>
    <row r="14" spans="24:40" ht="15" customHeight="1" x14ac:dyDescent="0.25"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"/>
      <c r="AN14" s="1"/>
    </row>
    <row r="15" spans="24:40" ht="15" customHeight="1" x14ac:dyDescent="0.25"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"/>
      <c r="AN15" s="1"/>
    </row>
    <row r="16" spans="24:40" ht="15.75" customHeight="1" thickBot="1" x14ac:dyDescent="0.3"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"/>
      <c r="AN16" s="1"/>
    </row>
    <row r="17" spans="23:41" ht="33" customHeight="1" thickBot="1" x14ac:dyDescent="0.3"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9" t="s">
        <v>35</v>
      </c>
      <c r="AN17" s="20"/>
    </row>
    <row r="18" spans="23:41" ht="15" customHeight="1" thickBot="1" x14ac:dyDescent="0.3">
      <c r="X18" s="2" t="s">
        <v>8</v>
      </c>
      <c r="Y18" s="3" t="s">
        <v>5</v>
      </c>
      <c r="Z18" s="18" t="s">
        <v>0</v>
      </c>
      <c r="AA18" s="4" t="s">
        <v>1</v>
      </c>
      <c r="AB18" s="5" t="s">
        <v>4</v>
      </c>
      <c r="AC18" s="6" t="s">
        <v>0</v>
      </c>
      <c r="AD18" s="22" t="s">
        <v>3</v>
      </c>
      <c r="AE18" s="3" t="s">
        <v>2</v>
      </c>
      <c r="AF18" s="18" t="s">
        <v>0</v>
      </c>
      <c r="AG18" s="4" t="s">
        <v>6</v>
      </c>
      <c r="AH18" s="5" t="s">
        <v>9</v>
      </c>
      <c r="AI18" s="6" t="s">
        <v>0</v>
      </c>
      <c r="AJ18" s="22" t="s">
        <v>7</v>
      </c>
      <c r="AK18" s="3" t="s">
        <v>10</v>
      </c>
      <c r="AL18" s="18" t="s">
        <v>0</v>
      </c>
      <c r="AM18" s="21" t="s">
        <v>12</v>
      </c>
      <c r="AN18" s="24" t="s">
        <v>34</v>
      </c>
    </row>
    <row r="19" spans="23:41" ht="15" customHeight="1" x14ac:dyDescent="0.25">
      <c r="W19" s="8" t="s">
        <v>23</v>
      </c>
      <c r="X19" s="33">
        <v>1540.8</v>
      </c>
      <c r="Y19" s="34">
        <f>X19*4510</f>
        <v>6949008</v>
      </c>
      <c r="Z19" s="93">
        <v>5882136.5</v>
      </c>
      <c r="AA19" s="36">
        <v>1471.4</v>
      </c>
      <c r="AB19" s="37">
        <f>AA19*4510</f>
        <v>6636014</v>
      </c>
      <c r="AC19" s="38">
        <v>7535734.2699999996</v>
      </c>
      <c r="AD19" s="39">
        <f>3846.3-43.5-69.7+23.7</f>
        <v>3756.8</v>
      </c>
      <c r="AE19" s="34">
        <f>AD19*4510</f>
        <v>16943168</v>
      </c>
      <c r="AF19" s="35">
        <v>47476315.810000002</v>
      </c>
      <c r="AG19" s="40">
        <f>2208.2+60.4</f>
        <v>2268.6</v>
      </c>
      <c r="AH19" s="37">
        <f>AG19*4510</f>
        <v>10231386</v>
      </c>
      <c r="AI19" s="38">
        <v>17254071.82</v>
      </c>
      <c r="AJ19" s="41">
        <f>1076.1-16.2</f>
        <v>1059.8999999999999</v>
      </c>
      <c r="AK19" s="34">
        <f>AJ19*4510</f>
        <v>4780148.9999999991</v>
      </c>
      <c r="AL19" s="35">
        <v>8594870.1099999994</v>
      </c>
      <c r="AM19" s="25">
        <f>Y19+AB19+AE19+AH19+AK19</f>
        <v>45539725</v>
      </c>
      <c r="AN19" s="26">
        <f>AM19-45536568</f>
        <v>3157</v>
      </c>
      <c r="AO19" t="s">
        <v>40</v>
      </c>
    </row>
    <row r="20" spans="23:41" ht="15" customHeight="1" x14ac:dyDescent="0.25">
      <c r="W20" s="8" t="s">
        <v>24</v>
      </c>
      <c r="X20" s="42">
        <v>635.1</v>
      </c>
      <c r="Y20" s="43">
        <f>X20*Y53</f>
        <v>2165691.0000000005</v>
      </c>
      <c r="Z20" s="92">
        <v>445091.66</v>
      </c>
      <c r="AA20" s="45">
        <v>586.9</v>
      </c>
      <c r="AB20" s="46">
        <f>AA20*3410</f>
        <v>2001329</v>
      </c>
      <c r="AC20" s="47">
        <v>4790609.8499999996</v>
      </c>
      <c r="AD20" s="48">
        <f>2459.3-87-81.9</f>
        <v>2290.4</v>
      </c>
      <c r="AE20" s="43">
        <f>AD20*3410</f>
        <v>7810264</v>
      </c>
      <c r="AF20" s="44">
        <v>24748297.309999999</v>
      </c>
      <c r="AG20" s="45">
        <v>829.9</v>
      </c>
      <c r="AH20" s="46">
        <f>AG20*3410</f>
        <v>2829959</v>
      </c>
      <c r="AI20" s="47">
        <v>6797975.75</v>
      </c>
      <c r="AJ20" s="49">
        <v>676.6</v>
      </c>
      <c r="AK20" s="43">
        <f>AJ20*3410</f>
        <v>2307206</v>
      </c>
      <c r="AL20" s="44">
        <v>5272179.83</v>
      </c>
      <c r="AM20" s="27">
        <f>Y20+AB20+AE20+AH20+AK20</f>
        <v>17114449</v>
      </c>
      <c r="AN20" s="26">
        <f>AM20-17065004</f>
        <v>49445</v>
      </c>
      <c r="AO20" t="s">
        <v>45</v>
      </c>
    </row>
    <row r="21" spans="23:41" x14ac:dyDescent="0.25">
      <c r="W21" s="8" t="s">
        <v>25</v>
      </c>
      <c r="X21" s="42">
        <v>635.1</v>
      </c>
      <c r="Y21" s="43">
        <f>X21*Y55</f>
        <v>978054.00000000023</v>
      </c>
      <c r="Z21" s="44"/>
      <c r="AA21" s="45">
        <v>0</v>
      </c>
      <c r="AB21" s="46">
        <f>AA21*1400</f>
        <v>0</v>
      </c>
      <c r="AC21" s="47"/>
      <c r="AD21" s="48">
        <v>0</v>
      </c>
      <c r="AE21" s="43">
        <f>AD21*1400</f>
        <v>0</v>
      </c>
      <c r="AF21" s="44"/>
      <c r="AG21" s="45">
        <v>0</v>
      </c>
      <c r="AH21" s="46">
        <f>AG21*1400</f>
        <v>0</v>
      </c>
      <c r="AI21" s="47"/>
      <c r="AJ21" s="48">
        <v>0</v>
      </c>
      <c r="AK21" s="43">
        <f>AJ21*1400</f>
        <v>0</v>
      </c>
      <c r="AL21" s="44"/>
      <c r="AM21" s="25"/>
      <c r="AN21" s="26"/>
    </row>
    <row r="22" spans="23:41" x14ac:dyDescent="0.25">
      <c r="W22" s="14" t="s">
        <v>33</v>
      </c>
      <c r="X22" s="50">
        <v>0</v>
      </c>
      <c r="Y22" s="43">
        <f>X22*3500</f>
        <v>0</v>
      </c>
      <c r="Z22" s="44"/>
      <c r="AA22" s="51"/>
      <c r="AB22" s="46"/>
      <c r="AC22" s="47"/>
      <c r="AD22" s="52">
        <f>8+15.7</f>
        <v>23.7</v>
      </c>
      <c r="AE22" s="43"/>
      <c r="AF22" s="44"/>
      <c r="AG22" s="53">
        <v>60.4</v>
      </c>
      <c r="AH22" s="46"/>
      <c r="AI22" s="47"/>
      <c r="AJ22" s="49">
        <v>0</v>
      </c>
      <c r="AK22" s="43">
        <f>AJ22*3500</f>
        <v>0</v>
      </c>
      <c r="AL22" s="44"/>
      <c r="AM22" s="25"/>
      <c r="AN22" s="26"/>
    </row>
    <row r="23" spans="23:41" x14ac:dyDescent="0.25">
      <c r="W23" s="8" t="s">
        <v>22</v>
      </c>
      <c r="X23" s="98">
        <v>309.39999999999998</v>
      </c>
      <c r="Y23" s="99">
        <f>X23*10725</f>
        <v>3318314.9999999995</v>
      </c>
      <c r="Z23" s="55">
        <v>4119786.52</v>
      </c>
      <c r="AA23" s="56">
        <v>454.2</v>
      </c>
      <c r="AB23" s="57">
        <f>AA23*10725</f>
        <v>4871295</v>
      </c>
      <c r="AC23" s="58">
        <v>4732745.1500000004</v>
      </c>
      <c r="AD23" s="59">
        <f>2475.3-52-5.9-2-5.5-25.8-7.5-16.4-74.8-30.6</f>
        <v>2254.7999999999997</v>
      </c>
      <c r="AE23" s="54">
        <f>AD23*10725</f>
        <v>24182729.999999996</v>
      </c>
      <c r="AF23" s="55">
        <f>55970135.99-AF25</f>
        <v>43906484.990000002</v>
      </c>
      <c r="AG23" s="60">
        <f>945.1</f>
        <v>945.1</v>
      </c>
      <c r="AH23" s="57">
        <f>AG23*10725</f>
        <v>10136197.5</v>
      </c>
      <c r="AI23" s="58">
        <v>11871978</v>
      </c>
      <c r="AJ23" s="61">
        <v>378.1</v>
      </c>
      <c r="AK23" s="54">
        <f>AJ23*10725</f>
        <v>4055122.5000000005</v>
      </c>
      <c r="AL23" s="55">
        <v>4096071.83</v>
      </c>
      <c r="AM23" s="27">
        <f>Y23+AB23+AE23+AH23+AK23</f>
        <v>46563660</v>
      </c>
      <c r="AN23" s="26">
        <f>AM23-46562695</f>
        <v>965</v>
      </c>
      <c r="AO23" t="s">
        <v>44</v>
      </c>
    </row>
    <row r="24" spans="23:41" x14ac:dyDescent="0.25">
      <c r="X24" s="25"/>
      <c r="Y24" s="29"/>
      <c r="Z24" s="62"/>
      <c r="AA24" s="25"/>
      <c r="AB24" s="29"/>
      <c r="AC24" s="63"/>
      <c r="AD24" s="64"/>
      <c r="AE24" s="29"/>
      <c r="AF24" s="62"/>
      <c r="AG24" s="25"/>
      <c r="AH24" s="29"/>
      <c r="AI24" s="63"/>
      <c r="AJ24" s="64"/>
      <c r="AK24" s="29"/>
      <c r="AL24" s="62"/>
      <c r="AM24" s="25"/>
      <c r="AN24" s="26"/>
    </row>
    <row r="25" spans="23:41" x14ac:dyDescent="0.25">
      <c r="W25" s="11" t="s">
        <v>31</v>
      </c>
      <c r="X25" s="25"/>
      <c r="Y25" s="29"/>
      <c r="Z25" s="62"/>
      <c r="AA25" s="25"/>
      <c r="AB25" s="29"/>
      <c r="AC25" s="63"/>
      <c r="AD25" s="65">
        <f>468.35+1029.01</f>
        <v>1497.3600000000001</v>
      </c>
      <c r="AE25" s="29">
        <f>AD25*Y56</f>
        <v>5600126.4000000013</v>
      </c>
      <c r="AF25" s="67">
        <f>3217115+8846536</f>
        <v>12063651</v>
      </c>
      <c r="AG25" s="25"/>
      <c r="AH25" s="29"/>
      <c r="AI25" s="63"/>
      <c r="AJ25" s="64"/>
      <c r="AK25" s="29"/>
      <c r="AL25" s="62"/>
      <c r="AM25" s="25">
        <f>AE25</f>
        <v>5600126.4000000013</v>
      </c>
      <c r="AN25" s="26">
        <f>AM25-6606336</f>
        <v>-1006209.5999999987</v>
      </c>
      <c r="AO25" t="s">
        <v>42</v>
      </c>
    </row>
    <row r="26" spans="23:41" x14ac:dyDescent="0.25">
      <c r="W26" s="12"/>
      <c r="X26" s="25"/>
      <c r="Y26" s="29"/>
      <c r="Z26" s="62"/>
      <c r="AA26" s="66"/>
      <c r="AB26" s="29"/>
      <c r="AC26" s="63"/>
      <c r="AD26" s="64"/>
      <c r="AE26" s="29"/>
      <c r="AF26" s="67">
        <f>(37089+25739.2+769008+102508*0+72770.6*0.7)+(93132.6+25739.2+1024351.6+161210*0.7+159902.08*0.7)</f>
        <v>2250777.4759999998</v>
      </c>
      <c r="AG26" s="25"/>
      <c r="AH26" s="29"/>
      <c r="AI26" s="63"/>
      <c r="AJ26" s="64"/>
      <c r="AK26" s="29"/>
      <c r="AL26" s="62"/>
      <c r="AM26" s="25"/>
      <c r="AN26" s="26"/>
    </row>
    <row r="27" spans="23:41" x14ac:dyDescent="0.25">
      <c r="W27" s="13"/>
      <c r="X27" s="25"/>
      <c r="Y27" s="29"/>
      <c r="Z27" s="62"/>
      <c r="AA27" s="25"/>
      <c r="AB27" s="29"/>
      <c r="AC27" s="63"/>
      <c r="AD27" s="64"/>
      <c r="AE27" s="29"/>
      <c r="AF27" s="62"/>
      <c r="AG27" s="25"/>
      <c r="AH27" s="29"/>
      <c r="AI27" s="63"/>
      <c r="AJ27" s="68"/>
      <c r="AK27" s="29"/>
      <c r="AL27" s="62"/>
      <c r="AM27" s="25"/>
      <c r="AN27" s="26"/>
    </row>
    <row r="28" spans="23:41" x14ac:dyDescent="0.25">
      <c r="W28" s="12"/>
      <c r="X28" s="25"/>
      <c r="Y28" s="29"/>
      <c r="Z28" s="62"/>
      <c r="AA28" s="25"/>
      <c r="AB28" s="29"/>
      <c r="AC28" s="63"/>
      <c r="AD28" s="69"/>
      <c r="AE28" s="29"/>
      <c r="AF28" s="62"/>
      <c r="AG28" s="25"/>
      <c r="AH28" s="29"/>
      <c r="AI28" s="63"/>
      <c r="AJ28" s="64"/>
      <c r="AK28" s="29"/>
      <c r="AL28" s="62"/>
      <c r="AM28" s="25"/>
      <c r="AN28" s="26"/>
    </row>
    <row r="29" spans="23:41" x14ac:dyDescent="0.25">
      <c r="W29" s="11" t="s">
        <v>19</v>
      </c>
      <c r="X29" s="70">
        <v>658.81</v>
      </c>
      <c r="Y29" s="29">
        <f>X29*Y57</f>
        <v>905863.74999999988</v>
      </c>
      <c r="Z29" s="92">
        <v>395964.26</v>
      </c>
      <c r="AA29" s="70">
        <v>525.99</v>
      </c>
      <c r="AB29" s="29">
        <f>AA29*Y57</f>
        <v>723236.25</v>
      </c>
      <c r="AC29" s="63">
        <v>1124946.82</v>
      </c>
      <c r="AD29" s="65">
        <f>95.72+208.19</f>
        <v>303.90999999999997</v>
      </c>
      <c r="AE29" s="29">
        <f>AD29*Y57</f>
        <v>417876.24999999994</v>
      </c>
      <c r="AF29" s="67">
        <f>1057169.7+1740302.58-AF26</f>
        <v>546694.80400000047</v>
      </c>
      <c r="AG29" s="70">
        <v>1476.37</v>
      </c>
      <c r="AH29" s="29">
        <f>AG29*Y57</f>
        <v>2030008.7499999998</v>
      </c>
      <c r="AI29" s="94">
        <v>1126830.77</v>
      </c>
      <c r="AJ29" s="65">
        <v>493.27</v>
      </c>
      <c r="AK29" s="29">
        <f>AJ29*Y57</f>
        <v>678246.25</v>
      </c>
      <c r="AL29" s="92">
        <v>357962.71</v>
      </c>
      <c r="AM29" s="25">
        <f>Y29+AB29+AE29+AH29+AK29</f>
        <v>4755231.25</v>
      </c>
      <c r="AN29" s="26">
        <f>AM29-14557909</f>
        <v>-9802677.75</v>
      </c>
      <c r="AO29" t="s">
        <v>41</v>
      </c>
    </row>
    <row r="30" spans="23:41" x14ac:dyDescent="0.25">
      <c r="W30" s="12"/>
      <c r="X30" s="25"/>
      <c r="Y30" s="29"/>
      <c r="Z30" s="62"/>
      <c r="AA30" s="25"/>
      <c r="AB30" s="29"/>
      <c r="AC30" s="63"/>
      <c r="AD30" s="64"/>
      <c r="AE30" s="29"/>
      <c r="AF30" s="62"/>
      <c r="AG30" s="25"/>
      <c r="AH30" s="29"/>
      <c r="AI30" s="63"/>
      <c r="AJ30" s="64"/>
      <c r="AK30" s="29"/>
      <c r="AL30" s="62"/>
      <c r="AM30" s="25"/>
      <c r="AN30" s="26"/>
    </row>
    <row r="31" spans="23:41" x14ac:dyDescent="0.25">
      <c r="W31" s="12"/>
      <c r="X31" s="25"/>
      <c r="Y31" s="29"/>
      <c r="Z31" s="71"/>
      <c r="AA31" s="72"/>
      <c r="AB31" s="29"/>
      <c r="AC31" s="63"/>
      <c r="AD31" s="64"/>
      <c r="AE31" s="29"/>
      <c r="AF31" s="62"/>
      <c r="AG31" s="25"/>
      <c r="AH31" s="29"/>
      <c r="AI31" s="63"/>
      <c r="AJ31" s="64"/>
      <c r="AK31" s="29"/>
      <c r="AL31" s="62"/>
      <c r="AM31" s="25"/>
      <c r="AN31" s="26"/>
    </row>
    <row r="32" spans="23:41" x14ac:dyDescent="0.25">
      <c r="W32" s="12"/>
      <c r="X32" s="25"/>
      <c r="Y32" s="29"/>
      <c r="Z32" s="73"/>
      <c r="AA32" s="74"/>
      <c r="AB32" s="29"/>
      <c r="AC32" s="63"/>
      <c r="AD32" s="64"/>
      <c r="AE32" s="29"/>
      <c r="AF32" s="62"/>
      <c r="AG32" s="25"/>
      <c r="AH32" s="29"/>
      <c r="AI32" s="63"/>
      <c r="AJ32" s="64"/>
      <c r="AK32" s="29"/>
      <c r="AL32" s="62"/>
      <c r="AM32" s="25"/>
      <c r="AN32" s="26"/>
    </row>
    <row r="33" spans="22:41" x14ac:dyDescent="0.25">
      <c r="W33" s="12"/>
      <c r="X33" s="25"/>
      <c r="Y33" s="29"/>
      <c r="Z33" s="75"/>
      <c r="AA33" s="27"/>
      <c r="AB33" s="29"/>
      <c r="AC33" s="63"/>
      <c r="AD33" s="64"/>
      <c r="AE33" s="29"/>
      <c r="AF33" s="62"/>
      <c r="AG33" s="25"/>
      <c r="AH33" s="29"/>
      <c r="AI33" s="63"/>
      <c r="AJ33" s="64"/>
      <c r="AK33" s="29"/>
      <c r="AL33" s="62"/>
      <c r="AM33" s="25"/>
      <c r="AN33" s="26"/>
    </row>
    <row r="34" spans="22:41" x14ac:dyDescent="0.25">
      <c r="W34" s="12"/>
      <c r="X34" s="25"/>
      <c r="Y34" s="29"/>
      <c r="Z34" s="75"/>
      <c r="AA34" s="27"/>
      <c r="AB34" s="29"/>
      <c r="AC34" s="63"/>
      <c r="AD34" s="64"/>
      <c r="AE34" s="29"/>
      <c r="AF34" s="62"/>
      <c r="AG34" s="25"/>
      <c r="AH34" s="29"/>
      <c r="AI34" s="63"/>
      <c r="AJ34" s="64"/>
      <c r="AK34" s="29"/>
      <c r="AL34" s="62"/>
      <c r="AM34" s="25"/>
      <c r="AN34" s="26"/>
    </row>
    <row r="35" spans="22:41" x14ac:dyDescent="0.25">
      <c r="W35" s="11" t="s">
        <v>20</v>
      </c>
      <c r="X35" s="25"/>
      <c r="Y35" s="29"/>
      <c r="Z35" s="75"/>
      <c r="AA35" s="27">
        <v>18.899999999999999</v>
      </c>
      <c r="AB35" s="29">
        <f>AA35*59950</f>
        <v>1133055</v>
      </c>
      <c r="AC35" s="63">
        <f>4134999.4-AC36</f>
        <v>2904436.4</v>
      </c>
      <c r="AD35" s="68">
        <v>128.69999999999999</v>
      </c>
      <c r="AE35" s="29">
        <f>AD35*59950</f>
        <v>7715564.9999999991</v>
      </c>
      <c r="AF35" s="62">
        <f>4450290.2+6409703.8</f>
        <v>10859994</v>
      </c>
      <c r="AG35" s="25">
        <v>39.15</v>
      </c>
      <c r="AH35" s="29">
        <f>AG35*59950</f>
        <v>2347042.5</v>
      </c>
      <c r="AI35" s="63">
        <f>6995537.7-AI36</f>
        <v>3840637.2</v>
      </c>
      <c r="AJ35" s="64">
        <v>14.85</v>
      </c>
      <c r="AK35" s="29">
        <f>AJ35*59950</f>
        <v>890257.5</v>
      </c>
      <c r="AL35" s="62">
        <f>4090511.2-AL36</f>
        <v>2711722.4000000004</v>
      </c>
      <c r="AM35" s="25">
        <f>AB35+AE35+AH35+AK35</f>
        <v>12085920</v>
      </c>
      <c r="AN35" s="26">
        <f>AM35-12085920</f>
        <v>0</v>
      </c>
    </row>
    <row r="36" spans="22:41" ht="15.75" thickBot="1" x14ac:dyDescent="0.3">
      <c r="V36" s="15"/>
      <c r="W36" s="11" t="s">
        <v>21</v>
      </c>
      <c r="X36" s="76"/>
      <c r="Y36" s="77"/>
      <c r="Z36" s="78"/>
      <c r="AA36" s="79">
        <f>AA35</f>
        <v>18.899999999999999</v>
      </c>
      <c r="AB36" s="77">
        <f>AA36*Y59</f>
        <v>654885</v>
      </c>
      <c r="AC36" s="80">
        <v>1230563</v>
      </c>
      <c r="AD36" s="81">
        <f>AD35</f>
        <v>128.69999999999999</v>
      </c>
      <c r="AE36" s="97">
        <f>AD36*Y59</f>
        <v>4459455</v>
      </c>
      <c r="AF36" s="95">
        <v>0</v>
      </c>
      <c r="AG36" s="79">
        <f>AG35</f>
        <v>39.15</v>
      </c>
      <c r="AH36" s="77">
        <f>AG36*Y59</f>
        <v>1356547.5</v>
      </c>
      <c r="AI36" s="80">
        <v>3154900.5</v>
      </c>
      <c r="AJ36" s="83">
        <f>AJ35</f>
        <v>14.85</v>
      </c>
      <c r="AK36" s="77">
        <f>AJ36*Y59</f>
        <v>514552.5</v>
      </c>
      <c r="AL36" s="82">
        <v>1378788.8</v>
      </c>
      <c r="AM36" s="28">
        <f>AB36+AH36+AK36</f>
        <v>2525985</v>
      </c>
      <c r="AN36" s="26">
        <f>AM36-6985440</f>
        <v>-4459455</v>
      </c>
      <c r="AO36" t="s">
        <v>39</v>
      </c>
    </row>
    <row r="37" spans="22:41" x14ac:dyDescent="0.25">
      <c r="W37" s="8" t="s">
        <v>18</v>
      </c>
      <c r="X37" s="84"/>
      <c r="Y37" s="84"/>
      <c r="Z37" s="84">
        <v>727773.88</v>
      </c>
      <c r="AA37" s="84"/>
      <c r="AB37" s="84"/>
      <c r="AC37" s="84">
        <v>2271394.38</v>
      </c>
      <c r="AD37" s="84"/>
      <c r="AE37" s="84"/>
      <c r="AF37" s="84">
        <v>6492998.1699999999</v>
      </c>
      <c r="AG37" s="84"/>
      <c r="AH37" s="84"/>
      <c r="AI37" s="84">
        <v>11619958</v>
      </c>
      <c r="AJ37" s="84"/>
      <c r="AK37" s="84"/>
      <c r="AL37" s="85">
        <v>3658998.28</v>
      </c>
      <c r="AM37" s="29"/>
      <c r="AN37" s="30"/>
    </row>
    <row r="38" spans="22:41" x14ac:dyDescent="0.25">
      <c r="W38" s="8" t="s">
        <v>17</v>
      </c>
      <c r="X38" s="29"/>
      <c r="Y38" s="29"/>
      <c r="Z38" s="29">
        <v>261081.9</v>
      </c>
      <c r="AA38" s="29"/>
      <c r="AB38" s="29"/>
      <c r="AC38" s="29">
        <v>1912640.18</v>
      </c>
      <c r="AD38" s="29"/>
      <c r="AE38" s="29"/>
      <c r="AF38" s="29">
        <f>1333311+3028818.13</f>
        <v>4362129.13</v>
      </c>
      <c r="AG38" s="29"/>
      <c r="AH38" s="29"/>
      <c r="AI38" s="29">
        <v>1859430.22</v>
      </c>
      <c r="AJ38" s="29"/>
      <c r="AK38" s="29"/>
      <c r="AL38" s="62">
        <v>1118070.77</v>
      </c>
      <c r="AM38" s="29"/>
      <c r="AN38" s="30"/>
    </row>
    <row r="39" spans="22:41" x14ac:dyDescent="0.25">
      <c r="W39" s="8" t="s">
        <v>26</v>
      </c>
      <c r="X39" s="29"/>
      <c r="Y39" s="29"/>
      <c r="Z39" s="29">
        <v>0</v>
      </c>
      <c r="AA39" s="29"/>
      <c r="AB39" s="29"/>
      <c r="AC39" s="29">
        <v>87665</v>
      </c>
      <c r="AD39" s="29"/>
      <c r="AE39" s="29"/>
      <c r="AF39" s="29">
        <v>0</v>
      </c>
      <c r="AG39" s="29"/>
      <c r="AH39" s="29"/>
      <c r="AI39" s="29">
        <v>87665</v>
      </c>
      <c r="AJ39" s="29"/>
      <c r="AK39" s="29"/>
      <c r="AL39" s="62">
        <v>0</v>
      </c>
      <c r="AM39" s="29"/>
      <c r="AN39" s="30"/>
    </row>
    <row r="40" spans="22:41" x14ac:dyDescent="0.25">
      <c r="W40" s="8" t="s">
        <v>16</v>
      </c>
      <c r="X40" s="29"/>
      <c r="Y40" s="29"/>
      <c r="Z40" s="29">
        <v>166950</v>
      </c>
      <c r="AA40" s="29"/>
      <c r="AB40" s="29"/>
      <c r="AC40" s="29">
        <v>1035246</v>
      </c>
      <c r="AD40" s="29"/>
      <c r="AE40" s="29"/>
      <c r="AF40" s="29">
        <v>5172026</v>
      </c>
      <c r="AG40" s="29"/>
      <c r="AH40" s="29"/>
      <c r="AI40" s="29">
        <v>1781276</v>
      </c>
      <c r="AJ40" s="29"/>
      <c r="AK40" s="29"/>
      <c r="AL40" s="62">
        <v>1026601</v>
      </c>
      <c r="AM40" s="29"/>
      <c r="AN40" s="30"/>
    </row>
    <row r="41" spans="22:41" x14ac:dyDescent="0.25">
      <c r="W41" s="14" t="s">
        <v>38</v>
      </c>
      <c r="X41" s="86"/>
      <c r="Y41" s="86"/>
      <c r="Z41" s="86">
        <f>SUM(Z19:Z40)</f>
        <v>11998784.720000001</v>
      </c>
      <c r="AA41" s="86"/>
      <c r="AB41" s="86"/>
      <c r="AC41" s="86">
        <f>SUM(AC19:AC40)</f>
        <v>27625981.049999997</v>
      </c>
      <c r="AD41" s="86"/>
      <c r="AE41" s="86"/>
      <c r="AF41" s="86">
        <f>SUM(AF19:AF40)</f>
        <v>157879368.69</v>
      </c>
      <c r="AG41" s="86"/>
      <c r="AH41" s="86"/>
      <c r="AI41" s="86">
        <f>SUM(AI19:AI40)</f>
        <v>59394723.260000005</v>
      </c>
      <c r="AJ41" s="86"/>
      <c r="AK41" s="86"/>
      <c r="AL41" s="86">
        <f>SUM(AL19:AL40)</f>
        <v>28215265.730000004</v>
      </c>
      <c r="AM41" s="29"/>
      <c r="AN41" s="30"/>
    </row>
    <row r="42" spans="22:41" x14ac:dyDescent="0.25">
      <c r="AM42" s="29"/>
      <c r="AN42" s="30"/>
    </row>
    <row r="43" spans="22:41" x14ac:dyDescent="0.25">
      <c r="W43" s="8"/>
      <c r="X43" t="s">
        <v>11</v>
      </c>
      <c r="AA43" t="s">
        <v>11</v>
      </c>
      <c r="AB43" t="s">
        <v>43</v>
      </c>
      <c r="AD43" t="s">
        <v>11</v>
      </c>
      <c r="AG43" t="s">
        <v>11</v>
      </c>
      <c r="AJ43" t="s">
        <v>11</v>
      </c>
      <c r="AM43" s="29"/>
      <c r="AN43" s="30"/>
    </row>
    <row r="44" spans="22:41" x14ac:dyDescent="0.25">
      <c r="W44" t="s">
        <v>23</v>
      </c>
      <c r="X44" s="29">
        <v>1540.2</v>
      </c>
      <c r="Y44" s="86"/>
      <c r="Z44" s="86"/>
      <c r="AA44" s="87">
        <v>1471.4</v>
      </c>
      <c r="AB44" s="86">
        <v>1434.85</v>
      </c>
      <c r="AC44" s="86"/>
      <c r="AD44" s="88">
        <v>3756.8</v>
      </c>
      <c r="AE44" s="86"/>
      <c r="AF44" s="86"/>
      <c r="AG44" s="88">
        <v>2268.6</v>
      </c>
      <c r="AH44" s="86"/>
      <c r="AI44" s="86"/>
      <c r="AJ44" s="29">
        <v>1059.8</v>
      </c>
      <c r="AM44" s="29">
        <f>X44+AA44+AD44+AG44+AJ44</f>
        <v>10096.799999999999</v>
      </c>
      <c r="AN44" s="30">
        <f>AM44-10097</f>
        <v>-0.2000000000007276</v>
      </c>
    </row>
    <row r="45" spans="22:41" x14ac:dyDescent="0.25">
      <c r="W45" s="23" t="s">
        <v>24</v>
      </c>
      <c r="X45" s="96">
        <v>635.1</v>
      </c>
      <c r="Y45" s="86"/>
      <c r="Z45" s="86"/>
      <c r="AA45" s="96">
        <v>586.9</v>
      </c>
      <c r="AB45" s="86">
        <v>572.1</v>
      </c>
      <c r="AC45" s="86"/>
      <c r="AD45" s="88">
        <v>2290.5</v>
      </c>
      <c r="AE45" s="89">
        <f>(3*5.5*2.4+2*5.5*2.4+4*5.5*2.1+2*5.5*2.1+8*5.5*2.1+1*3*2.1+1*5.5*2.1+1*5.5*2.1+6*5.5*2.1+1*5.5*2.1+1*5.5*2.1+1*5.5*2.1+2*2.2*2.1+4*5.5*2.1+3*5.5*2.1+2*5.5*2.1+1*3.3*2.1)+(5.4*2.4*2+5.5*2.1*26+4.55*2.1*1+4.55*2.4*1+4.55*1.75*1+3.35*2.1*3+5.5*1.75*72)</f>
        <v>1549.9325000000001</v>
      </c>
      <c r="AF45" s="86"/>
      <c r="AG45" s="29">
        <v>829.9</v>
      </c>
      <c r="AH45" s="86"/>
      <c r="AI45" s="86"/>
      <c r="AJ45" s="90">
        <v>676.6</v>
      </c>
      <c r="AM45" s="29">
        <f>X45+AA45+AD45+AG45+AJ45</f>
        <v>5019</v>
      </c>
      <c r="AN45" s="30">
        <f>AM45-5004.4</f>
        <v>14.600000000000364</v>
      </c>
      <c r="AO45" t="s">
        <v>45</v>
      </c>
    </row>
    <row r="46" spans="22:41" x14ac:dyDescent="0.25">
      <c r="W46" t="s">
        <v>22</v>
      </c>
      <c r="X46" s="96">
        <v>309.39999999999998</v>
      </c>
      <c r="Y46" s="86"/>
      <c r="Z46" s="86"/>
      <c r="AA46" s="88">
        <v>453.9</v>
      </c>
      <c r="AB46" s="86">
        <v>454.2</v>
      </c>
      <c r="AC46" s="86"/>
      <c r="AD46" s="88">
        <v>2255</v>
      </c>
      <c r="AE46" s="91"/>
      <c r="AF46" s="86"/>
      <c r="AG46" s="29">
        <v>945.1</v>
      </c>
      <c r="AH46" s="86"/>
      <c r="AI46" s="86"/>
      <c r="AJ46" s="29">
        <v>378.1</v>
      </c>
      <c r="AM46" s="29">
        <f>X46+AA46+AD46+AG46+AJ46</f>
        <v>4341.5</v>
      </c>
      <c r="AN46" s="30">
        <f>AM46-4341.5</f>
        <v>0</v>
      </c>
    </row>
    <row r="47" spans="22:41" x14ac:dyDescent="0.25">
      <c r="W47" t="s">
        <v>15</v>
      </c>
      <c r="X47" s="29">
        <v>0</v>
      </c>
      <c r="Y47" s="86"/>
      <c r="Z47" s="86"/>
      <c r="AA47" s="29">
        <v>0</v>
      </c>
      <c r="AB47" s="86"/>
      <c r="AC47" s="86"/>
      <c r="AD47" s="96">
        <f>620.6+1145.4</f>
        <v>1766</v>
      </c>
      <c r="AE47" s="86"/>
      <c r="AF47" s="86"/>
      <c r="AG47" s="29">
        <v>0</v>
      </c>
      <c r="AH47" s="86"/>
      <c r="AI47" s="86"/>
      <c r="AJ47" s="29">
        <v>0</v>
      </c>
      <c r="AM47" s="29">
        <f>X47+AA47+AD47+AG47+AJ47</f>
        <v>1766</v>
      </c>
      <c r="AN47" s="30">
        <f>AM47-1766</f>
        <v>0</v>
      </c>
    </row>
    <row r="48" spans="22:41" x14ac:dyDescent="0.25">
      <c r="W48" t="s">
        <v>19</v>
      </c>
      <c r="X48" s="96">
        <v>2511</v>
      </c>
      <c r="Y48" s="86"/>
      <c r="Z48" s="86"/>
      <c r="AA48" s="96">
        <v>1004.03</v>
      </c>
      <c r="AB48" s="86">
        <v>1004.03</v>
      </c>
      <c r="AC48" s="86"/>
      <c r="AD48" s="96">
        <v>4600</v>
      </c>
      <c r="AE48" s="86"/>
      <c r="AF48" s="86"/>
      <c r="AG48" s="96">
        <v>1958.32</v>
      </c>
      <c r="AH48" s="86"/>
      <c r="AI48" s="86"/>
      <c r="AJ48" s="96">
        <v>514.22</v>
      </c>
      <c r="AM48" s="29">
        <f>X48+AA48+AD48+AG48+AJ48</f>
        <v>10587.57</v>
      </c>
      <c r="AN48" s="30">
        <f>AM48-10587.6</f>
        <v>-3.0000000000654836E-2</v>
      </c>
    </row>
    <row r="49" spans="23:41" x14ac:dyDescent="0.25">
      <c r="AL49" t="s">
        <v>36</v>
      </c>
      <c r="AM49" s="31">
        <f>AA35+AD35+AG35+AJ35</f>
        <v>201.6</v>
      </c>
      <c r="AN49" s="30">
        <f>AM49-201.6</f>
        <v>0</v>
      </c>
    </row>
    <row r="50" spans="23:41" x14ac:dyDescent="0.25">
      <c r="X50" s="17" t="s">
        <v>30</v>
      </c>
      <c r="Y50" s="17"/>
      <c r="AL50" t="s">
        <v>37</v>
      </c>
      <c r="AM50" s="32">
        <f>AA36+AG36+AJ36</f>
        <v>72.899999999999991</v>
      </c>
      <c r="AN50" s="30">
        <f>AM50-AM49</f>
        <v>-128.69999999999999</v>
      </c>
      <c r="AO50" t="s">
        <v>39</v>
      </c>
    </row>
    <row r="51" spans="23:41" x14ac:dyDescent="0.25">
      <c r="X51" s="9" t="s">
        <v>14</v>
      </c>
      <c r="Y51" s="10" t="s">
        <v>13</v>
      </c>
    </row>
    <row r="52" spans="23:41" x14ac:dyDescent="0.25">
      <c r="W52" t="s">
        <v>23</v>
      </c>
      <c r="X52" s="90">
        <v>4100</v>
      </c>
      <c r="Y52" s="90">
        <f t="shared" ref="Y52:Y57" si="0">X52*1.1</f>
        <v>4510</v>
      </c>
    </row>
    <row r="53" spans="23:41" x14ac:dyDescent="0.25">
      <c r="W53" t="s">
        <v>24</v>
      </c>
      <c r="X53" s="90">
        <v>3100</v>
      </c>
      <c r="Y53" s="90">
        <f t="shared" si="0"/>
        <v>3410.0000000000005</v>
      </c>
    </row>
    <row r="54" spans="23:41" x14ac:dyDescent="0.25">
      <c r="W54" t="s">
        <v>28</v>
      </c>
      <c r="X54" s="90">
        <v>9750</v>
      </c>
      <c r="Y54" s="90">
        <f t="shared" si="0"/>
        <v>10725</v>
      </c>
    </row>
    <row r="55" spans="23:41" x14ac:dyDescent="0.25">
      <c r="W55" t="s">
        <v>27</v>
      </c>
      <c r="X55" s="90">
        <v>1400</v>
      </c>
      <c r="Y55" s="90">
        <f t="shared" si="0"/>
        <v>1540.0000000000002</v>
      </c>
    </row>
    <row r="56" spans="23:41" x14ac:dyDescent="0.25">
      <c r="W56" t="s">
        <v>31</v>
      </c>
      <c r="X56" s="29">
        <v>3400</v>
      </c>
      <c r="Y56" s="29">
        <f t="shared" si="0"/>
        <v>3740.0000000000005</v>
      </c>
    </row>
    <row r="57" spans="23:41" x14ac:dyDescent="0.25">
      <c r="W57" t="s">
        <v>32</v>
      </c>
      <c r="X57" s="29">
        <v>1250</v>
      </c>
      <c r="Y57" s="29">
        <f t="shared" si="0"/>
        <v>1375</v>
      </c>
    </row>
    <row r="58" spans="23:41" x14ac:dyDescent="0.25">
      <c r="W58" t="s">
        <v>20</v>
      </c>
      <c r="X58" s="29">
        <f>54500</f>
        <v>54500</v>
      </c>
      <c r="Y58" s="29">
        <f>54500*1.1</f>
        <v>59950.000000000007</v>
      </c>
    </row>
    <row r="59" spans="23:41" x14ac:dyDescent="0.25">
      <c r="W59" t="s">
        <v>29</v>
      </c>
      <c r="X59" s="29">
        <f>31500</f>
        <v>31500</v>
      </c>
      <c r="Y59" s="29">
        <f>31500*1.1</f>
        <v>34650</v>
      </c>
    </row>
  </sheetData>
  <mergeCells count="4">
    <mergeCell ref="AM17:AN17"/>
    <mergeCell ref="X13:AL17"/>
    <mergeCell ref="X11:AF11"/>
    <mergeCell ref="X50:Y50"/>
  </mergeCells>
  <pageMargins left="0.7" right="0.7" top="0.78740157499999996" bottom="0.78740157499999996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Hrubý Václav, Ing.</cp:lastModifiedBy>
  <dcterms:created xsi:type="dcterms:W3CDTF">2023-09-25T15:48:54Z</dcterms:created>
  <dcterms:modified xsi:type="dcterms:W3CDTF">2023-10-12T16:11:55Z</dcterms:modified>
</cp:coreProperties>
</file>