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SFŽP_Zateplení ubytoven a DK\_DOPLNĚNÍ - ROZPOČET KE SMLOUVĚ\"/>
    </mc:Choice>
  </mc:AlternateContent>
  <xr:revisionPtr revIDLastSave="0" documentId="13_ncr:1_{32A4DFE4-11C1-490C-A85E-0D6546F9EE70}" xr6:coauthVersionLast="36" xr6:coauthVersionMax="36" xr10:uidLastSave="{00000000-0000-0000-0000-000000000000}"/>
  <bookViews>
    <workbookView xWindow="0" yWindow="0" windowWidth="23250" windowHeight="12195" tabRatio="586" activeTab="2" xr2:uid="{00000000-000D-0000-FFFF-FFFF00000000}"/>
  </bookViews>
  <sheets>
    <sheet name="rozdělení BÚ na objekty" sheetId="5" r:id="rId1"/>
    <sheet name="dodatek D2 YCDE" sheetId="10" r:id="rId2"/>
    <sheet name="15082024 " sheetId="9" r:id="rId3"/>
    <sheet name="14082024" sheetId="8" r:id="rId4"/>
    <sheet name="finalní podklad pro Petru" sheetId="7" r:id="rId5"/>
    <sheet name="List rekapitulace" sheetId="3" r:id="rId6"/>
    <sheet name="původní" sheetId="1" r:id="rId7"/>
    <sheet name="podl.plocha Malenda" sheetId="4" r:id="rId8"/>
    <sheet name="List3" sheetId="6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5" l="1"/>
  <c r="I7" i="5"/>
  <c r="I6" i="5"/>
  <c r="I5" i="5"/>
  <c r="I4" i="5"/>
  <c r="I12" i="5"/>
  <c r="G11" i="5"/>
  <c r="G7" i="5"/>
  <c r="G6" i="5"/>
  <c r="G5" i="5"/>
  <c r="G4" i="5"/>
  <c r="E11" i="5"/>
  <c r="E7" i="5"/>
  <c r="H126" i="9" l="1"/>
  <c r="K105" i="9"/>
  <c r="K106" i="9"/>
  <c r="M102" i="9"/>
  <c r="L107" i="9"/>
  <c r="H107" i="9"/>
  <c r="E107" i="9"/>
  <c r="F105" i="9"/>
  <c r="K102" i="9"/>
  <c r="H125" i="9"/>
  <c r="E113" i="9"/>
  <c r="K104" i="9"/>
  <c r="K103" i="9"/>
  <c r="E127" i="9"/>
  <c r="E126" i="9"/>
  <c r="H115" i="9"/>
  <c r="E125" i="9"/>
  <c r="F106" i="9"/>
  <c r="AC24" i="9"/>
  <c r="F102" i="9"/>
  <c r="AD36" i="9"/>
  <c r="AC21" i="9"/>
  <c r="F119" i="9"/>
  <c r="K67" i="9"/>
  <c r="M55" i="9"/>
  <c r="K17" i="9"/>
  <c r="I18" i="9"/>
  <c r="J18" i="9"/>
  <c r="K8" i="9"/>
  <c r="N8" i="9"/>
  <c r="M8" i="9"/>
  <c r="I8" i="9"/>
  <c r="AF12" i="9"/>
  <c r="AD12" i="9"/>
  <c r="K50" i="9"/>
  <c r="K37" i="9"/>
  <c r="K33" i="9"/>
  <c r="I80" i="8"/>
  <c r="K73" i="9"/>
  <c r="K72" i="9"/>
  <c r="K71" i="9"/>
  <c r="K70" i="9"/>
  <c r="K69" i="9"/>
  <c r="K68" i="9"/>
  <c r="U35" i="9"/>
  <c r="T35" i="9"/>
  <c r="U34" i="9"/>
  <c r="S34" i="9"/>
  <c r="T33" i="9"/>
  <c r="AF9" i="9"/>
  <c r="Q69" i="9"/>
  <c r="V83" i="9"/>
  <c r="V81" i="9" l="1"/>
  <c r="U81" i="9"/>
  <c r="W81" i="9" l="1"/>
  <c r="R67" i="8" l="1"/>
  <c r="O23" i="8"/>
  <c r="E67" i="10"/>
  <c r="E73" i="10" s="1"/>
  <c r="F93" i="10"/>
  <c r="H77" i="10"/>
  <c r="G77" i="10"/>
  <c r="G72" i="10"/>
  <c r="H71" i="10"/>
  <c r="G71" i="10"/>
  <c r="F71" i="10"/>
  <c r="G69" i="10"/>
  <c r="H68" i="10"/>
  <c r="G68" i="10"/>
  <c r="F68" i="10"/>
  <c r="R24" i="10"/>
  <c r="H67" i="10"/>
  <c r="G67" i="10"/>
  <c r="H57" i="10"/>
  <c r="H56" i="10"/>
  <c r="F56" i="10"/>
  <c r="F49" i="10"/>
  <c r="G48" i="10"/>
  <c r="H45" i="10"/>
  <c r="G45" i="10"/>
  <c r="H44" i="10"/>
  <c r="G44" i="10"/>
  <c r="F44" i="10"/>
  <c r="H43" i="10"/>
  <c r="F43" i="10"/>
  <c r="L25" i="10"/>
  <c r="H25" i="10"/>
  <c r="G25" i="10"/>
  <c r="H24" i="10"/>
  <c r="F24" i="10"/>
  <c r="G23" i="10"/>
  <c r="T22" i="10"/>
  <c r="K3" i="10"/>
  <c r="S29" i="10" s="1"/>
  <c r="M7" i="10"/>
  <c r="M6" i="10"/>
  <c r="M5" i="10"/>
  <c r="K123" i="9"/>
  <c r="E123" i="9"/>
  <c r="K114" i="9"/>
  <c r="E114" i="9"/>
  <c r="F93" i="9"/>
  <c r="G93" i="9" s="1"/>
  <c r="G94" i="9" s="1"/>
  <c r="E90" i="9"/>
  <c r="F90" i="9" s="1"/>
  <c r="G89" i="9"/>
  <c r="G88" i="9"/>
  <c r="N87" i="9"/>
  <c r="M87" i="9"/>
  <c r="G87" i="9"/>
  <c r="S86" i="9"/>
  <c r="F84" i="9"/>
  <c r="G84" i="9" s="1"/>
  <c r="G85" i="9" s="1"/>
  <c r="K24" i="9" s="1"/>
  <c r="X77" i="9"/>
  <c r="U77" i="9"/>
  <c r="T77" i="9"/>
  <c r="M77" i="9"/>
  <c r="I77" i="9"/>
  <c r="J17" i="9" s="1"/>
  <c r="H77" i="9"/>
  <c r="M109" i="9" s="1"/>
  <c r="M76" i="9"/>
  <c r="K76" i="9"/>
  <c r="M73" i="9"/>
  <c r="X72" i="9"/>
  <c r="M72" i="9"/>
  <c r="N15" i="9" s="1"/>
  <c r="I72" i="9"/>
  <c r="J15" i="9" s="1"/>
  <c r="H72" i="9"/>
  <c r="X71" i="9"/>
  <c r="M71" i="9"/>
  <c r="I71" i="9"/>
  <c r="H71" i="9"/>
  <c r="M103" i="9" s="1"/>
  <c r="X70" i="9"/>
  <c r="M70" i="9"/>
  <c r="I70" i="9"/>
  <c r="J13" i="9" s="1"/>
  <c r="H70" i="9"/>
  <c r="M104" i="9" s="1"/>
  <c r="X69" i="9"/>
  <c r="P69" i="9"/>
  <c r="M69" i="9"/>
  <c r="I69" i="9"/>
  <c r="H69" i="9"/>
  <c r="X68" i="9"/>
  <c r="M68" i="9"/>
  <c r="I68" i="9"/>
  <c r="H68" i="9"/>
  <c r="X67" i="9"/>
  <c r="M67" i="9"/>
  <c r="I67" i="9"/>
  <c r="H67" i="9"/>
  <c r="H66" i="9"/>
  <c r="X59" i="9"/>
  <c r="M59" i="9"/>
  <c r="I59" i="9"/>
  <c r="H59" i="9"/>
  <c r="X58" i="9"/>
  <c r="I58" i="9"/>
  <c r="X57" i="9"/>
  <c r="U57" i="9"/>
  <c r="M57" i="9"/>
  <c r="I57" i="9"/>
  <c r="H57" i="9"/>
  <c r="X56" i="9"/>
  <c r="U56" i="9"/>
  <c r="S56" i="9"/>
  <c r="M56" i="9"/>
  <c r="I56" i="9"/>
  <c r="H56" i="9"/>
  <c r="X55" i="9"/>
  <c r="I55" i="9"/>
  <c r="H55" i="9"/>
  <c r="H54" i="9"/>
  <c r="H52" i="9"/>
  <c r="X50" i="9"/>
  <c r="I50" i="9"/>
  <c r="X49" i="9"/>
  <c r="S49" i="9"/>
  <c r="K49" i="9" s="1"/>
  <c r="I49" i="9"/>
  <c r="E49" i="9"/>
  <c r="G45" i="9" s="1"/>
  <c r="M45" i="9" s="1"/>
  <c r="X48" i="9"/>
  <c r="T48" i="9"/>
  <c r="I48" i="9"/>
  <c r="X47" i="9"/>
  <c r="M47" i="9"/>
  <c r="I47" i="9"/>
  <c r="H47" i="9"/>
  <c r="X46" i="9"/>
  <c r="M46" i="9"/>
  <c r="I46" i="9"/>
  <c r="X45" i="9"/>
  <c r="U45" i="9"/>
  <c r="T45" i="9"/>
  <c r="O45" i="9"/>
  <c r="I45" i="9"/>
  <c r="H45" i="9"/>
  <c r="X44" i="9"/>
  <c r="U44" i="9"/>
  <c r="T44" i="9"/>
  <c r="S44" i="9"/>
  <c r="M44" i="9"/>
  <c r="I44" i="9"/>
  <c r="H44" i="9"/>
  <c r="X43" i="9"/>
  <c r="U43" i="9"/>
  <c r="S43" i="9"/>
  <c r="U82" i="9" s="1"/>
  <c r="M43" i="9"/>
  <c r="I43" i="9"/>
  <c r="H43" i="9"/>
  <c r="H42" i="9"/>
  <c r="H40" i="9"/>
  <c r="X37" i="9"/>
  <c r="M37" i="9"/>
  <c r="I37" i="9"/>
  <c r="H37" i="9"/>
  <c r="X36" i="9"/>
  <c r="M36" i="9"/>
  <c r="I36" i="9"/>
  <c r="X35" i="9"/>
  <c r="M35" i="9"/>
  <c r="I35" i="9"/>
  <c r="H35" i="9"/>
  <c r="X34" i="9"/>
  <c r="M34" i="9"/>
  <c r="I34" i="9"/>
  <c r="H34" i="9"/>
  <c r="X33" i="9"/>
  <c r="M33" i="9"/>
  <c r="I33" i="9"/>
  <c r="H33" i="9"/>
  <c r="H32" i="9"/>
  <c r="H30" i="9"/>
  <c r="X28" i="9"/>
  <c r="X27" i="9"/>
  <c r="I27" i="9"/>
  <c r="H27" i="9"/>
  <c r="M118" i="9" s="1"/>
  <c r="G27" i="9"/>
  <c r="G14" i="9" s="1"/>
  <c r="M14" i="9" s="1"/>
  <c r="X26" i="9"/>
  <c r="O26" i="9"/>
  <c r="M26" i="9"/>
  <c r="I26" i="9"/>
  <c r="AC25" i="9"/>
  <c r="X25" i="9"/>
  <c r="I25" i="9"/>
  <c r="H25" i="9"/>
  <c r="G25" i="9"/>
  <c r="M25" i="9" s="1"/>
  <c r="X24" i="9"/>
  <c r="M24" i="9"/>
  <c r="I24" i="9"/>
  <c r="J10" i="9" s="1"/>
  <c r="H24" i="9"/>
  <c r="E24" i="9"/>
  <c r="E10" i="9" s="1"/>
  <c r="X23" i="9"/>
  <c r="O23" i="9"/>
  <c r="K23" i="9" s="1"/>
  <c r="I23" i="9"/>
  <c r="H23" i="9"/>
  <c r="G23" i="9"/>
  <c r="G8" i="9" s="1"/>
  <c r="E23" i="9"/>
  <c r="E8" i="9" s="1"/>
  <c r="AK22" i="9"/>
  <c r="H18" i="9"/>
  <c r="AB3" i="9" s="1"/>
  <c r="AJ29" i="9" s="1"/>
  <c r="Y17" i="9"/>
  <c r="N17" i="9"/>
  <c r="I17" i="9"/>
  <c r="G17" i="9"/>
  <c r="M17" i="9" s="1"/>
  <c r="Y16" i="9"/>
  <c r="V16" i="9"/>
  <c r="L16" i="9"/>
  <c r="Y15" i="9" s="1"/>
  <c r="M15" i="9"/>
  <c r="I15" i="9"/>
  <c r="Y14" i="9"/>
  <c r="F14" i="9"/>
  <c r="I14" i="9" s="1"/>
  <c r="E14" i="9"/>
  <c r="N13" i="9"/>
  <c r="G13" i="9"/>
  <c r="M13" i="9" s="1"/>
  <c r="F13" i="9"/>
  <c r="I13" i="9" s="1"/>
  <c r="E13" i="9"/>
  <c r="F12" i="9"/>
  <c r="Y11" i="9" s="1"/>
  <c r="E12" i="9"/>
  <c r="I11" i="9"/>
  <c r="Y10" i="9"/>
  <c r="L10" i="9"/>
  <c r="G10" i="9"/>
  <c r="F10" i="9"/>
  <c r="I9" i="9"/>
  <c r="Y8" i="9"/>
  <c r="F8" i="9"/>
  <c r="Y7" i="9" s="1"/>
  <c r="AD7" i="9"/>
  <c r="AF7" i="9" s="1"/>
  <c r="AD6" i="9"/>
  <c r="AD5" i="9"/>
  <c r="AF5" i="9" s="1"/>
  <c r="Y9" i="9" l="1"/>
  <c r="G81" i="10"/>
  <c r="F81" i="10"/>
  <c r="I81" i="10" s="1"/>
  <c r="H81" i="10"/>
  <c r="AF10" i="9"/>
  <c r="M10" i="9"/>
  <c r="AF6" i="9"/>
  <c r="M27" i="9"/>
  <c r="M111" i="9"/>
  <c r="I12" i="9"/>
  <c r="H39" i="9"/>
  <c r="I73" i="9"/>
  <c r="H123" i="9"/>
  <c r="M23" i="9"/>
  <c r="J14" i="9"/>
  <c r="M16" i="9"/>
  <c r="H61" i="9"/>
  <c r="K46" i="9"/>
  <c r="Y12" i="9"/>
  <c r="I51" i="9"/>
  <c r="X84" i="9"/>
  <c r="H51" i="9"/>
  <c r="J12" i="9"/>
  <c r="N14" i="9"/>
  <c r="X39" i="9"/>
  <c r="N10" i="9"/>
  <c r="M105" i="9"/>
  <c r="N12" i="9"/>
  <c r="J8" i="9"/>
  <c r="X61" i="9"/>
  <c r="X73" i="9"/>
  <c r="G90" i="9"/>
  <c r="G91" i="9" s="1"/>
  <c r="K78" i="9" s="1"/>
  <c r="X51" i="9"/>
  <c r="I61" i="9"/>
  <c r="H29" i="9"/>
  <c r="AI21" i="9" s="1"/>
  <c r="AK21" i="9" s="1"/>
  <c r="I10" i="9"/>
  <c r="I39" i="9"/>
  <c r="E74" i="10"/>
  <c r="F73" i="10"/>
  <c r="F74" i="10" s="1"/>
  <c r="G73" i="10"/>
  <c r="G74" i="10" s="1"/>
  <c r="H73" i="10"/>
  <c r="H74" i="10" s="1"/>
  <c r="R21" i="10"/>
  <c r="O24" i="10"/>
  <c r="M10" i="10"/>
  <c r="T24" i="10"/>
  <c r="R23" i="10"/>
  <c r="T23" i="10" s="1"/>
  <c r="K27" i="9"/>
  <c r="K25" i="9"/>
  <c r="AF24" i="9"/>
  <c r="Y13" i="9"/>
  <c r="AD10" i="9"/>
  <c r="M119" i="9"/>
  <c r="L121" i="9" s="1"/>
  <c r="I29" i="9"/>
  <c r="M112" i="9"/>
  <c r="G12" i="9"/>
  <c r="M12" i="9" s="1"/>
  <c r="M18" i="9" s="1"/>
  <c r="I16" i="9"/>
  <c r="H73" i="9"/>
  <c r="AI24" i="9" s="1"/>
  <c r="AK24" i="9" s="1"/>
  <c r="X29" i="9"/>
  <c r="U45" i="8"/>
  <c r="U44" i="8"/>
  <c r="U43" i="8"/>
  <c r="U57" i="8"/>
  <c r="U25" i="8"/>
  <c r="T48" i="8"/>
  <c r="T77" i="8"/>
  <c r="T44" i="8"/>
  <c r="T45" i="8"/>
  <c r="S43" i="8"/>
  <c r="S44" i="8"/>
  <c r="S49" i="8"/>
  <c r="K49" i="8"/>
  <c r="U56" i="8"/>
  <c r="S56" i="8"/>
  <c r="L115" i="9" l="1"/>
  <c r="AG10" i="9"/>
  <c r="AI23" i="9"/>
  <c r="AK23" i="9" s="1"/>
  <c r="AK26" i="9" s="1"/>
  <c r="AJ32" i="9" s="1"/>
  <c r="AJ34" i="9" s="1"/>
  <c r="K55" i="9"/>
  <c r="K57" i="9"/>
  <c r="K48" i="9"/>
  <c r="K35" i="9"/>
  <c r="K44" i="9"/>
  <c r="K77" i="9"/>
  <c r="K79" i="9" s="1"/>
  <c r="K34" i="9"/>
  <c r="K56" i="9"/>
  <c r="K43" i="9"/>
  <c r="K45" i="9"/>
  <c r="Y18" i="9"/>
  <c r="I80" i="9"/>
  <c r="K47" i="9"/>
  <c r="N18" i="9"/>
  <c r="K38" i="9"/>
  <c r="K60" i="9"/>
  <c r="K59" i="9"/>
  <c r="X80" i="9"/>
  <c r="K36" i="9"/>
  <c r="K39" i="9" s="1"/>
  <c r="K58" i="9"/>
  <c r="N24" i="10"/>
  <c r="M39" i="10"/>
  <c r="N23" i="10"/>
  <c r="M40" i="10"/>
  <c r="L24" i="10"/>
  <c r="M24" i="10"/>
  <c r="M26" i="10" s="1"/>
  <c r="N21" i="10"/>
  <c r="O23" i="10"/>
  <c r="O26" i="10" s="1"/>
  <c r="M37" i="10"/>
  <c r="L23" i="10"/>
  <c r="T21" i="10"/>
  <c r="T26" i="10" s="1"/>
  <c r="S32" i="10" s="1"/>
  <c r="S34" i="10" s="1"/>
  <c r="R26" i="10"/>
  <c r="M41" i="10"/>
  <c r="P23" i="10"/>
  <c r="L21" i="10"/>
  <c r="N10" i="10"/>
  <c r="M12" i="10"/>
  <c r="P10" i="10" s="1"/>
  <c r="M38" i="10"/>
  <c r="M36" i="10"/>
  <c r="L125" i="9"/>
  <c r="K13" i="9"/>
  <c r="F104" i="9"/>
  <c r="AD24" i="9"/>
  <c r="AD26" i="9" s="1"/>
  <c r="AE21" i="9"/>
  <c r="K29" i="9"/>
  <c r="AI10" i="9"/>
  <c r="M125" i="9"/>
  <c r="H80" i="9"/>
  <c r="U24" i="8"/>
  <c r="T25" i="8"/>
  <c r="T23" i="8"/>
  <c r="S24" i="8"/>
  <c r="U77" i="8"/>
  <c r="AD41" i="9" l="1"/>
  <c r="Q98" i="9"/>
  <c r="AD37" i="9"/>
  <c r="Q94" i="9"/>
  <c r="AC23" i="9"/>
  <c r="AI26" i="9"/>
  <c r="AL26" i="9" s="1"/>
  <c r="AG23" i="9"/>
  <c r="AE23" i="9"/>
  <c r="K61" i="9"/>
  <c r="Q96" i="9" s="1"/>
  <c r="Q93" i="9"/>
  <c r="F111" i="9"/>
  <c r="K111" i="9" s="1"/>
  <c r="K51" i="9"/>
  <c r="AJ35" i="9"/>
  <c r="K15" i="9"/>
  <c r="AF27" i="9" s="1"/>
  <c r="AD39" i="9"/>
  <c r="AF23" i="9"/>
  <c r="AF26" i="9" s="1"/>
  <c r="F110" i="9"/>
  <c r="K110" i="9" s="1"/>
  <c r="U81" i="8"/>
  <c r="Q21" i="10"/>
  <c r="L26" i="10"/>
  <c r="O27" i="10"/>
  <c r="Q23" i="10"/>
  <c r="S23" i="10" s="1"/>
  <c r="Q24" i="10"/>
  <c r="S24" i="10" s="1"/>
  <c r="P27" i="10"/>
  <c r="M27" i="10"/>
  <c r="P26" i="10"/>
  <c r="L27" i="10"/>
  <c r="Q27" i="10"/>
  <c r="N27" i="10"/>
  <c r="N26" i="10"/>
  <c r="S35" i="10"/>
  <c r="U26" i="10"/>
  <c r="M42" i="10"/>
  <c r="F112" i="9"/>
  <c r="K112" i="9" s="1"/>
  <c r="F118" i="9"/>
  <c r="AG27" i="9"/>
  <c r="V17" i="9"/>
  <c r="AG26" i="9"/>
  <c r="F109" i="9"/>
  <c r="AH21" i="9"/>
  <c r="K119" i="9"/>
  <c r="V13" i="9"/>
  <c r="AD27" i="9"/>
  <c r="R74" i="8"/>
  <c r="S86" i="8"/>
  <c r="R73" i="8"/>
  <c r="T72" i="8"/>
  <c r="T67" i="8"/>
  <c r="T73" i="8" s="1"/>
  <c r="T74" i="8" s="1"/>
  <c r="U71" i="8"/>
  <c r="T71" i="8"/>
  <c r="T69" i="8"/>
  <c r="T68" i="8"/>
  <c r="U68" i="8"/>
  <c r="U67" i="8"/>
  <c r="U73" i="8" s="1"/>
  <c r="U74" i="8" s="1"/>
  <c r="S68" i="8"/>
  <c r="S73" i="8" s="1"/>
  <c r="S74" i="8" s="1"/>
  <c r="S71" i="8"/>
  <c r="K123" i="8"/>
  <c r="E123" i="8"/>
  <c r="H123" i="8" s="1"/>
  <c r="M118" i="8"/>
  <c r="K114" i="8"/>
  <c r="E114" i="8"/>
  <c r="F93" i="8"/>
  <c r="G93" i="8" s="1"/>
  <c r="G94" i="8" s="1"/>
  <c r="E90" i="8"/>
  <c r="F90" i="8" s="1"/>
  <c r="G89" i="8"/>
  <c r="G88" i="8"/>
  <c r="N87" i="8"/>
  <c r="M87" i="8"/>
  <c r="G87" i="8"/>
  <c r="F84" i="8"/>
  <c r="G84" i="8" s="1"/>
  <c r="G85" i="8" s="1"/>
  <c r="X77" i="8"/>
  <c r="M77" i="8"/>
  <c r="N17" i="8" s="1"/>
  <c r="I77" i="8"/>
  <c r="H77" i="8"/>
  <c r="M109" i="8" s="1"/>
  <c r="M76" i="8"/>
  <c r="K76" i="8"/>
  <c r="M73" i="8"/>
  <c r="X72" i="8"/>
  <c r="M72" i="8"/>
  <c r="N15" i="8" s="1"/>
  <c r="I72" i="8"/>
  <c r="H72" i="8"/>
  <c r="M102" i="8" s="1"/>
  <c r="X71" i="8"/>
  <c r="M71" i="8"/>
  <c r="I71" i="8"/>
  <c r="H71" i="8"/>
  <c r="M103" i="8" s="1"/>
  <c r="X70" i="8"/>
  <c r="M70" i="8"/>
  <c r="I70" i="8"/>
  <c r="J13" i="8" s="1"/>
  <c r="H70" i="8"/>
  <c r="M104" i="8" s="1"/>
  <c r="X69" i="8"/>
  <c r="Q69" i="8"/>
  <c r="P69" i="8"/>
  <c r="M69" i="8"/>
  <c r="I69" i="8"/>
  <c r="H69" i="8"/>
  <c r="X68" i="8"/>
  <c r="M68" i="8"/>
  <c r="I68" i="8"/>
  <c r="H68" i="8"/>
  <c r="X67" i="8"/>
  <c r="M67" i="8"/>
  <c r="I67" i="8"/>
  <c r="H67" i="8"/>
  <c r="M105" i="8" s="1"/>
  <c r="H66" i="8"/>
  <c r="X59" i="8"/>
  <c r="M59" i="8"/>
  <c r="I59" i="8"/>
  <c r="H59" i="8"/>
  <c r="X58" i="8"/>
  <c r="I58" i="8"/>
  <c r="X57" i="8"/>
  <c r="M57" i="8"/>
  <c r="I57" i="8"/>
  <c r="H57" i="8"/>
  <c r="X56" i="8"/>
  <c r="M56" i="8"/>
  <c r="I56" i="8"/>
  <c r="H56" i="8"/>
  <c r="X55" i="8"/>
  <c r="X61" i="8" s="1"/>
  <c r="M55" i="8"/>
  <c r="I55" i="8"/>
  <c r="H55" i="8"/>
  <c r="H54" i="8"/>
  <c r="H52" i="8"/>
  <c r="X50" i="8"/>
  <c r="K50" i="8"/>
  <c r="I50" i="8"/>
  <c r="X49" i="8"/>
  <c r="I49" i="8"/>
  <c r="E49" i="8"/>
  <c r="G45" i="8" s="1"/>
  <c r="M45" i="8" s="1"/>
  <c r="X48" i="8"/>
  <c r="I48" i="8"/>
  <c r="X47" i="8"/>
  <c r="M47" i="8"/>
  <c r="I47" i="8"/>
  <c r="H47" i="8"/>
  <c r="X46" i="8"/>
  <c r="M46" i="8"/>
  <c r="I46" i="8"/>
  <c r="X45" i="8"/>
  <c r="O45" i="8"/>
  <c r="I45" i="8"/>
  <c r="H45" i="8"/>
  <c r="X44" i="8"/>
  <c r="M44" i="8"/>
  <c r="I44" i="8"/>
  <c r="H44" i="8"/>
  <c r="X43" i="8"/>
  <c r="M43" i="8"/>
  <c r="I43" i="8"/>
  <c r="H43" i="8"/>
  <c r="H42" i="8"/>
  <c r="H40" i="8"/>
  <c r="X37" i="8"/>
  <c r="M37" i="8"/>
  <c r="I37" i="8"/>
  <c r="H37" i="8"/>
  <c r="X36" i="8"/>
  <c r="M36" i="8"/>
  <c r="I36" i="8"/>
  <c r="X35" i="8"/>
  <c r="M35" i="8"/>
  <c r="I35" i="8"/>
  <c r="H35" i="8"/>
  <c r="X34" i="8"/>
  <c r="X39" i="8" s="1"/>
  <c r="M34" i="8"/>
  <c r="I34" i="8"/>
  <c r="H34" i="8"/>
  <c r="X33" i="8"/>
  <c r="M33" i="8"/>
  <c r="I33" i="8"/>
  <c r="I39" i="8" s="1"/>
  <c r="H33" i="8"/>
  <c r="H32" i="8"/>
  <c r="H30" i="8"/>
  <c r="X28" i="8"/>
  <c r="X27" i="8"/>
  <c r="M27" i="8"/>
  <c r="I27" i="8"/>
  <c r="J14" i="8" s="1"/>
  <c r="H27" i="8"/>
  <c r="G27" i="8"/>
  <c r="G14" i="8" s="1"/>
  <c r="M14" i="8" s="1"/>
  <c r="X26" i="8"/>
  <c r="O26" i="8"/>
  <c r="M26" i="8"/>
  <c r="I26" i="8"/>
  <c r="AC25" i="8"/>
  <c r="X25" i="8"/>
  <c r="I25" i="8"/>
  <c r="H25" i="8"/>
  <c r="G25" i="8"/>
  <c r="M25" i="8" s="1"/>
  <c r="X24" i="8"/>
  <c r="M24" i="8"/>
  <c r="I24" i="8"/>
  <c r="H24" i="8"/>
  <c r="E24" i="8"/>
  <c r="E10" i="8" s="1"/>
  <c r="X23" i="8"/>
  <c r="I23" i="8"/>
  <c r="H23" i="8"/>
  <c r="G23" i="8"/>
  <c r="M23" i="8" s="1"/>
  <c r="E23" i="8"/>
  <c r="E8" i="8" s="1"/>
  <c r="AK22" i="8"/>
  <c r="H18" i="8"/>
  <c r="Y17" i="8"/>
  <c r="J17" i="8"/>
  <c r="I17" i="8"/>
  <c r="G17" i="8"/>
  <c r="M17" i="8" s="1"/>
  <c r="Y16" i="8"/>
  <c r="V16" i="8"/>
  <c r="L16" i="8"/>
  <c r="M16" i="8" s="1"/>
  <c r="I16" i="8"/>
  <c r="Y15" i="8"/>
  <c r="M15" i="8"/>
  <c r="J15" i="8"/>
  <c r="I15" i="8"/>
  <c r="Y14" i="8"/>
  <c r="F14" i="8"/>
  <c r="E14" i="8"/>
  <c r="N13" i="8"/>
  <c r="G13" i="8"/>
  <c r="M13" i="8" s="1"/>
  <c r="F13" i="8"/>
  <c r="I13" i="8" s="1"/>
  <c r="E13" i="8"/>
  <c r="F12" i="8"/>
  <c r="E12" i="8"/>
  <c r="I11" i="8"/>
  <c r="Y10" i="8"/>
  <c r="L10" i="8"/>
  <c r="M10" i="8" s="1"/>
  <c r="G10" i="8"/>
  <c r="F10" i="8"/>
  <c r="I10" i="8" s="1"/>
  <c r="Y9" i="8"/>
  <c r="I9" i="8"/>
  <c r="Y8" i="8"/>
  <c r="I8" i="8"/>
  <c r="F8" i="8"/>
  <c r="AD7" i="8"/>
  <c r="Y7" i="8"/>
  <c r="AD6" i="8"/>
  <c r="E113" i="8" s="1"/>
  <c r="AD5" i="8"/>
  <c r="E107" i="8" s="1"/>
  <c r="AB3" i="8"/>
  <c r="AJ29" i="8" s="1"/>
  <c r="V73" i="8" l="1"/>
  <c r="K23" i="8"/>
  <c r="K24" i="8"/>
  <c r="K45" i="8"/>
  <c r="V74" i="8"/>
  <c r="H51" i="8"/>
  <c r="AD10" i="8"/>
  <c r="AE10" i="8" s="1"/>
  <c r="G12" i="8"/>
  <c r="M12" i="8" s="1"/>
  <c r="M119" i="8"/>
  <c r="L121" i="8" s="1"/>
  <c r="H39" i="8"/>
  <c r="AI23" i="8" s="1"/>
  <c r="AK23" i="8" s="1"/>
  <c r="M111" i="8"/>
  <c r="H61" i="8"/>
  <c r="N8" i="8"/>
  <c r="N18" i="8" s="1"/>
  <c r="I51" i="8"/>
  <c r="G8" i="8"/>
  <c r="M8" i="8" s="1"/>
  <c r="Y12" i="8"/>
  <c r="N10" i="8"/>
  <c r="J12" i="8"/>
  <c r="J10" i="8"/>
  <c r="X51" i="8"/>
  <c r="X73" i="8"/>
  <c r="K69" i="8"/>
  <c r="G90" i="8"/>
  <c r="G91" i="8" s="1"/>
  <c r="AD38" i="9"/>
  <c r="Q95" i="9"/>
  <c r="V15" i="9"/>
  <c r="AH23" i="9"/>
  <c r="AJ23" i="9" s="1"/>
  <c r="Q28" i="10"/>
  <c r="S21" i="10"/>
  <c r="S26" i="10" s="1"/>
  <c r="Q26" i="10"/>
  <c r="S30" i="10" s="1"/>
  <c r="O10" i="10"/>
  <c r="AJ21" i="9"/>
  <c r="K109" i="9"/>
  <c r="F113" i="9"/>
  <c r="K113" i="9" s="1"/>
  <c r="K118" i="9"/>
  <c r="F120" i="9"/>
  <c r="K120" i="9" s="1"/>
  <c r="X29" i="8"/>
  <c r="X84" i="8"/>
  <c r="I61" i="8"/>
  <c r="M18" i="8"/>
  <c r="K72" i="8"/>
  <c r="K68" i="8"/>
  <c r="K71" i="8"/>
  <c r="K70" i="8"/>
  <c r="K46" i="8"/>
  <c r="I73" i="8"/>
  <c r="K27" i="8"/>
  <c r="K25" i="8"/>
  <c r="I12" i="8"/>
  <c r="I18" i="8" s="1"/>
  <c r="Y11" i="8"/>
  <c r="L107" i="8"/>
  <c r="I14" i="8"/>
  <c r="Y13" i="8"/>
  <c r="I29" i="8"/>
  <c r="J8" i="8"/>
  <c r="J18" i="8" s="1"/>
  <c r="N14" i="8"/>
  <c r="M112" i="8"/>
  <c r="M125" i="8" s="1"/>
  <c r="N12" i="8"/>
  <c r="K67" i="8"/>
  <c r="K55" i="8"/>
  <c r="K38" i="8"/>
  <c r="K37" i="8"/>
  <c r="K59" i="8"/>
  <c r="K57" i="8"/>
  <c r="K43" i="8"/>
  <c r="K33" i="8"/>
  <c r="K8" i="8" s="1"/>
  <c r="K78" i="8"/>
  <c r="K48" i="8"/>
  <c r="K47" i="8"/>
  <c r="K44" i="8"/>
  <c r="K34" i="8"/>
  <c r="K58" i="8"/>
  <c r="K36" i="8"/>
  <c r="H29" i="8"/>
  <c r="H73" i="8"/>
  <c r="AI24" i="8" s="1"/>
  <c r="AK24" i="8" s="1"/>
  <c r="H107" i="8"/>
  <c r="Y25" i="7"/>
  <c r="X80" i="8" l="1"/>
  <c r="Y18" i="8"/>
  <c r="K77" i="8"/>
  <c r="K60" i="8"/>
  <c r="F110" i="8" s="1"/>
  <c r="K110" i="8" s="1"/>
  <c r="K35" i="8"/>
  <c r="K12" i="8" s="1"/>
  <c r="V12" i="8" s="1"/>
  <c r="K56" i="8"/>
  <c r="K61" i="8" s="1"/>
  <c r="AD39" i="8" s="1"/>
  <c r="AD12" i="8"/>
  <c r="AG10" i="8" s="1"/>
  <c r="E121" i="9"/>
  <c r="H80" i="8"/>
  <c r="AI21" i="8"/>
  <c r="K79" i="8"/>
  <c r="AD41" i="8" s="1"/>
  <c r="K17" i="8"/>
  <c r="AG23" i="8"/>
  <c r="L115" i="8"/>
  <c r="H115" i="8" s="1"/>
  <c r="V8" i="8"/>
  <c r="K39" i="8"/>
  <c r="AD37" i="8" s="1"/>
  <c r="AC23" i="8"/>
  <c r="AC24" i="8"/>
  <c r="K73" i="8"/>
  <c r="AD40" i="8" s="1"/>
  <c r="K29" i="8"/>
  <c r="AD36" i="8" s="1"/>
  <c r="AE21" i="8"/>
  <c r="K14" i="8"/>
  <c r="F102" i="8"/>
  <c r="AF24" i="8"/>
  <c r="K51" i="8"/>
  <c r="AD38" i="8" s="1"/>
  <c r="AF23" i="8"/>
  <c r="K15" i="8"/>
  <c r="L125" i="8"/>
  <c r="K13" i="8"/>
  <c r="F104" i="8"/>
  <c r="K104" i="8" s="1"/>
  <c r="AD24" i="8"/>
  <c r="AD26" i="8" s="1"/>
  <c r="AE23" i="8"/>
  <c r="F111" i="8"/>
  <c r="K111" i="8" s="1"/>
  <c r="AC21" i="8"/>
  <c r="F103" i="8"/>
  <c r="K103" i="8" s="1"/>
  <c r="AE24" i="8"/>
  <c r="K10" i="8" l="1"/>
  <c r="AF26" i="8"/>
  <c r="H121" i="9"/>
  <c r="AE27" i="8"/>
  <c r="V14" i="8"/>
  <c r="AH24" i="8"/>
  <c r="AJ24" i="8" s="1"/>
  <c r="F105" i="8"/>
  <c r="K105" i="8" s="1"/>
  <c r="AG27" i="8"/>
  <c r="V17" i="8"/>
  <c r="AC26" i="8"/>
  <c r="F119" i="8"/>
  <c r="K119" i="8" s="1"/>
  <c r="AH21" i="8"/>
  <c r="V15" i="8"/>
  <c r="AF27" i="8"/>
  <c r="F118" i="8"/>
  <c r="AE26" i="8"/>
  <c r="AH23" i="8"/>
  <c r="AJ23" i="8" s="1"/>
  <c r="F112" i="8"/>
  <c r="K112" i="8" s="1"/>
  <c r="AD42" i="8"/>
  <c r="AI26" i="8"/>
  <c r="AK21" i="8"/>
  <c r="AK26" i="8" s="1"/>
  <c r="AJ32" i="8" s="1"/>
  <c r="AJ34" i="8" s="1"/>
  <c r="AJ35" i="8" s="1"/>
  <c r="AD27" i="8"/>
  <c r="V13" i="8"/>
  <c r="K102" i="8"/>
  <c r="K18" i="8"/>
  <c r="AH27" i="8" s="1"/>
  <c r="AG26" i="8"/>
  <c r="F109" i="8"/>
  <c r="L10" i="7"/>
  <c r="H70" i="7"/>
  <c r="I13" i="7"/>
  <c r="F13" i="7"/>
  <c r="J15" i="7"/>
  <c r="I77" i="7"/>
  <c r="J17" i="7" s="1"/>
  <c r="I68" i="7"/>
  <c r="I69" i="7"/>
  <c r="I70" i="7"/>
  <c r="J13" i="7" s="1"/>
  <c r="J18" i="7" s="1"/>
  <c r="I71" i="7"/>
  <c r="I72" i="7"/>
  <c r="I67" i="7"/>
  <c r="I73" i="7" s="1"/>
  <c r="I56" i="7"/>
  <c r="I57" i="7"/>
  <c r="I58" i="7"/>
  <c r="I59" i="7"/>
  <c r="J14" i="7" s="1"/>
  <c r="I55" i="7"/>
  <c r="I44" i="7"/>
  <c r="I45" i="7"/>
  <c r="I46" i="7"/>
  <c r="I47" i="7"/>
  <c r="I48" i="7"/>
  <c r="I49" i="7"/>
  <c r="I50" i="7"/>
  <c r="I43" i="7"/>
  <c r="I51" i="7" s="1"/>
  <c r="I34" i="7"/>
  <c r="I35" i="7"/>
  <c r="I36" i="7"/>
  <c r="I37" i="7"/>
  <c r="I33" i="7"/>
  <c r="J8" i="7" s="1"/>
  <c r="I24" i="7"/>
  <c r="J10" i="7" s="1"/>
  <c r="I25" i="7"/>
  <c r="J12" i="7" s="1"/>
  <c r="I26" i="7"/>
  <c r="I27" i="7"/>
  <c r="I23" i="7"/>
  <c r="I29" i="7" s="1"/>
  <c r="I9" i="7"/>
  <c r="I11" i="7"/>
  <c r="I15" i="7"/>
  <c r="I17" i="7"/>
  <c r="E23" i="7"/>
  <c r="I39" i="7" l="1"/>
  <c r="I80" i="7" s="1"/>
  <c r="AH26" i="8"/>
  <c r="AJ30" i="8" s="1"/>
  <c r="I61" i="7"/>
  <c r="F106" i="8"/>
  <c r="K106" i="8" s="1"/>
  <c r="V10" i="8"/>
  <c r="V18" i="8" s="1"/>
  <c r="AF10" i="8" s="1"/>
  <c r="AC27" i="8"/>
  <c r="K109" i="8"/>
  <c r="F113" i="8"/>
  <c r="K113" i="8" s="1"/>
  <c r="AL26" i="8"/>
  <c r="AH28" i="8"/>
  <c r="AJ21" i="8"/>
  <c r="AJ26" i="8" s="1"/>
  <c r="K118" i="8"/>
  <c r="F120" i="8"/>
  <c r="K120" i="8" s="1"/>
  <c r="F8" i="7"/>
  <c r="I8" i="7" s="1"/>
  <c r="T23" i="7"/>
  <c r="T84" i="7" s="1"/>
  <c r="T55" i="7"/>
  <c r="T43" i="7"/>
  <c r="T33" i="7"/>
  <c r="T77" i="7"/>
  <c r="T68" i="7"/>
  <c r="T69" i="7"/>
  <c r="T70" i="7"/>
  <c r="T71" i="7"/>
  <c r="T72" i="7"/>
  <c r="T67" i="7"/>
  <c r="T56" i="7"/>
  <c r="T57" i="7"/>
  <c r="T58" i="7"/>
  <c r="T59" i="7"/>
  <c r="T48" i="7"/>
  <c r="T49" i="7"/>
  <c r="T50" i="7"/>
  <c r="T44" i="7"/>
  <c r="T51" i="7" s="1"/>
  <c r="T45" i="7"/>
  <c r="T46" i="7"/>
  <c r="T47" i="7"/>
  <c r="T34" i="7"/>
  <c r="T35" i="7"/>
  <c r="T36" i="7"/>
  <c r="T37" i="7"/>
  <c r="U16" i="7"/>
  <c r="T24" i="7"/>
  <c r="T29" i="7" s="1"/>
  <c r="T25" i="7"/>
  <c r="T26" i="7"/>
  <c r="T27" i="7"/>
  <c r="T28" i="7"/>
  <c r="U8" i="7"/>
  <c r="U10" i="7"/>
  <c r="U11" i="7"/>
  <c r="U17" i="7"/>
  <c r="H18" i="7"/>
  <c r="X3" i="7" s="1"/>
  <c r="AF29" i="7" s="1"/>
  <c r="F10" i="7"/>
  <c r="I10" i="7" s="1"/>
  <c r="H43" i="7"/>
  <c r="K123" i="7"/>
  <c r="K114" i="7"/>
  <c r="E123" i="7"/>
  <c r="H123" i="7" s="1"/>
  <c r="E114" i="7"/>
  <c r="P90" i="3"/>
  <c r="F93" i="7"/>
  <c r="G93" i="7" s="1"/>
  <c r="G94" i="7" s="1"/>
  <c r="E90" i="7"/>
  <c r="F90" i="7" s="1"/>
  <c r="G89" i="7"/>
  <c r="G88" i="7"/>
  <c r="N87" i="7"/>
  <c r="M87" i="7"/>
  <c r="G87" i="7"/>
  <c r="F84" i="7"/>
  <c r="G84" i="7" s="1"/>
  <c r="G85" i="7" s="1"/>
  <c r="M77" i="7"/>
  <c r="N17" i="7" s="1"/>
  <c r="H77" i="7"/>
  <c r="M109" i="7" s="1"/>
  <c r="M76" i="7"/>
  <c r="K76" i="7"/>
  <c r="M73" i="7"/>
  <c r="M72" i="7"/>
  <c r="N15" i="7" s="1"/>
  <c r="H72" i="7"/>
  <c r="M102" i="7" s="1"/>
  <c r="M71" i="7"/>
  <c r="H71" i="7"/>
  <c r="M103" i="7" s="1"/>
  <c r="M70" i="7"/>
  <c r="N13" i="7" s="1"/>
  <c r="M104" i="7"/>
  <c r="Q69" i="7"/>
  <c r="P69" i="7"/>
  <c r="M69" i="7"/>
  <c r="H69" i="7"/>
  <c r="M68" i="7"/>
  <c r="H68" i="7"/>
  <c r="M67" i="7"/>
  <c r="H67" i="7"/>
  <c r="H66" i="7"/>
  <c r="M59" i="7"/>
  <c r="H59" i="7"/>
  <c r="M57" i="7"/>
  <c r="H57" i="7"/>
  <c r="M56" i="7"/>
  <c r="H56" i="7"/>
  <c r="M55" i="7"/>
  <c r="H55" i="7"/>
  <c r="H54" i="7"/>
  <c r="H52" i="7"/>
  <c r="K50" i="7"/>
  <c r="K49" i="7"/>
  <c r="E49" i="7"/>
  <c r="G45" i="7" s="1"/>
  <c r="M45" i="7" s="1"/>
  <c r="M47" i="7"/>
  <c r="H47" i="7"/>
  <c r="M46" i="7"/>
  <c r="O45" i="7"/>
  <c r="H45" i="7"/>
  <c r="M44" i="7"/>
  <c r="H44" i="7"/>
  <c r="M43" i="7"/>
  <c r="H42" i="7"/>
  <c r="H40" i="7"/>
  <c r="M37" i="7"/>
  <c r="H37" i="7"/>
  <c r="M36" i="7"/>
  <c r="M35" i="7"/>
  <c r="H35" i="7"/>
  <c r="M34" i="7"/>
  <c r="H34" i="7"/>
  <c r="M33" i="7"/>
  <c r="H33" i="7"/>
  <c r="H32" i="7"/>
  <c r="H30" i="7"/>
  <c r="H27" i="7"/>
  <c r="M118" i="7" s="1"/>
  <c r="G27" i="7"/>
  <c r="M27" i="7" s="1"/>
  <c r="O26" i="7"/>
  <c r="M26" i="7"/>
  <c r="H25" i="7"/>
  <c r="G25" i="7"/>
  <c r="M24" i="7"/>
  <c r="H24" i="7"/>
  <c r="E24" i="7"/>
  <c r="E10" i="7" s="1"/>
  <c r="O23" i="7"/>
  <c r="H23" i="7"/>
  <c r="G23" i="7"/>
  <c r="G8" i="7" s="1"/>
  <c r="E8" i="7"/>
  <c r="AG22" i="7"/>
  <c r="G17" i="7"/>
  <c r="R16" i="7"/>
  <c r="L16" i="7"/>
  <c r="M15" i="7"/>
  <c r="F14" i="7"/>
  <c r="I14" i="7" s="1"/>
  <c r="E14" i="7"/>
  <c r="G13" i="7"/>
  <c r="E13" i="7"/>
  <c r="F12" i="7"/>
  <c r="I12" i="7" s="1"/>
  <c r="E12" i="7"/>
  <c r="G10" i="7"/>
  <c r="Z7" i="7"/>
  <c r="Z6" i="7"/>
  <c r="E113" i="7" s="1"/>
  <c r="Z5" i="7"/>
  <c r="E107" i="7" s="1"/>
  <c r="T73" i="7" l="1"/>
  <c r="N14" i="7"/>
  <c r="I18" i="7"/>
  <c r="T39" i="7"/>
  <c r="T61" i="7"/>
  <c r="K125" i="8"/>
  <c r="K126" i="8" s="1"/>
  <c r="F125" i="8"/>
  <c r="M16" i="7"/>
  <c r="I16" i="7"/>
  <c r="U7" i="7"/>
  <c r="E121" i="8"/>
  <c r="T80" i="7"/>
  <c r="U15" i="7"/>
  <c r="U13" i="7"/>
  <c r="U9" i="7"/>
  <c r="U14" i="7"/>
  <c r="M10" i="7"/>
  <c r="U12" i="7"/>
  <c r="G14" i="7"/>
  <c r="M14" i="7" s="1"/>
  <c r="M111" i="7"/>
  <c r="H51" i="7"/>
  <c r="K71" i="7"/>
  <c r="K70" i="7"/>
  <c r="K68" i="7"/>
  <c r="M119" i="7"/>
  <c r="G90" i="7"/>
  <c r="G91" i="7" s="1"/>
  <c r="K60" i="7" s="1"/>
  <c r="M23" i="7"/>
  <c r="N8" i="7" s="1"/>
  <c r="N10" i="7"/>
  <c r="H61" i="7"/>
  <c r="K69" i="7"/>
  <c r="G12" i="7"/>
  <c r="M12" i="7" s="1"/>
  <c r="K24" i="7"/>
  <c r="K25" i="7"/>
  <c r="K27" i="7"/>
  <c r="AA21" i="7" s="1"/>
  <c r="F118" i="7" s="1"/>
  <c r="K118" i="7" s="1"/>
  <c r="M13" i="7"/>
  <c r="H73" i="7"/>
  <c r="AE24" i="7" s="1"/>
  <c r="AG24" i="7" s="1"/>
  <c r="H39" i="7"/>
  <c r="M17" i="7"/>
  <c r="K23" i="7"/>
  <c r="M105" i="7"/>
  <c r="M8" i="7"/>
  <c r="K67" i="7"/>
  <c r="K72" i="7"/>
  <c r="H29" i="7"/>
  <c r="M25" i="7"/>
  <c r="N12" i="7" s="1"/>
  <c r="K46" i="7"/>
  <c r="M112" i="7"/>
  <c r="K38" i="7"/>
  <c r="K37" i="7"/>
  <c r="Z10" i="7"/>
  <c r="H121" i="8" l="1"/>
  <c r="H125" i="8" s="1"/>
  <c r="H126" i="8" s="1"/>
  <c r="E125" i="8"/>
  <c r="AE21" i="7"/>
  <c r="AG21" i="7" s="1"/>
  <c r="H80" i="7"/>
  <c r="AE23" i="7"/>
  <c r="AG23" i="7" s="1"/>
  <c r="K56" i="7"/>
  <c r="U18" i="7"/>
  <c r="L107" i="7"/>
  <c r="H107" i="7" s="1"/>
  <c r="L115" i="7"/>
  <c r="H115" i="7" s="1"/>
  <c r="M125" i="7"/>
  <c r="L121" i="7"/>
  <c r="K73" i="7"/>
  <c r="Z40" i="7" s="1"/>
  <c r="AA24" i="7"/>
  <c r="F103" i="7"/>
  <c r="K103" i="7" s="1"/>
  <c r="K57" i="7"/>
  <c r="K35" i="7"/>
  <c r="K47" i="7"/>
  <c r="K34" i="7"/>
  <c r="K33" i="7"/>
  <c r="K44" i="7"/>
  <c r="K43" i="7"/>
  <c r="AB24" i="7"/>
  <c r="F102" i="7"/>
  <c r="K102" i="7" s="1"/>
  <c r="N18" i="7"/>
  <c r="Z24" i="7"/>
  <c r="Z26" i="7" s="1"/>
  <c r="F104" i="7"/>
  <c r="K104" i="7" s="1"/>
  <c r="M18" i="7"/>
  <c r="K13" i="7"/>
  <c r="Z27" i="7" s="1"/>
  <c r="K59" i="7"/>
  <c r="K45" i="7"/>
  <c r="K55" i="7"/>
  <c r="K58" i="7"/>
  <c r="K36" i="7"/>
  <c r="K77" i="7"/>
  <c r="K48" i="7"/>
  <c r="AB23" i="7" s="1"/>
  <c r="K78" i="7"/>
  <c r="K17" i="7" s="1"/>
  <c r="Y24" i="7"/>
  <c r="K29" i="7"/>
  <c r="Z36" i="7" s="1"/>
  <c r="Y21" i="7"/>
  <c r="R13" i="7"/>
  <c r="AA10" i="7"/>
  <c r="Z12" i="7"/>
  <c r="AC10" i="7" s="1"/>
  <c r="AA23" i="7" l="1"/>
  <c r="AA26" i="7" s="1"/>
  <c r="AG26" i="7"/>
  <c r="AF32" i="7" s="1"/>
  <c r="AF34" i="7" s="1"/>
  <c r="AF35" i="7" s="1"/>
  <c r="AE26" i="7"/>
  <c r="K12" i="7"/>
  <c r="R12" i="7" s="1"/>
  <c r="K15" i="7"/>
  <c r="K39" i="7"/>
  <c r="Z37" i="7" s="1"/>
  <c r="K14" i="7"/>
  <c r="R14" i="7" s="1"/>
  <c r="AB26" i="7"/>
  <c r="K10" i="7"/>
  <c r="R10" i="7" s="1"/>
  <c r="F110" i="7"/>
  <c r="K110" i="7" s="1"/>
  <c r="L125" i="7"/>
  <c r="AD21" i="7"/>
  <c r="AF21" i="7" s="1"/>
  <c r="F119" i="7"/>
  <c r="K119" i="7" s="1"/>
  <c r="K61" i="7"/>
  <c r="Z39" i="7" s="1"/>
  <c r="F111" i="7"/>
  <c r="K111" i="7" s="1"/>
  <c r="AC23" i="7"/>
  <c r="K51" i="7"/>
  <c r="Z38" i="7" s="1"/>
  <c r="AD24" i="7"/>
  <c r="AF24" i="7" s="1"/>
  <c r="F105" i="7"/>
  <c r="K79" i="7"/>
  <c r="Z41" i="7" s="1"/>
  <c r="Y23" i="7"/>
  <c r="K8" i="7"/>
  <c r="AB27" i="7"/>
  <c r="R15" i="7"/>
  <c r="AC27" i="7"/>
  <c r="R17" i="7"/>
  <c r="Y27" i="7" l="1"/>
  <c r="AA27" i="7"/>
  <c r="AH26" i="7"/>
  <c r="Z42" i="7"/>
  <c r="F106" i="7"/>
  <c r="K106" i="7" s="1"/>
  <c r="K105" i="7"/>
  <c r="K18" i="7"/>
  <c r="AD27" i="7" s="1"/>
  <c r="F120" i="7"/>
  <c r="AC26" i="7"/>
  <c r="F109" i="7"/>
  <c r="R8" i="7"/>
  <c r="R18" i="7" s="1"/>
  <c r="AB10" i="7" s="1"/>
  <c r="AD23" i="7"/>
  <c r="AF23" i="7" s="1"/>
  <c r="AF26" i="7" s="1"/>
  <c r="F112" i="7"/>
  <c r="K112" i="7" s="1"/>
  <c r="Y26" i="7"/>
  <c r="AD28" i="7" l="1"/>
  <c r="K109" i="7"/>
  <c r="F113" i="7"/>
  <c r="K113" i="7" s="1"/>
  <c r="E121" i="7"/>
  <c r="K120" i="7"/>
  <c r="AD26" i="7"/>
  <c r="AF30" i="7" s="1"/>
  <c r="K125" i="7" l="1"/>
  <c r="K126" i="7" s="1"/>
  <c r="F125" i="7"/>
  <c r="E125" i="7"/>
  <c r="H121" i="7"/>
  <c r="H125" i="7" s="1"/>
  <c r="H126" i="7" s="1"/>
  <c r="L87" i="3" l="1"/>
  <c r="K87" i="3"/>
  <c r="V25" i="3" l="1"/>
  <c r="AD22" i="3"/>
  <c r="H77" i="3"/>
  <c r="H68" i="3"/>
  <c r="H69" i="3"/>
  <c r="H70" i="3"/>
  <c r="H71" i="3"/>
  <c r="H72" i="3"/>
  <c r="H67" i="3"/>
  <c r="H56" i="3"/>
  <c r="H57" i="3"/>
  <c r="H59" i="3"/>
  <c r="H55" i="3"/>
  <c r="H44" i="3"/>
  <c r="H45" i="3"/>
  <c r="H47" i="3"/>
  <c r="H43" i="3"/>
  <c r="H34" i="3"/>
  <c r="H35" i="3"/>
  <c r="H37" i="3"/>
  <c r="H33" i="3"/>
  <c r="H24" i="3"/>
  <c r="H25" i="3"/>
  <c r="H27" i="3"/>
  <c r="H23" i="3"/>
  <c r="H30" i="3"/>
  <c r="H32" i="3"/>
  <c r="H40" i="3"/>
  <c r="H42" i="3"/>
  <c r="H52" i="3"/>
  <c r="H54" i="3"/>
  <c r="H66" i="3"/>
  <c r="I49" i="3"/>
  <c r="I50" i="3"/>
  <c r="E49" i="3"/>
  <c r="G45" i="3" s="1"/>
  <c r="H73" i="3" l="1"/>
  <c r="AB24" i="3" s="1"/>
  <c r="H61" i="3"/>
  <c r="H29" i="3"/>
  <c r="H39" i="3"/>
  <c r="H51" i="3"/>
  <c r="M45" i="3"/>
  <c r="AB21" i="3" l="1"/>
  <c r="H80" i="3"/>
  <c r="AB23" i="3"/>
  <c r="AD23" i="3" s="1"/>
  <c r="W6" i="3"/>
  <c r="W5" i="3"/>
  <c r="AD24" i="3" l="1"/>
  <c r="AB26" i="3"/>
  <c r="F84" i="3"/>
  <c r="M23" i="3"/>
  <c r="E90" i="3" l="1"/>
  <c r="F90" i="3" s="1"/>
  <c r="F93" i="3"/>
  <c r="W7" i="3" l="1"/>
  <c r="P16" i="3"/>
  <c r="I76" i="3"/>
  <c r="AD21" i="3" l="1"/>
  <c r="AD26" i="3" s="1"/>
  <c r="W10" i="3"/>
  <c r="K77" i="3"/>
  <c r="O69" i="3"/>
  <c r="N69" i="3"/>
  <c r="G13" i="3"/>
  <c r="K70" i="3"/>
  <c r="AC32" i="3" l="1"/>
  <c r="AE26" i="3"/>
  <c r="W12" i="3"/>
  <c r="X10" i="3"/>
  <c r="L13" i="3"/>
  <c r="F38" i="4" l="1"/>
  <c r="H38" i="4" s="1"/>
  <c r="D38" i="4"/>
  <c r="K72" i="3"/>
  <c r="L15" i="3" s="1"/>
  <c r="J15" i="3"/>
  <c r="J16" i="3"/>
  <c r="J17" i="3"/>
  <c r="G17" i="3"/>
  <c r="F12" i="3"/>
  <c r="J12" i="3" s="1"/>
  <c r="E12" i="3"/>
  <c r="E13" i="3"/>
  <c r="E14" i="3"/>
  <c r="E23" i="3"/>
  <c r="E8" i="3" s="1"/>
  <c r="E24" i="3"/>
  <c r="E10" i="3" s="1"/>
  <c r="F40" i="4" l="1"/>
  <c r="G84" i="3"/>
  <c r="G85" i="3" s="1"/>
  <c r="G88" i="3"/>
  <c r="G89" i="3"/>
  <c r="G93" i="3"/>
  <c r="G94" i="3" s="1"/>
  <c r="G87" i="3"/>
  <c r="K17" i="3"/>
  <c r="K59" i="3"/>
  <c r="G90" i="3" l="1"/>
  <c r="G91" i="3" s="1"/>
  <c r="I24" i="3"/>
  <c r="I27" i="3"/>
  <c r="X21" i="3" s="1"/>
  <c r="I25" i="3"/>
  <c r="I23" i="3"/>
  <c r="I71" i="3"/>
  <c r="I70" i="3"/>
  <c r="I46" i="3"/>
  <c r="I67" i="3"/>
  <c r="I72" i="3"/>
  <c r="I68" i="3"/>
  <c r="I69" i="3"/>
  <c r="K15" i="3"/>
  <c r="K16" i="3"/>
  <c r="V24" i="3" l="1"/>
  <c r="I73" i="3"/>
  <c r="W40" i="3" s="1"/>
  <c r="I29" i="3"/>
  <c r="W36" i="3" s="1"/>
  <c r="I33" i="3"/>
  <c r="I78" i="3"/>
  <c r="V21" i="3"/>
  <c r="I59" i="3"/>
  <c r="I43" i="3"/>
  <c r="I47" i="3"/>
  <c r="I34" i="3"/>
  <c r="I58" i="3"/>
  <c r="I44" i="3"/>
  <c r="I45" i="3"/>
  <c r="I48" i="3"/>
  <c r="I77" i="3"/>
  <c r="I79" i="3" s="1"/>
  <c r="W41" i="3" s="1"/>
  <c r="I38" i="3"/>
  <c r="I60" i="3"/>
  <c r="I56" i="3"/>
  <c r="I57" i="3"/>
  <c r="I37" i="3"/>
  <c r="I35" i="3"/>
  <c r="I36" i="3"/>
  <c r="I55" i="3"/>
  <c r="Y24" i="3"/>
  <c r="X24" i="3"/>
  <c r="G27" i="3"/>
  <c r="K24" i="3"/>
  <c r="K26" i="3"/>
  <c r="K68" i="3"/>
  <c r="K69" i="3"/>
  <c r="K71" i="3"/>
  <c r="K73" i="3"/>
  <c r="K76" i="3"/>
  <c r="L17" i="3"/>
  <c r="K67" i="3"/>
  <c r="I51" i="3" l="1"/>
  <c r="W38" i="3" s="1"/>
  <c r="I61" i="3"/>
  <c r="W39" i="3" s="1"/>
  <c r="I39" i="3"/>
  <c r="W37" i="3" s="1"/>
  <c r="W42" i="3" s="1"/>
  <c r="I14" i="3"/>
  <c r="P14" i="3" s="1"/>
  <c r="V23" i="3"/>
  <c r="I15" i="3"/>
  <c r="Z23" i="3"/>
  <c r="Z26" i="3" s="1"/>
  <c r="I17" i="3"/>
  <c r="P17" i="3" s="1"/>
  <c r="I12" i="3"/>
  <c r="P12" i="3" s="1"/>
  <c r="I13" i="3"/>
  <c r="W24" i="3"/>
  <c r="W26" i="3" s="1"/>
  <c r="Y23" i="3"/>
  <c r="Y26" i="3" s="1"/>
  <c r="I10" i="3"/>
  <c r="P10" i="3" s="1"/>
  <c r="X23" i="3"/>
  <c r="X26" i="3" s="1"/>
  <c r="K27" i="3"/>
  <c r="G14" i="3"/>
  <c r="K56" i="3"/>
  <c r="K57" i="3"/>
  <c r="K55" i="3"/>
  <c r="K44" i="3"/>
  <c r="K45" i="3"/>
  <c r="K46" i="3"/>
  <c r="K47" i="3"/>
  <c r="K43" i="3"/>
  <c r="K37" i="3"/>
  <c r="K36" i="3"/>
  <c r="K35" i="3"/>
  <c r="K34" i="3"/>
  <c r="K33" i="3"/>
  <c r="V26" i="3" l="1"/>
  <c r="AA26" i="3" s="1"/>
  <c r="AC30" i="3" s="1"/>
  <c r="AA23" i="3"/>
  <c r="AA24" i="3"/>
  <c r="X27" i="3"/>
  <c r="Z27" i="3"/>
  <c r="W27" i="3"/>
  <c r="P13" i="3"/>
  <c r="Y27" i="3"/>
  <c r="P15" i="3"/>
  <c r="L14" i="3"/>
  <c r="L10" i="3"/>
  <c r="H18" i="3"/>
  <c r="U3" i="3" s="1"/>
  <c r="AC29" i="3" l="1"/>
  <c r="AC34" i="3" s="1"/>
  <c r="AC35" i="3" s="1"/>
  <c r="Z10" i="3"/>
  <c r="AC23" i="3"/>
  <c r="AC24" i="3"/>
  <c r="G23" i="3"/>
  <c r="G25" i="3"/>
  <c r="G10" i="3"/>
  <c r="F17" i="4"/>
  <c r="F18" i="4"/>
  <c r="F16" i="4"/>
  <c r="F12" i="4"/>
  <c r="F14" i="4" s="1"/>
  <c r="H14" i="4" s="1"/>
  <c r="F13" i="4"/>
  <c r="F11" i="4"/>
  <c r="F9" i="4"/>
  <c r="H9" i="4" s="1"/>
  <c r="F8" i="4"/>
  <c r="F7" i="4"/>
  <c r="F6" i="4"/>
  <c r="K23" i="3" l="1"/>
  <c r="L8" i="3" s="1"/>
  <c r="G8" i="3"/>
  <c r="G12" i="3"/>
  <c r="K25" i="3"/>
  <c r="L12" i="3" s="1"/>
  <c r="F19" i="4"/>
  <c r="H19" i="4" s="1"/>
  <c r="H23" i="4" s="1"/>
  <c r="F14" i="3"/>
  <c r="J14" i="3" s="1"/>
  <c r="F13" i="3"/>
  <c r="J13" i="3" s="1"/>
  <c r="K13" i="3" s="1"/>
  <c r="F10" i="3"/>
  <c r="J10" i="3" s="1"/>
  <c r="F8" i="3"/>
  <c r="J8" i="3" s="1"/>
  <c r="L18" i="3" l="1"/>
  <c r="K8" i="3"/>
  <c r="K14" i="3"/>
  <c r="K10" i="3"/>
  <c r="K12" i="3"/>
  <c r="I38" i="1"/>
  <c r="I39" i="1"/>
  <c r="I42" i="1"/>
  <c r="I41" i="1"/>
  <c r="I40" i="1"/>
  <c r="I37" i="1"/>
  <c r="I36" i="1"/>
  <c r="I35" i="1"/>
  <c r="I34" i="1"/>
  <c r="K18" i="3" l="1"/>
  <c r="I52" i="1"/>
  <c r="O10" i="1" s="1"/>
  <c r="I51" i="1"/>
  <c r="O9" i="1" s="1"/>
  <c r="I50" i="1"/>
  <c r="O8" i="1" s="1"/>
  <c r="I49" i="1"/>
  <c r="O7" i="1" s="1"/>
  <c r="I48" i="1"/>
  <c r="O6" i="1" s="1"/>
  <c r="J15" i="1" l="1"/>
  <c r="I22" i="1" l="1"/>
  <c r="L7" i="1" s="1"/>
  <c r="I23" i="1"/>
  <c r="I24" i="1"/>
  <c r="L8" i="1" s="1"/>
  <c r="I27" i="1"/>
  <c r="I28" i="1"/>
  <c r="I29" i="1"/>
  <c r="I21" i="1"/>
  <c r="L6" i="1" s="1"/>
  <c r="O12" i="1" l="1"/>
  <c r="I8" i="3" l="1"/>
  <c r="AA21" i="3"/>
  <c r="AA28" i="3" s="1"/>
  <c r="P8" i="3" l="1"/>
  <c r="P18" i="3" s="1"/>
  <c r="V27" i="3"/>
  <c r="AC21" i="3"/>
  <c r="AC26" i="3" s="1"/>
  <c r="I18" i="3"/>
  <c r="AA27" i="3" s="1"/>
  <c r="Y10" i="3"/>
  <c r="M26" i="3"/>
  <c r="W83" i="9" l="1"/>
  <c r="S67" i="9" l="1"/>
  <c r="S68" i="9"/>
  <c r="S71" i="9"/>
  <c r="T67" i="9"/>
  <c r="T68" i="9"/>
  <c r="T69" i="9"/>
  <c r="K12" i="9" s="1"/>
  <c r="V12" i="9" s="1"/>
  <c r="T71" i="9"/>
  <c r="T72" i="9"/>
  <c r="U67" i="9"/>
  <c r="U68" i="9"/>
  <c r="U71" i="9"/>
  <c r="R67" i="9"/>
  <c r="K10" i="9" l="1"/>
  <c r="V10" i="9" s="1"/>
  <c r="U73" i="9"/>
  <c r="S73" i="9"/>
  <c r="V73" i="9" s="1"/>
  <c r="R73" i="9"/>
  <c r="T73" i="9"/>
  <c r="AE24" i="9" l="1"/>
  <c r="AE26" i="9" s="1"/>
  <c r="F103" i="9"/>
  <c r="K14" i="9"/>
  <c r="AD40" i="9" l="1"/>
  <c r="AD42" i="9" s="1"/>
  <c r="Q97" i="9"/>
  <c r="Q99" i="9" s="1"/>
  <c r="AE27" i="9"/>
  <c r="V14" i="9"/>
  <c r="AC27" i="9"/>
  <c r="K18" i="9"/>
  <c r="AH27" i="9" s="1"/>
  <c r="V8" i="9"/>
  <c r="AH24" i="9"/>
  <c r="AC26" i="9"/>
  <c r="AH26" i="9" s="1"/>
  <c r="AJ30" i="9" s="1"/>
  <c r="AJ24" i="9" l="1"/>
  <c r="AJ26" i="9" s="1"/>
  <c r="AH28" i="9"/>
  <c r="V18" i="9"/>
  <c r="AH10" i="9" s="1"/>
  <c r="K125" i="9" l="1"/>
  <c r="K126" i="9" s="1"/>
  <c r="F125" i="9"/>
</calcChain>
</file>

<file path=xl/sharedStrings.xml><?xml version="1.0" encoding="utf-8"?>
<sst xmlns="http://schemas.openxmlformats.org/spreadsheetml/2006/main" count="1037" uniqueCount="174">
  <si>
    <t>Zateplení ubytoven a DK</t>
  </si>
  <si>
    <t>výměra zateplovaných obvodových stěn</t>
  </si>
  <si>
    <t>výměra vyměňovaných výplní otvorů</t>
  </si>
  <si>
    <t>výměra stíněných ploch s ručním elektr. ovl.</t>
  </si>
  <si>
    <t>výměra ost. ploch s automat ovlád. osvtělení</t>
  </si>
  <si>
    <t>m2</t>
  </si>
  <si>
    <t>Kč</t>
  </si>
  <si>
    <t>akumulace k FVE</t>
  </si>
  <si>
    <t>špičkový výkon instalované FVE  /kW/</t>
  </si>
  <si>
    <t>YC</t>
  </si>
  <si>
    <t>YD</t>
  </si>
  <si>
    <t>YE</t>
  </si>
  <si>
    <t>Q</t>
  </si>
  <si>
    <t>součet</t>
  </si>
  <si>
    <t>stěny</t>
  </si>
  <si>
    <t>střechy</t>
  </si>
  <si>
    <t>výplně</t>
  </si>
  <si>
    <t xml:space="preserve">po objektech </t>
  </si>
  <si>
    <t>SoD</t>
  </si>
  <si>
    <t>YA</t>
  </si>
  <si>
    <t>PENB /parametrické údaje/</t>
  </si>
  <si>
    <t>hromosvod</t>
  </si>
  <si>
    <t>podl. nad venk</t>
  </si>
  <si>
    <t>k zemíně</t>
  </si>
  <si>
    <t>kce k soused.</t>
  </si>
  <si>
    <t>k nevytápěným</t>
  </si>
  <si>
    <t>kumulativní rozpočet</t>
  </si>
  <si>
    <t>výměra zateplovaných plochých  a šikm. střech</t>
  </si>
  <si>
    <t>výměra k zemině</t>
  </si>
  <si>
    <t>výměra k nevytápěným prostorům</t>
  </si>
  <si>
    <t>FVE /kW/</t>
  </si>
  <si>
    <t>osvětlení  /m2 podl. pl./</t>
  </si>
  <si>
    <t>I.NP</t>
  </si>
  <si>
    <t>I.PP</t>
  </si>
  <si>
    <t>úložiště /kW/  kapacita</t>
  </si>
  <si>
    <t>úložiště /kW/ jmenovitý</t>
  </si>
  <si>
    <t>údaje ze smlouvy ve znění dodatku /parametrické údaje/</t>
  </si>
  <si>
    <t xml:space="preserve">výměra stíněných ploch </t>
  </si>
  <si>
    <t>původní</t>
  </si>
  <si>
    <t xml:space="preserve">       PENB</t>
  </si>
  <si>
    <t>EP /parametrické údaje/</t>
  </si>
  <si>
    <t>výměra stíněných ploch</t>
  </si>
  <si>
    <t xml:space="preserve">výměra osvětl. ploch </t>
  </si>
  <si>
    <t>EP 2022</t>
  </si>
  <si>
    <t>EP 2024</t>
  </si>
  <si>
    <t>výkon FVE</t>
  </si>
  <si>
    <t>špičkový výkon instalované FVE  /kWp/</t>
  </si>
  <si>
    <t>koncept</t>
  </si>
  <si>
    <t>podl.plocha Malenda</t>
  </si>
  <si>
    <t>II.-V. NP</t>
  </si>
  <si>
    <t>II-VII</t>
  </si>
  <si>
    <t>II-III. NP</t>
  </si>
  <si>
    <t>IV.NP</t>
  </si>
  <si>
    <t>celkem</t>
  </si>
  <si>
    <t>podm.dotace</t>
  </si>
  <si>
    <t>akumulace k FVE /kW/</t>
  </si>
  <si>
    <t>akt x podm.dot</t>
  </si>
  <si>
    <t>výměra zatepl. plochých  a šikm. střech</t>
  </si>
  <si>
    <t>výměra stíněných pl. s ručním elektr. ovl.</t>
  </si>
  <si>
    <t>výměra ost. ploch s automat ovlád. osv.</t>
  </si>
  <si>
    <t>způsobilé /kum</t>
  </si>
  <si>
    <t>součtově /ctrl</t>
  </si>
  <si>
    <t>akt. zhot.par</t>
  </si>
  <si>
    <t>VRN</t>
  </si>
  <si>
    <t>průměr</t>
  </si>
  <si>
    <t>SoD  zhot. Kč</t>
  </si>
  <si>
    <t>součet EP 22</t>
  </si>
  <si>
    <t>zateplení</t>
  </si>
  <si>
    <t>YC+YD+YE</t>
  </si>
  <si>
    <t>stínění</t>
  </si>
  <si>
    <t>osvětlení</t>
  </si>
  <si>
    <t>FVE</t>
  </si>
  <si>
    <t>akumulace</t>
  </si>
  <si>
    <t>koeficient</t>
  </si>
  <si>
    <t>vč. alikq VRN</t>
  </si>
  <si>
    <t>součet EP 24</t>
  </si>
  <si>
    <t>kumul.roz. 24</t>
  </si>
  <si>
    <t>kumul. roz.24</t>
  </si>
  <si>
    <t>výzva x 1,1</t>
  </si>
  <si>
    <t>D1 MNP</t>
  </si>
  <si>
    <t>D1 VCP</t>
  </si>
  <si>
    <t>SoD kmen</t>
  </si>
  <si>
    <t>II.NP</t>
  </si>
  <si>
    <t>III.NP</t>
  </si>
  <si>
    <t>V.NP</t>
  </si>
  <si>
    <t>VII.NP</t>
  </si>
  <si>
    <t>VI.NP</t>
  </si>
  <si>
    <t>aktuálně</t>
  </si>
  <si>
    <t xml:space="preserve">provedeno - nelze </t>
  </si>
  <si>
    <t>ve výkazech výměr není uveden parametr podlahové plochy úprav vnitřního osvětlení</t>
  </si>
  <si>
    <t>kumulák</t>
  </si>
  <si>
    <t>rozdíl /navýšení</t>
  </si>
  <si>
    <t>plochy zjištěny planimetricky z aktuální PD</t>
  </si>
  <si>
    <t>Cena</t>
  </si>
  <si>
    <t>SOD I.</t>
  </si>
  <si>
    <t>SOD II.</t>
  </si>
  <si>
    <t>SOD III.</t>
  </si>
  <si>
    <t>neuznatelené</t>
  </si>
  <si>
    <t>D</t>
  </si>
  <si>
    <t>II.</t>
  </si>
  <si>
    <t>III.</t>
  </si>
  <si>
    <t>Wp</t>
  </si>
  <si>
    <t>odpočet EPS FVE</t>
  </si>
  <si>
    <t>přílušná část EPS</t>
  </si>
  <si>
    <t>I. vč. Wp</t>
  </si>
  <si>
    <t>DPH</t>
  </si>
  <si>
    <t>neuznatelné</t>
  </si>
  <si>
    <t>FNOL</t>
  </si>
  <si>
    <t>okna AL LOGIC</t>
  </si>
  <si>
    <t>SoD I., II. a III. etapa</t>
  </si>
  <si>
    <t>YD - okna AL LOGIC</t>
  </si>
  <si>
    <t>OK</t>
  </si>
  <si>
    <t>nad kumulák</t>
  </si>
  <si>
    <t xml:space="preserve">odpočet 32 vyměněných oken </t>
  </si>
  <si>
    <t>dopočet 72  vyměněných oken Allogic</t>
  </si>
  <si>
    <t>dotace</t>
  </si>
  <si>
    <t>ctrl</t>
  </si>
  <si>
    <t>nad akumulák</t>
  </si>
  <si>
    <t>neuznatelné náklady na energetická opatření nad akumulativní rozpočet - jednotkové ceny nad limitem pro postytnutí dotace</t>
  </si>
  <si>
    <t>celková výše dotace</t>
  </si>
  <si>
    <t>stěny, střechy</t>
  </si>
  <si>
    <t>vč. EPS</t>
  </si>
  <si>
    <t>1+2+3+4</t>
  </si>
  <si>
    <t>součet způsob.</t>
  </si>
  <si>
    <t>způsob - dotace</t>
  </si>
  <si>
    <t>SoD - dotace</t>
  </si>
  <si>
    <t>neuznatelné náklady na s energ. opatř. nesouvisejícími výdaji - zejm. úpravy lodžií /vč. zábradlí/, hromosvod, hydroizolace základů</t>
  </si>
  <si>
    <t>energ.opatř.</t>
  </si>
  <si>
    <t>vč. akumulace</t>
  </si>
  <si>
    <t>v D1 k YD nejsou odpočítána okna</t>
  </si>
  <si>
    <t>koef. z podm</t>
  </si>
  <si>
    <t>výplně otvorů  Q</t>
  </si>
  <si>
    <t xml:space="preserve">součet </t>
  </si>
  <si>
    <t>SoD I DK</t>
  </si>
  <si>
    <t>SoD II -YCDE</t>
  </si>
  <si>
    <t>SoD III YA</t>
  </si>
  <si>
    <t>typ výdaje</t>
  </si>
  <si>
    <t>FVE v kumuláku</t>
  </si>
  <si>
    <t>cena z SoD</t>
  </si>
  <si>
    <t>nesouvisející</t>
  </si>
  <si>
    <t>Allogic</t>
  </si>
  <si>
    <t>odečet bude v D2</t>
  </si>
  <si>
    <t>ctrl / součet</t>
  </si>
  <si>
    <t>způsobilé opatř</t>
  </si>
  <si>
    <t>způsobilé SoD</t>
  </si>
  <si>
    <t>nezpůs. SoD</t>
  </si>
  <si>
    <t>nezpůsob. op.</t>
  </si>
  <si>
    <t>rozdíl +/ -</t>
  </si>
  <si>
    <t>neuznatelné náklady na s energ. opatř. nesouvisejícími výdaji - zejm. úpravy lodžií /vč. zábradlí/, hromosvod, hydroizolace základů, rekonstrukce kanalizace</t>
  </si>
  <si>
    <t>kumulák x dotace</t>
  </si>
  <si>
    <t>součtově</t>
  </si>
  <si>
    <t>D2 MNP - věcně neuzn.</t>
  </si>
  <si>
    <t>D2 MNP - věcně uzn.</t>
  </si>
  <si>
    <t>D2 VCP - věcně neuzn.</t>
  </si>
  <si>
    <t>D2 VCP - věcně uzn.</t>
  </si>
  <si>
    <t xml:space="preserve">ctrl </t>
  </si>
  <si>
    <t>aliq VRN</t>
  </si>
  <si>
    <t>D2</t>
  </si>
  <si>
    <t>D1</t>
  </si>
  <si>
    <t>součet s D1</t>
  </si>
  <si>
    <t>součet D1+D2</t>
  </si>
  <si>
    <t>BU</t>
  </si>
  <si>
    <t>Yc,d,e, BU</t>
  </si>
  <si>
    <t>odpočet v D2</t>
  </si>
  <si>
    <t>nejsou</t>
  </si>
  <si>
    <t>nezpůsobilé</t>
  </si>
  <si>
    <t>SoD + D1 +  D2</t>
  </si>
  <si>
    <t>SoD - způsobilé</t>
  </si>
  <si>
    <t>po opatřeních</t>
  </si>
  <si>
    <t>údaj z  SoD</t>
  </si>
  <si>
    <t xml:space="preserve">po opatřeních </t>
  </si>
  <si>
    <t>kWp</t>
  </si>
  <si>
    <t>% ze součtu</t>
  </si>
  <si>
    <t>BÚ 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</si>
</sst>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K_č_-;\-* #,##0.00\ _K_č_-;_-* &quot;-&quot;??\ _K_č_-;_-@_-"/>
    <numFmt numFmtId="164" formatCode="_-* #,##0.0\ _K_č_-;\-* #,##0.0\ _K_č_-;_-* &quot;-&quot;??\ _K_č_-;_-@_-"/>
    <numFmt numFmtId="165" formatCode="_-* #,##0\ _K_č_-;\-* #,##0\ _K_č_-;_-* &quot;-&quot;??\ _K_č_-;_-@_-"/>
    <numFmt numFmtId="166" formatCode="_-* #,##0.0000000\ _K_č_-;\-* #,##0.0000000\ _K_č_-;_-* &quot;-&quot;??\ _K_č_-;_-@_-"/>
    <numFmt numFmtId="167" formatCode="_-* #,##0.0000\ _K_č_-;\-* #,##0.0000\ _K_č_-;_-* &quot;-&quot;??\ _K_č_-;_-@_-"/>
    <numFmt numFmtId="168" formatCode="_-* #,##0.000\ _K_č_-;\-* #,##0.000\ _K_č_-;_-* &quot;-&quot;????\ _K_č_-;_-@_-"/>
    <numFmt numFmtId="169" formatCode="0.0"/>
    <numFmt numFmtId="170" formatCode="_-* #,##0.000\ _K_č_-;\-* #,##0.000\ _K_č_-;_-* &quot;-&quot;?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5" fontId="0" fillId="0" borderId="0" xfId="0" applyNumberFormat="1"/>
    <xf numFmtId="0" fontId="2" fillId="0" borderId="0" xfId="0" applyFont="1"/>
    <xf numFmtId="165" fontId="3" fillId="0" borderId="0" xfId="1" applyNumberFormat="1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165" fontId="0" fillId="0" borderId="0" xfId="1" applyNumberFormat="1" applyFont="1" applyAlignment="1">
      <alignment horizontal="left" indent="6"/>
    </xf>
    <xf numFmtId="14" fontId="0" fillId="0" borderId="0" xfId="0" applyNumberFormat="1"/>
    <xf numFmtId="0" fontId="0" fillId="0" borderId="0" xfId="0" applyFont="1" applyAlignment="1">
      <alignment horizontal="left" indent="6"/>
    </xf>
    <xf numFmtId="0" fontId="0" fillId="0" borderId="0" xfId="0" applyFont="1" applyAlignment="1">
      <alignment horizontal="left" indent="7"/>
    </xf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165" fontId="0" fillId="2" borderId="1" xfId="1" applyNumberFormat="1" applyFont="1" applyFill="1" applyBorder="1"/>
    <xf numFmtId="165" fontId="0" fillId="2" borderId="3" xfId="1" applyNumberFormat="1" applyFont="1" applyFill="1" applyBorder="1"/>
    <xf numFmtId="1" fontId="0" fillId="2" borderId="1" xfId="0" applyNumberFormat="1" applyFill="1" applyBorder="1"/>
    <xf numFmtId="165" fontId="1" fillId="2" borderId="1" xfId="1" applyNumberFormat="1" applyFont="1" applyFill="1" applyBorder="1"/>
    <xf numFmtId="165" fontId="0" fillId="2" borderId="1" xfId="0" applyNumberFormat="1" applyFill="1" applyBorder="1"/>
    <xf numFmtId="165" fontId="0" fillId="2" borderId="3" xfId="0" applyNumberFormat="1" applyFill="1" applyBorder="1"/>
    <xf numFmtId="0" fontId="0" fillId="2" borderId="4" xfId="0" applyFill="1" applyBorder="1" applyAlignment="1">
      <alignment horizontal="left" indent="4"/>
    </xf>
    <xf numFmtId="0" fontId="0" fillId="2" borderId="1" xfId="0" applyFill="1" applyBorder="1" applyAlignment="1">
      <alignment horizontal="left" indent="4"/>
    </xf>
    <xf numFmtId="0" fontId="0" fillId="2" borderId="4" xfId="0" applyFill="1" applyBorder="1" applyAlignment="1">
      <alignment horizontal="left" indent="7"/>
    </xf>
    <xf numFmtId="0" fontId="0" fillId="2" borderId="1" xfId="0" applyFill="1" applyBorder="1" applyAlignment="1">
      <alignment horizontal="left" indent="8"/>
    </xf>
    <xf numFmtId="1" fontId="0" fillId="2" borderId="4" xfId="0" applyNumberFormat="1" applyFill="1" applyBorder="1"/>
    <xf numFmtId="0" fontId="0" fillId="2" borderId="1" xfId="0" applyFont="1" applyFill="1" applyBorder="1"/>
    <xf numFmtId="165" fontId="6" fillId="2" borderId="3" xfId="0" applyNumberFormat="1" applyFont="1" applyFill="1" applyBorder="1"/>
    <xf numFmtId="1" fontId="0" fillId="2" borderId="4" xfId="0" applyNumberFormat="1" applyFill="1" applyBorder="1" applyAlignment="1">
      <alignment horizontal="left" indent="4"/>
    </xf>
    <xf numFmtId="1" fontId="0" fillId="2" borderId="1" xfId="0" applyNumberFormat="1" applyFill="1" applyBorder="1" applyAlignment="1">
      <alignment horizontal="left" indent="4"/>
    </xf>
    <xf numFmtId="1" fontId="0" fillId="2" borderId="4" xfId="0" applyNumberFormat="1" applyFill="1" applyBorder="1" applyAlignment="1">
      <alignment horizontal="left" indent="7"/>
    </xf>
    <xf numFmtId="1" fontId="0" fillId="2" borderId="1" xfId="0" applyNumberFormat="1" applyFill="1" applyBorder="1" applyAlignment="1">
      <alignment horizontal="left" indent="8"/>
    </xf>
    <xf numFmtId="165" fontId="0" fillId="2" borderId="0" xfId="1" applyNumberFormat="1" applyFont="1" applyFill="1"/>
    <xf numFmtId="0" fontId="6" fillId="2" borderId="1" xfId="0" applyFont="1" applyFill="1" applyBorder="1"/>
    <xf numFmtId="0" fontId="0" fillId="2" borderId="4" xfId="0" applyFill="1" applyBorder="1"/>
    <xf numFmtId="0" fontId="7" fillId="2" borderId="0" xfId="0" applyFont="1" applyFill="1" applyBorder="1"/>
    <xf numFmtId="165" fontId="0" fillId="2" borderId="0" xfId="1" applyNumberFormat="1" applyFont="1" applyFill="1" applyBorder="1"/>
    <xf numFmtId="1" fontId="0" fillId="2" borderId="0" xfId="0" applyNumberFormat="1" applyFill="1" applyBorder="1"/>
    <xf numFmtId="0" fontId="0" fillId="2" borderId="2" xfId="0" applyFill="1" applyBorder="1"/>
    <xf numFmtId="0" fontId="7" fillId="2" borderId="2" xfId="0" applyFont="1" applyFill="1" applyBorder="1"/>
    <xf numFmtId="1" fontId="0" fillId="2" borderId="2" xfId="0" applyNumberFormat="1" applyFill="1" applyBorder="1"/>
    <xf numFmtId="165" fontId="0" fillId="2" borderId="2" xfId="1" applyNumberFormat="1" applyFont="1" applyFill="1" applyBorder="1"/>
    <xf numFmtId="0" fontId="7" fillId="2" borderId="1" xfId="0" applyFont="1" applyFill="1" applyBorder="1"/>
    <xf numFmtId="165" fontId="1" fillId="2" borderId="3" xfId="1" applyNumberFormat="1" applyFont="1" applyFill="1" applyBorder="1"/>
    <xf numFmtId="165" fontId="0" fillId="2" borderId="0" xfId="0" applyNumberFormat="1" applyFill="1" applyBorder="1"/>
    <xf numFmtId="0" fontId="5" fillId="2" borderId="1" xfId="0" applyFont="1" applyFill="1" applyBorder="1"/>
    <xf numFmtId="1" fontId="6" fillId="2" borderId="1" xfId="0" applyNumberFormat="1" applyFont="1" applyFill="1" applyBorder="1"/>
    <xf numFmtId="167" fontId="0" fillId="2" borderId="0" xfId="1" applyNumberFormat="1" applyFont="1" applyFill="1"/>
    <xf numFmtId="165" fontId="0" fillId="2" borderId="0" xfId="0" applyNumberFormat="1" applyFill="1"/>
    <xf numFmtId="165" fontId="3" fillId="2" borderId="0" xfId="1" applyNumberFormat="1" applyFont="1" applyFill="1"/>
    <xf numFmtId="1" fontId="3" fillId="2" borderId="1" xfId="0" applyNumberFormat="1" applyFont="1" applyFill="1" applyBorder="1"/>
    <xf numFmtId="0" fontId="3" fillId="2" borderId="1" xfId="0" applyFont="1" applyFill="1" applyBorder="1"/>
    <xf numFmtId="165" fontId="6" fillId="2" borderId="3" xfId="1" applyNumberFormat="1" applyFont="1" applyFill="1" applyBorder="1"/>
    <xf numFmtId="0" fontId="0" fillId="3" borderId="3" xfId="0" applyFill="1" applyBorder="1"/>
    <xf numFmtId="165" fontId="0" fillId="3" borderId="3" xfId="1" applyNumberFormat="1" applyFont="1" applyFill="1" applyBorder="1"/>
    <xf numFmtId="167" fontId="0" fillId="3" borderId="1" xfId="0" applyNumberFormat="1" applyFill="1" applyBorder="1"/>
    <xf numFmtId="165" fontId="0" fillId="3" borderId="3" xfId="0" applyNumberFormat="1" applyFill="1" applyBorder="1"/>
    <xf numFmtId="165" fontId="6" fillId="3" borderId="3" xfId="0" applyNumberFormat="1" applyFont="1" applyFill="1" applyBorder="1"/>
    <xf numFmtId="165" fontId="0" fillId="3" borderId="1" xfId="1" applyNumberFormat="1" applyFont="1" applyFill="1" applyBorder="1"/>
    <xf numFmtId="0" fontId="0" fillId="2" borderId="0" xfId="0" applyFill="1" applyAlignment="1">
      <alignment horizontal="right"/>
    </xf>
    <xf numFmtId="165" fontId="0" fillId="0" borderId="0" xfId="1" applyNumberFormat="1" applyFont="1" applyFill="1" applyBorder="1"/>
    <xf numFmtId="0" fontId="0" fillId="2" borderId="1" xfId="0" applyFill="1" applyBorder="1" applyAlignment="1">
      <alignment horizontal="left" indent="2"/>
    </xf>
    <xf numFmtId="165" fontId="0" fillId="2" borderId="1" xfId="0" applyNumberFormat="1" applyFont="1" applyFill="1" applyBorder="1"/>
    <xf numFmtId="167" fontId="0" fillId="2" borderId="5" xfId="1" applyNumberFormat="1" applyFont="1" applyFill="1" applyBorder="1"/>
    <xf numFmtId="168" fontId="0" fillId="2" borderId="1" xfId="0" applyNumberFormat="1" applyFill="1" applyBorder="1"/>
    <xf numFmtId="168" fontId="0" fillId="2" borderId="0" xfId="0" applyNumberFormat="1" applyFill="1" applyBorder="1"/>
    <xf numFmtId="165" fontId="6" fillId="2" borderId="1" xfId="0" applyNumberFormat="1" applyFont="1" applyFill="1" applyBorder="1"/>
    <xf numFmtId="165" fontId="7" fillId="2" borderId="1" xfId="1" applyNumberFormat="1" applyFont="1" applyFill="1" applyBorder="1"/>
    <xf numFmtId="0" fontId="0" fillId="0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/>
    <xf numFmtId="0" fontId="0" fillId="3" borderId="1" xfId="0" applyFont="1" applyFill="1" applyBorder="1"/>
    <xf numFmtId="0" fontId="0" fillId="3" borderId="0" xfId="0" applyFill="1"/>
    <xf numFmtId="0" fontId="0" fillId="0" borderId="0" xfId="0" applyFill="1"/>
    <xf numFmtId="0" fontId="0" fillId="3" borderId="0" xfId="0" applyFill="1" applyBorder="1"/>
    <xf numFmtId="165" fontId="0" fillId="3" borderId="0" xfId="0" applyNumberFormat="1" applyFill="1" applyBorder="1"/>
    <xf numFmtId="0" fontId="7" fillId="4" borderId="1" xfId="0" applyFont="1" applyFill="1" applyBorder="1"/>
    <xf numFmtId="165" fontId="7" fillId="4" borderId="1" xfId="1" applyNumberFormat="1" applyFont="1" applyFill="1" applyBorder="1"/>
    <xf numFmtId="165" fontId="4" fillId="2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" fontId="3" fillId="2" borderId="0" xfId="0" applyNumberFormat="1" applyFont="1" applyFill="1" applyBorder="1"/>
    <xf numFmtId="16" fontId="7" fillId="2" borderId="1" xfId="0" applyNumberFormat="1" applyFont="1" applyFill="1" applyBorder="1"/>
    <xf numFmtId="165" fontId="7" fillId="2" borderId="1" xfId="0" applyNumberFormat="1" applyFont="1" applyFill="1" applyBorder="1"/>
    <xf numFmtId="165" fontId="7" fillId="2" borderId="0" xfId="0" applyNumberFormat="1" applyFont="1" applyFill="1"/>
    <xf numFmtId="165" fontId="6" fillId="2" borderId="0" xfId="0" applyNumberFormat="1" applyFont="1" applyFill="1"/>
    <xf numFmtId="0" fontId="4" fillId="2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164" fontId="0" fillId="2" borderId="1" xfId="1" applyNumberFormat="1" applyFont="1" applyFill="1" applyBorder="1"/>
    <xf numFmtId="169" fontId="0" fillId="2" borderId="1" xfId="0" applyNumberFormat="1" applyFill="1" applyBorder="1"/>
    <xf numFmtId="170" fontId="0" fillId="2" borderId="0" xfId="0" applyNumberFormat="1" applyFill="1"/>
    <xf numFmtId="170" fontId="0" fillId="2" borderId="0" xfId="0" applyNumberFormat="1" applyFill="1" applyBorder="1"/>
    <xf numFmtId="165" fontId="0" fillId="3" borderId="6" xfId="0" applyNumberFormat="1" applyFill="1" applyBorder="1"/>
    <xf numFmtId="165" fontId="0" fillId="2" borderId="7" xfId="1" applyNumberFormat="1" applyFont="1" applyFill="1" applyBorder="1"/>
    <xf numFmtId="0" fontId="0" fillId="2" borderId="8" xfId="0" applyFill="1" applyBorder="1"/>
    <xf numFmtId="165" fontId="0" fillId="2" borderId="5" xfId="0" applyNumberFormat="1" applyFill="1" applyBorder="1"/>
    <xf numFmtId="165" fontId="0" fillId="3" borderId="0" xfId="0" applyNumberFormat="1" applyFill="1"/>
    <xf numFmtId="165" fontId="0" fillId="3" borderId="0" xfId="1" applyNumberFormat="1" applyFont="1" applyFill="1"/>
    <xf numFmtId="0" fontId="0" fillId="3" borderId="1" xfId="0" applyFill="1" applyBorder="1"/>
    <xf numFmtId="165" fontId="0" fillId="2" borderId="9" xfId="1" applyNumberFormat="1" applyFont="1" applyFill="1" applyBorder="1"/>
    <xf numFmtId="164" fontId="0" fillId="2" borderId="1" xfId="0" applyNumberFormat="1" applyFill="1" applyBorder="1"/>
    <xf numFmtId="165" fontId="0" fillId="2" borderId="10" xfId="0" applyNumberFormat="1" applyFill="1" applyBorder="1"/>
    <xf numFmtId="165" fontId="0" fillId="3" borderId="4" xfId="1" applyNumberFormat="1" applyFont="1" applyFill="1" applyBorder="1"/>
    <xf numFmtId="164" fontId="0" fillId="2" borderId="6" xfId="0" applyNumberFormat="1" applyFill="1" applyBorder="1"/>
    <xf numFmtId="165" fontId="0" fillId="2" borderId="4" xfId="1" applyNumberFormat="1" applyFont="1" applyFill="1" applyBorder="1"/>
    <xf numFmtId="43" fontId="0" fillId="2" borderId="0" xfId="1" applyNumberFormat="1" applyFont="1" applyFill="1" applyBorder="1"/>
    <xf numFmtId="43" fontId="0" fillId="2" borderId="1" xfId="1" applyNumberFormat="1" applyFont="1" applyFill="1" applyBorder="1"/>
    <xf numFmtId="165" fontId="3" fillId="2" borderId="1" xfId="1" applyNumberFormat="1" applyFont="1" applyFill="1" applyBorder="1"/>
    <xf numFmtId="168" fontId="3" fillId="2" borderId="1" xfId="0" applyNumberFormat="1" applyFont="1" applyFill="1" applyBorder="1"/>
    <xf numFmtId="43" fontId="3" fillId="2" borderId="1" xfId="1" applyFont="1" applyFill="1" applyBorder="1"/>
    <xf numFmtId="4" fontId="0" fillId="2" borderId="1" xfId="0" applyNumberFormat="1" applyFill="1" applyBorder="1"/>
    <xf numFmtId="4" fontId="3" fillId="2" borderId="1" xfId="0" applyNumberFormat="1" applyFont="1" applyFill="1" applyBorder="1"/>
    <xf numFmtId="165" fontId="2" fillId="3" borderId="3" xfId="1" applyNumberFormat="1" applyFont="1" applyFill="1" applyBorder="1"/>
    <xf numFmtId="43" fontId="0" fillId="2" borderId="0" xfId="0" applyNumberFormat="1" applyFill="1"/>
    <xf numFmtId="0" fontId="3" fillId="2" borderId="0" xfId="0" applyFont="1" applyFill="1"/>
    <xf numFmtId="4" fontId="3" fillId="2" borderId="0" xfId="0" applyNumberFormat="1" applyFont="1" applyFill="1"/>
    <xf numFmtId="170" fontId="3" fillId="2" borderId="0" xfId="0" applyNumberFormat="1" applyFont="1" applyFill="1"/>
    <xf numFmtId="0" fontId="8" fillId="2" borderId="0" xfId="0" applyFont="1" applyFill="1"/>
    <xf numFmtId="43" fontId="8" fillId="2" borderId="0" xfId="0" applyNumberFormat="1" applyFont="1" applyFill="1"/>
    <xf numFmtId="165" fontId="8" fillId="2" borderId="1" xfId="1" applyNumberFormat="1" applyFont="1" applyFill="1" applyBorder="1"/>
    <xf numFmtId="43" fontId="8" fillId="2" borderId="1" xfId="1" applyNumberFormat="1" applyFont="1" applyFill="1" applyBorder="1"/>
    <xf numFmtId="165" fontId="6" fillId="2" borderId="1" xfId="1" applyNumberFormat="1" applyFont="1" applyFill="1" applyBorder="1"/>
    <xf numFmtId="165" fontId="7" fillId="3" borderId="1" xfId="1" applyNumberFormat="1" applyFont="1" applyFill="1" applyBorder="1"/>
    <xf numFmtId="43" fontId="0" fillId="0" borderId="0" xfId="1" applyFont="1"/>
    <xf numFmtId="43" fontId="4" fillId="0" borderId="0" xfId="1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PGRADE%20%20-%20Rozpo&#269;et%20dodatek%20&#269;.2%20Zateplen&#237;%20ubytoven%20a%20D&#283;tsk&#233;%20kliniky%20FNOL%20-%20Sn&#237;&#382;en&#237;%20energetick&#233;%20n&#225;ro&#269;nosti%20(YC+YD+YE)%20(2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ZL 14 MNP - Odpočet pozic..."/>
      <sheetName val="ZL 15 VCP SK - SK"/>
      <sheetName val="ZL 15 VCP EKV - EKV"/>
      <sheetName val="ZL 15 VCP - Napojení ulož..."/>
      <sheetName val="ZL 16 VCP - Zámečník"/>
      <sheetName val="ZL 17 VCP - Opláštění SDK..."/>
      <sheetName val="ZL 18 VCP - Stavební úpra..."/>
      <sheetName val="ZL 19 VCP - Betonová ploc..."/>
      <sheetName val=" ZL  20 MNP Yc - Odstraně..."/>
      <sheetName val=" ZL  20 VCP Yc - Odstraně..."/>
      <sheetName val=" ZL 21 MNP Yd - Odstraněn..."/>
      <sheetName val=" ZL21 VCP Yd - Odstranění..."/>
      <sheetName val=" ZL 22 MNP Ye - Odstraněn..."/>
      <sheetName val=" ZL 22 VCP Ye - Odstraněn..."/>
      <sheetName val=" ZL 23 VCP - Zakrývání ko..."/>
      <sheetName val="ZL 24 MNP - Zateplovací s..."/>
      <sheetName val="ZL 24 VCP - Zateplovací s..."/>
      <sheetName val="ZL 25 VCP - Kotvení stěno..."/>
      <sheetName val="ZL 26 VCP - Yc vnitřní st..."/>
      <sheetName val="ZL 27 VCP - Parapety Yc"/>
      <sheetName val="ZL 28 VCP - Parapety  Ye"/>
      <sheetName val="ZL 29 VCP - Zpevněná ploc..."/>
      <sheetName val="ZL 30 VCP - VRN"/>
    </sheetNames>
    <sheetDataSet>
      <sheetData sheetId="0">
        <row r="95">
          <cell r="BP95">
            <v>-1306750.262721238</v>
          </cell>
        </row>
        <row r="99">
          <cell r="CJ99">
            <v>37570.958135222703</v>
          </cell>
          <cell r="CL99">
            <v>48613.016474171054</v>
          </cell>
        </row>
        <row r="102">
          <cell r="CJ102">
            <v>440493.4979844148</v>
          </cell>
        </row>
        <row r="103">
          <cell r="BI103">
            <v>-669369.63818304054</v>
          </cell>
        </row>
        <row r="104">
          <cell r="BK104">
            <v>274751.52388089395</v>
          </cell>
        </row>
        <row r="105">
          <cell r="BP105">
            <v>-775890.07857612637</v>
          </cell>
        </row>
        <row r="106">
          <cell r="CK106">
            <v>392519.93818977207</v>
          </cell>
        </row>
        <row r="107">
          <cell r="BM107">
            <v>-646951.17595540208</v>
          </cell>
        </row>
        <row r="108">
          <cell r="BO108">
            <v>367356.71959321626</v>
          </cell>
        </row>
        <row r="109">
          <cell r="BJ109">
            <v>38738.885547634709</v>
          </cell>
          <cell r="CK109">
            <v>180901.13101818351</v>
          </cell>
        </row>
        <row r="110">
          <cell r="BP110">
            <v>-231082.62963134804</v>
          </cell>
        </row>
        <row r="111">
          <cell r="CK111">
            <v>292475.58997335652</v>
          </cell>
        </row>
        <row r="112">
          <cell r="BJ112">
            <v>725705.76342601818</v>
          </cell>
        </row>
        <row r="113">
          <cell r="BK113">
            <v>48815.005346224993</v>
          </cell>
        </row>
        <row r="114">
          <cell r="BK114">
            <v>34868.460099792101</v>
          </cell>
        </row>
        <row r="115">
          <cell r="BO115">
            <v>45707.871689444211</v>
          </cell>
        </row>
        <row r="118">
          <cell r="BI118">
            <v>-669369.63818304054</v>
          </cell>
          <cell r="CM118">
            <v>276540.00428144966</v>
          </cell>
        </row>
        <row r="124">
          <cell r="BL124">
            <v>214513.98</v>
          </cell>
          <cell r="BM124">
            <v>220506.04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I12"/>
  <sheetViews>
    <sheetView workbookViewId="0">
      <selection activeCell="Q21" sqref="Q21"/>
    </sheetView>
  </sheetViews>
  <sheetFormatPr defaultRowHeight="15" x14ac:dyDescent="0.25"/>
  <cols>
    <col min="6" max="6" width="2.7109375" customWidth="1"/>
    <col min="7" max="7" width="16.140625" customWidth="1"/>
    <col min="8" max="8" width="2.7109375" customWidth="1"/>
    <col min="9" max="9" width="16.42578125" style="136" bestFit="1" customWidth="1"/>
  </cols>
  <sheetData>
    <row r="3" spans="2:9" x14ac:dyDescent="0.25">
      <c r="B3" t="s">
        <v>71</v>
      </c>
      <c r="D3" t="s">
        <v>171</v>
      </c>
      <c r="E3" t="s">
        <v>171</v>
      </c>
      <c r="G3" t="s">
        <v>172</v>
      </c>
    </row>
    <row r="4" spans="2:9" x14ac:dyDescent="0.25">
      <c r="B4" s="8" t="s">
        <v>9</v>
      </c>
      <c r="E4">
        <v>18.899999999999999</v>
      </c>
      <c r="G4">
        <f>E4/E11*100</f>
        <v>8.0343479000170035</v>
      </c>
      <c r="I4" s="137">
        <f>I12*G4/100</f>
        <v>733905.94973762159</v>
      </c>
    </row>
    <row r="5" spans="2:9" x14ac:dyDescent="0.25">
      <c r="B5" s="8" t="s">
        <v>10</v>
      </c>
      <c r="E5">
        <v>39.200000000000003</v>
      </c>
      <c r="G5">
        <f>E5/E11*100</f>
        <v>16.663832681516752</v>
      </c>
      <c r="I5" s="137">
        <f>I12*G5/100</f>
        <v>1522175.3031595116</v>
      </c>
    </row>
    <row r="6" spans="2:9" x14ac:dyDescent="0.25">
      <c r="B6" s="8" t="s">
        <v>11</v>
      </c>
      <c r="E6">
        <v>14.9</v>
      </c>
      <c r="G6">
        <f>E6/E11*100</f>
        <v>6.3339568100663159</v>
      </c>
      <c r="I6" s="137">
        <f>I12*G6/100</f>
        <v>578581.93921114097</v>
      </c>
    </row>
    <row r="7" spans="2:9" x14ac:dyDescent="0.25">
      <c r="B7" s="8" t="s">
        <v>12</v>
      </c>
      <c r="E7">
        <f>D8+D9</f>
        <v>162.23999999999998</v>
      </c>
      <c r="G7">
        <f>E7/E11*100</f>
        <v>68.967862608399926</v>
      </c>
      <c r="I7" s="137">
        <f>I12*G7/100</f>
        <v>6299941.8669540593</v>
      </c>
    </row>
    <row r="8" spans="2:9" x14ac:dyDescent="0.25">
      <c r="C8" t="s">
        <v>12</v>
      </c>
      <c r="D8">
        <v>128.69999999999999</v>
      </c>
    </row>
    <row r="9" spans="2:9" x14ac:dyDescent="0.25">
      <c r="C9" t="s">
        <v>101</v>
      </c>
      <c r="D9">
        <v>33.54</v>
      </c>
    </row>
    <row r="11" spans="2:9" x14ac:dyDescent="0.25">
      <c r="B11" t="s">
        <v>132</v>
      </c>
      <c r="E11">
        <f>SUM(E4:E10)</f>
        <v>235.23999999999998</v>
      </c>
      <c r="G11">
        <f>SUM(G4:G10)</f>
        <v>100</v>
      </c>
      <c r="I11" s="136">
        <f>SUM(I4:I10)</f>
        <v>9134605.0590623338</v>
      </c>
    </row>
    <row r="12" spans="2:9" x14ac:dyDescent="0.25">
      <c r="B12" t="s">
        <v>173</v>
      </c>
      <c r="I12" s="136">
        <f>'15082024 '!K79</f>
        <v>9134605.0590623338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46"/>
  <sheetViews>
    <sheetView topLeftCell="A16" zoomScale="80" zoomScaleNormal="80" workbookViewId="0">
      <selection activeCell="H90" sqref="H90"/>
    </sheetView>
  </sheetViews>
  <sheetFormatPr defaultColWidth="9.140625"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4" width="13.28515625" style="24" customWidth="1"/>
    <col min="5" max="6" width="19.5703125" style="24" customWidth="1"/>
    <col min="7" max="8" width="19" style="24" customWidth="1"/>
    <col min="9" max="9" width="16.140625" style="24" customWidth="1"/>
    <col min="10" max="10" width="14.140625" style="24" customWidth="1"/>
    <col min="11" max="11" width="17.5703125" style="24" bestFit="1" customWidth="1"/>
    <col min="12" max="12" width="16.7109375" style="24" customWidth="1"/>
    <col min="13" max="13" width="15.28515625" style="24" customWidth="1"/>
    <col min="14" max="14" width="15.140625" style="24" customWidth="1"/>
    <col min="15" max="15" width="15.28515625" style="24" customWidth="1"/>
    <col min="16" max="17" width="14.85546875" style="24" bestFit="1" customWidth="1"/>
    <col min="18" max="22" width="14.85546875" style="24" customWidth="1"/>
    <col min="23" max="16384" width="9.140625" style="24"/>
  </cols>
  <sheetData>
    <row r="2" spans="2:20" x14ac:dyDescent="0.25">
      <c r="C2" s="24" t="s">
        <v>0</v>
      </c>
    </row>
    <row r="3" spans="2:20" x14ac:dyDescent="0.25">
      <c r="J3" s="24" t="s">
        <v>115</v>
      </c>
      <c r="K3" s="61" t="e">
        <f>#REF!</f>
        <v>#REF!</v>
      </c>
    </row>
    <row r="4" spans="2:20" x14ac:dyDescent="0.25">
      <c r="B4" s="26"/>
      <c r="C4" s="26"/>
      <c r="D4" s="26"/>
      <c r="E4" s="26" t="s">
        <v>151</v>
      </c>
      <c r="F4" s="26" t="s">
        <v>152</v>
      </c>
      <c r="G4" s="26" t="s">
        <v>153</v>
      </c>
      <c r="H4" s="26" t="s">
        <v>154</v>
      </c>
      <c r="I4" s="25"/>
      <c r="J4" s="26"/>
      <c r="K4" s="26" t="s">
        <v>18</v>
      </c>
      <c r="L4" s="26" t="s">
        <v>98</v>
      </c>
      <c r="M4" s="26" t="s">
        <v>13</v>
      </c>
      <c r="N4" s="26" t="s">
        <v>105</v>
      </c>
      <c r="O4" s="26" t="s">
        <v>106</v>
      </c>
      <c r="P4" s="26" t="s">
        <v>107</v>
      </c>
    </row>
    <row r="5" spans="2:20" x14ac:dyDescent="0.25">
      <c r="B5" s="26"/>
      <c r="C5" s="26"/>
      <c r="D5" s="26"/>
      <c r="E5" s="26"/>
      <c r="F5" s="26"/>
      <c r="G5" s="26"/>
      <c r="H5" s="26"/>
      <c r="I5" s="25"/>
      <c r="J5" s="26" t="s">
        <v>104</v>
      </c>
      <c r="K5" s="28">
        <v>157879368.69</v>
      </c>
      <c r="L5" s="28">
        <v>21289452</v>
      </c>
      <c r="M5" s="28">
        <f>SUM(K5:L5)</f>
        <v>179168820.69</v>
      </c>
      <c r="N5" s="26"/>
      <c r="O5" s="26"/>
      <c r="P5" s="26"/>
    </row>
    <row r="6" spans="2:20" x14ac:dyDescent="0.25">
      <c r="B6" s="26"/>
      <c r="C6" s="26"/>
      <c r="D6" s="26"/>
      <c r="E6" s="26"/>
      <c r="F6" s="26"/>
      <c r="G6" s="26"/>
      <c r="H6" s="26"/>
      <c r="I6" s="25"/>
      <c r="J6" s="26" t="s">
        <v>99</v>
      </c>
      <c r="K6" s="28">
        <v>115235970.64</v>
      </c>
      <c r="L6" s="28">
        <v>7296345.4699999997</v>
      </c>
      <c r="M6" s="28">
        <f>SUM(K6:L6)</f>
        <v>122532316.11</v>
      </c>
      <c r="N6" s="26"/>
      <c r="O6" s="26"/>
      <c r="P6" s="26"/>
    </row>
    <row r="7" spans="2:20" x14ac:dyDescent="0.25">
      <c r="B7" s="26"/>
      <c r="C7" s="26" t="s">
        <v>26</v>
      </c>
      <c r="D7" s="26"/>
      <c r="E7" s="26"/>
      <c r="F7" s="26"/>
      <c r="G7" s="26"/>
      <c r="H7" s="26"/>
      <c r="I7" s="25"/>
      <c r="J7" s="26" t="s">
        <v>100</v>
      </c>
      <c r="K7" s="28">
        <v>11998785</v>
      </c>
      <c r="L7" s="28">
        <v>2728550</v>
      </c>
      <c r="M7" s="28">
        <f>SUM(K7:L7)</f>
        <v>14727335</v>
      </c>
      <c r="N7" s="26"/>
      <c r="O7" s="26"/>
      <c r="P7" s="26"/>
    </row>
    <row r="8" spans="2:20" x14ac:dyDescent="0.25">
      <c r="B8" s="26">
        <v>1</v>
      </c>
      <c r="C8" s="26" t="s">
        <v>1</v>
      </c>
      <c r="D8" s="26"/>
      <c r="E8" s="26"/>
      <c r="F8" s="26"/>
      <c r="G8" s="26"/>
      <c r="H8" s="26"/>
      <c r="I8" s="25"/>
      <c r="J8" s="89" t="s">
        <v>101</v>
      </c>
      <c r="K8" s="89"/>
      <c r="L8" s="90">
        <v>9394916</v>
      </c>
      <c r="M8" s="26"/>
      <c r="N8" s="26"/>
      <c r="O8" s="26"/>
      <c r="P8" s="26"/>
    </row>
    <row r="9" spans="2:20" x14ac:dyDescent="0.25">
      <c r="B9" s="26"/>
      <c r="C9" s="26"/>
      <c r="D9" s="26"/>
      <c r="E9" s="26"/>
      <c r="F9" s="26"/>
      <c r="G9" s="26"/>
      <c r="H9" s="26"/>
      <c r="I9" s="25"/>
      <c r="J9" s="84" t="s">
        <v>108</v>
      </c>
      <c r="K9" s="71"/>
      <c r="L9" s="80"/>
      <c r="M9" s="71">
        <v>2428629.9900000002</v>
      </c>
      <c r="N9" s="26"/>
      <c r="O9" s="26"/>
      <c r="P9" s="26"/>
    </row>
    <row r="10" spans="2:20" x14ac:dyDescent="0.25">
      <c r="B10" s="26">
        <v>2</v>
      </c>
      <c r="C10" s="26" t="s">
        <v>57</v>
      </c>
      <c r="D10" s="26"/>
      <c r="E10" s="26"/>
      <c r="F10" s="26"/>
      <c r="G10" s="26"/>
      <c r="H10" s="26"/>
      <c r="I10" s="25"/>
      <c r="J10" s="26" t="s">
        <v>13</v>
      </c>
      <c r="K10" s="26"/>
      <c r="L10" s="26"/>
      <c r="M10" s="32">
        <f>SUM(M5:M9)</f>
        <v>318857101.79000002</v>
      </c>
      <c r="N10" s="96">
        <f>M10*0.21</f>
        <v>66959991.3759</v>
      </c>
      <c r="O10" s="32" t="e">
        <f>#REF!</f>
        <v>#REF!</v>
      </c>
      <c r="P10" s="32" t="e">
        <f>M12-K3</f>
        <v>#REF!</v>
      </c>
    </row>
    <row r="11" spans="2:20" x14ac:dyDescent="0.25">
      <c r="B11" s="26"/>
      <c r="C11" s="26"/>
      <c r="D11" s="26"/>
      <c r="E11" s="26"/>
      <c r="F11" s="26"/>
      <c r="G11" s="26"/>
      <c r="H11" s="26"/>
      <c r="I11" s="25"/>
      <c r="J11" s="85" t="s">
        <v>129</v>
      </c>
      <c r="K11" s="87"/>
      <c r="L11" s="25"/>
      <c r="M11" s="88">
        <v>-1271240.46</v>
      </c>
      <c r="N11" s="57"/>
      <c r="O11" s="57"/>
      <c r="P11" s="57"/>
    </row>
    <row r="12" spans="2:20" x14ac:dyDescent="0.25">
      <c r="B12" s="26">
        <v>3</v>
      </c>
      <c r="C12" s="26" t="s">
        <v>2</v>
      </c>
      <c r="D12" s="26"/>
      <c r="E12" s="26"/>
      <c r="F12" s="26"/>
      <c r="G12" s="26"/>
      <c r="H12" s="26"/>
      <c r="I12" s="25"/>
      <c r="M12" s="91">
        <f>M10+M11</f>
        <v>317585861.33000004</v>
      </c>
    </row>
    <row r="13" spans="2:20" x14ac:dyDescent="0.25">
      <c r="B13" s="26">
        <v>4</v>
      </c>
      <c r="C13" s="26" t="s">
        <v>58</v>
      </c>
      <c r="D13" s="26"/>
      <c r="E13" s="26"/>
      <c r="F13" s="26"/>
      <c r="G13" s="26"/>
      <c r="H13" s="26"/>
      <c r="I13" s="25"/>
      <c r="L13" s="86"/>
      <c r="M13" s="92" t="s">
        <v>111</v>
      </c>
    </row>
    <row r="14" spans="2:20" x14ac:dyDescent="0.25">
      <c r="B14" s="26">
        <v>5</v>
      </c>
      <c r="C14" s="26" t="s">
        <v>59</v>
      </c>
      <c r="D14" s="26"/>
      <c r="E14" s="26"/>
      <c r="F14" s="26"/>
      <c r="G14" s="26"/>
      <c r="H14" s="26"/>
      <c r="I14" s="25"/>
    </row>
    <row r="15" spans="2:20" x14ac:dyDescent="0.25">
      <c r="B15" s="26">
        <v>6</v>
      </c>
      <c r="C15" s="26" t="s">
        <v>8</v>
      </c>
      <c r="D15" s="26"/>
      <c r="E15" s="26"/>
      <c r="F15" s="26"/>
      <c r="G15" s="26"/>
      <c r="H15" s="26"/>
      <c r="I15" s="25"/>
    </row>
    <row r="16" spans="2:20" x14ac:dyDescent="0.25">
      <c r="B16" s="26"/>
      <c r="C16" s="26" t="s">
        <v>46</v>
      </c>
      <c r="D16" s="26"/>
      <c r="E16" s="26"/>
      <c r="F16" s="26"/>
      <c r="G16" s="26"/>
      <c r="H16" s="26"/>
      <c r="I16" s="25"/>
      <c r="K16" s="26"/>
      <c r="L16" s="26">
        <v>1</v>
      </c>
      <c r="M16" s="26">
        <v>2</v>
      </c>
      <c r="N16" s="26">
        <v>3</v>
      </c>
      <c r="O16" s="26">
        <v>4</v>
      </c>
      <c r="P16" s="26">
        <v>5</v>
      </c>
      <c r="Q16" s="26">
        <v>6</v>
      </c>
      <c r="R16" s="26">
        <v>7</v>
      </c>
      <c r="S16" s="26">
        <v>8</v>
      </c>
      <c r="T16" s="26">
        <v>9</v>
      </c>
    </row>
    <row r="17" spans="2:21" x14ac:dyDescent="0.25">
      <c r="B17" s="26">
        <v>7</v>
      </c>
      <c r="C17" s="26" t="s">
        <v>55</v>
      </c>
      <c r="D17" s="64"/>
      <c r="E17" s="26"/>
      <c r="F17" s="26"/>
      <c r="G17" s="26"/>
      <c r="H17" s="26"/>
      <c r="I17" s="25"/>
      <c r="K17" s="26"/>
      <c r="L17" s="26" t="s">
        <v>67</v>
      </c>
      <c r="M17" s="26" t="s">
        <v>69</v>
      </c>
      <c r="N17" s="26" t="s">
        <v>70</v>
      </c>
      <c r="O17" s="26" t="s">
        <v>71</v>
      </c>
      <c r="P17" s="26" t="s">
        <v>72</v>
      </c>
      <c r="Q17" s="26" t="s">
        <v>53</v>
      </c>
      <c r="R17" s="26" t="s">
        <v>115</v>
      </c>
      <c r="S17" s="55" t="s">
        <v>117</v>
      </c>
      <c r="T17" s="26" t="s">
        <v>97</v>
      </c>
    </row>
    <row r="18" spans="2:21" x14ac:dyDescent="0.25">
      <c r="B18" s="26"/>
      <c r="C18" s="26"/>
      <c r="D18" s="26"/>
      <c r="E18" s="26"/>
      <c r="F18" s="26"/>
      <c r="G18" s="26"/>
      <c r="H18" s="26"/>
      <c r="I18" s="25"/>
      <c r="K18" s="26"/>
      <c r="L18" s="26" t="s">
        <v>120</v>
      </c>
      <c r="M18" s="26"/>
      <c r="N18" s="26"/>
      <c r="O18" s="26"/>
      <c r="P18" s="26" t="s">
        <v>121</v>
      </c>
      <c r="Q18" s="24" t="s">
        <v>127</v>
      </c>
      <c r="R18" s="26" t="s">
        <v>123</v>
      </c>
      <c r="S18" s="95" t="s">
        <v>124</v>
      </c>
      <c r="T18" s="26" t="s">
        <v>125</v>
      </c>
    </row>
    <row r="19" spans="2:21" x14ac:dyDescent="0.25">
      <c r="B19" s="26"/>
      <c r="C19" s="26" t="s">
        <v>17</v>
      </c>
      <c r="D19" s="26"/>
      <c r="E19" s="26"/>
      <c r="F19" s="26"/>
      <c r="G19" s="26"/>
      <c r="H19" s="26"/>
      <c r="I19" s="25"/>
      <c r="K19" s="26"/>
      <c r="L19" s="26" t="s">
        <v>16</v>
      </c>
      <c r="M19" s="26"/>
      <c r="N19" s="26"/>
      <c r="O19" s="26"/>
      <c r="P19" s="26"/>
      <c r="Q19" s="26" t="s">
        <v>122</v>
      </c>
      <c r="R19" s="26" t="s">
        <v>128</v>
      </c>
      <c r="S19" s="55"/>
      <c r="T19" s="26"/>
      <c r="U19" s="25"/>
    </row>
    <row r="20" spans="2:21" ht="6" customHeight="1" x14ac:dyDescent="0.25">
      <c r="B20" s="26"/>
      <c r="C20" s="26"/>
      <c r="D20" s="26"/>
      <c r="E20" s="26"/>
      <c r="F20" s="26"/>
      <c r="G20" s="26"/>
      <c r="H20" s="26"/>
      <c r="I20" s="25"/>
      <c r="K20" s="26"/>
      <c r="L20" s="26"/>
      <c r="M20" s="26"/>
      <c r="N20" s="26"/>
      <c r="O20" s="26"/>
      <c r="P20" s="26"/>
      <c r="Q20" s="26"/>
      <c r="R20" s="26"/>
      <c r="S20" s="55"/>
      <c r="T20" s="26"/>
      <c r="U20" s="25"/>
    </row>
    <row r="21" spans="2:21" x14ac:dyDescent="0.25">
      <c r="B21" s="26"/>
      <c r="C21" s="26" t="s">
        <v>19</v>
      </c>
      <c r="D21" s="26"/>
      <c r="E21" s="26"/>
      <c r="F21" s="26"/>
      <c r="G21" s="26"/>
      <c r="H21" s="26"/>
      <c r="I21" s="25"/>
      <c r="J21" s="72" t="s">
        <v>96</v>
      </c>
      <c r="K21" s="26" t="s">
        <v>19</v>
      </c>
      <c r="L21" s="32" t="e">
        <f>SUM(#REF!)</f>
        <v>#REF!</v>
      </c>
      <c r="M21" s="26"/>
      <c r="N21" s="32" t="e">
        <f>#REF!</f>
        <v>#REF!</v>
      </c>
      <c r="O21" s="26"/>
      <c r="P21" s="26"/>
      <c r="Q21" s="32" t="e">
        <f>SUM(L21:P21)</f>
        <v>#REF!</v>
      </c>
      <c r="R21" s="32" t="e">
        <f>#REF!</f>
        <v>#REF!</v>
      </c>
      <c r="S21" s="96" t="e">
        <f>Q21-R21</f>
        <v>#REF!</v>
      </c>
      <c r="T21" s="32" t="e">
        <f>M7-R21</f>
        <v>#REF!</v>
      </c>
      <c r="U21" s="57"/>
    </row>
    <row r="22" spans="2:21" ht="5.45" customHeight="1" x14ac:dyDescent="0.25">
      <c r="B22" s="26"/>
      <c r="C22" s="26"/>
      <c r="D22" s="26"/>
      <c r="E22" s="26"/>
      <c r="F22" s="26"/>
      <c r="G22" s="26"/>
      <c r="H22" s="26"/>
      <c r="I22" s="25"/>
      <c r="J22" s="72"/>
      <c r="K22" s="26"/>
      <c r="L22" s="26"/>
      <c r="M22" s="26"/>
      <c r="N22" s="26"/>
      <c r="O22" s="26"/>
      <c r="P22" s="26"/>
      <c r="Q22" s="26"/>
      <c r="R22" s="26"/>
      <c r="S22" s="55"/>
      <c r="T22" s="32">
        <f t="shared" ref="T22" si="0">M8-R22</f>
        <v>0</v>
      </c>
      <c r="U22" s="25"/>
    </row>
    <row r="23" spans="2:21" x14ac:dyDescent="0.25">
      <c r="B23" s="26">
        <v>1</v>
      </c>
      <c r="C23" s="26" t="s">
        <v>14</v>
      </c>
      <c r="D23" s="26"/>
      <c r="E23" s="77"/>
      <c r="F23" s="77"/>
      <c r="G23" s="121">
        <f>'[1]Rekapitulace stavby'!$BJ$112</f>
        <v>725705.76342601818</v>
      </c>
      <c r="H23" s="77"/>
      <c r="I23" s="78"/>
      <c r="J23" s="72" t="s">
        <v>95</v>
      </c>
      <c r="K23" s="26" t="s">
        <v>68</v>
      </c>
      <c r="L23" s="32" t="e">
        <f>SUM(#REF!,#REF!,#REF!)</f>
        <v>#REF!</v>
      </c>
      <c r="M23" s="26"/>
      <c r="N23" s="32" t="e">
        <f>SUM(#REF!+#REF!+#REF!)</f>
        <v>#REF!</v>
      </c>
      <c r="O23" s="32" t="e">
        <f>SUM(#REF!+#REF!+#REF!)</f>
        <v>#REF!</v>
      </c>
      <c r="P23" s="32" t="e">
        <f>#REF!+#REF!</f>
        <v>#REF!</v>
      </c>
      <c r="Q23" s="32" t="e">
        <f>SUM(L23:P23)+L25</f>
        <v>#REF!</v>
      </c>
      <c r="R23" s="32" t="e">
        <f>#REF!+#REF!+#REF!</f>
        <v>#REF!</v>
      </c>
      <c r="S23" s="96" t="e">
        <f>Q23-R23</f>
        <v>#REF!</v>
      </c>
      <c r="T23" s="32" t="e">
        <f>M6-R23</f>
        <v>#REF!</v>
      </c>
      <c r="U23" s="57"/>
    </row>
    <row r="24" spans="2:21" x14ac:dyDescent="0.25">
      <c r="B24" s="26">
        <v>2</v>
      </c>
      <c r="C24" s="26" t="s">
        <v>15</v>
      </c>
      <c r="D24" s="26"/>
      <c r="E24" s="26"/>
      <c r="F24" s="122">
        <f>'[1]Rekapitulace stavby'!$BI$118</f>
        <v>-669369.63818304054</v>
      </c>
      <c r="G24" s="26"/>
      <c r="H24" s="124">
        <f>'[1]Rekapitulace stavby'!$BK$104</f>
        <v>274751.52388089395</v>
      </c>
      <c r="I24" s="78"/>
      <c r="J24" s="72" t="s">
        <v>94</v>
      </c>
      <c r="K24" s="26" t="s">
        <v>12</v>
      </c>
      <c r="L24" s="32" t="e">
        <f>#REF!+#REF!+#REF!</f>
        <v>#REF!</v>
      </c>
      <c r="M24" s="32" t="e">
        <f>#REF!</f>
        <v>#REF!</v>
      </c>
      <c r="N24" s="32" t="e">
        <f>#REF!</f>
        <v>#REF!</v>
      </c>
      <c r="O24" s="32" t="e">
        <f>#REF!</f>
        <v>#REF!</v>
      </c>
      <c r="P24" s="26"/>
      <c r="Q24" s="32" t="e">
        <f>SUM(L24:P24)</f>
        <v>#REF!</v>
      </c>
      <c r="R24" s="32" t="e">
        <f>#REF!</f>
        <v>#REF!</v>
      </c>
      <c r="S24" s="96" t="e">
        <f>Q24-R24</f>
        <v>#REF!</v>
      </c>
      <c r="T24" s="32" t="e">
        <f>M5-R24</f>
        <v>#REF!</v>
      </c>
      <c r="U24" s="57"/>
    </row>
    <row r="25" spans="2:21" x14ac:dyDescent="0.25">
      <c r="B25" s="26">
        <v>3</v>
      </c>
      <c r="C25" s="26" t="s">
        <v>16</v>
      </c>
      <c r="D25" s="26"/>
      <c r="E25" s="26"/>
      <c r="F25" s="26"/>
      <c r="G25" s="122">
        <f>'[1]Rekapitulace stavby'!$BJ$109</f>
        <v>38738.885547634709</v>
      </c>
      <c r="H25" s="124">
        <f>48815.01+34868.46</f>
        <v>83683.47</v>
      </c>
      <c r="I25" s="78"/>
      <c r="J25" s="81" t="s">
        <v>109</v>
      </c>
      <c r="K25" s="82" t="s">
        <v>110</v>
      </c>
      <c r="L25" s="83">
        <f>M9+M11</f>
        <v>1157389.5300000003</v>
      </c>
      <c r="M25" s="32"/>
      <c r="N25" s="32"/>
      <c r="O25" s="32"/>
      <c r="P25" s="26"/>
      <c r="Q25" s="32"/>
      <c r="R25" s="32"/>
      <c r="S25" s="96"/>
      <c r="T25" s="32"/>
      <c r="U25" s="57"/>
    </row>
    <row r="26" spans="2:21" x14ac:dyDescent="0.25">
      <c r="B26" s="26">
        <v>4</v>
      </c>
      <c r="C26" s="26" t="s">
        <v>41</v>
      </c>
      <c r="D26" s="26"/>
      <c r="E26" s="26"/>
      <c r="F26" s="26"/>
      <c r="G26" s="26"/>
      <c r="H26" s="123"/>
      <c r="I26" s="78"/>
      <c r="K26" s="24" t="s">
        <v>13</v>
      </c>
      <c r="L26" s="61" t="e">
        <f>SUM(L21:L25)</f>
        <v>#REF!</v>
      </c>
      <c r="M26" s="61" t="e">
        <f>SUM(M21:M25)</f>
        <v>#REF!</v>
      </c>
      <c r="N26" s="61" t="e">
        <f>SUM(N21:N24)</f>
        <v>#REF!</v>
      </c>
      <c r="O26" s="61" t="e">
        <f>SUM(O21:O25)</f>
        <v>#REF!</v>
      </c>
      <c r="P26" s="61" t="e">
        <f>SUM(P21:P25)</f>
        <v>#REF!</v>
      </c>
      <c r="Q26" s="61" t="e">
        <f>SUM(L26:P26)</f>
        <v>#REF!</v>
      </c>
      <c r="R26" s="61" t="e">
        <f>SUM(R21:R25)+#REF!</f>
        <v>#REF!</v>
      </c>
      <c r="S26" s="97" t="e">
        <f>SUM(S21:S25)</f>
        <v>#REF!</v>
      </c>
      <c r="T26" s="61" t="e">
        <f>SUM(T21:T25)</f>
        <v>#REF!</v>
      </c>
      <c r="U26" s="61" t="e">
        <f>R26+T26</f>
        <v>#REF!</v>
      </c>
    </row>
    <row r="27" spans="2:21" x14ac:dyDescent="0.25">
      <c r="B27" s="26">
        <v>5</v>
      </c>
      <c r="C27" s="26" t="s">
        <v>42</v>
      </c>
      <c r="D27" s="26"/>
      <c r="E27" s="26"/>
      <c r="F27" s="26"/>
      <c r="G27" s="26"/>
      <c r="H27" s="26"/>
      <c r="I27" s="25"/>
      <c r="K27" s="24" t="s">
        <v>116</v>
      </c>
      <c r="L27" s="61" t="e">
        <f>SUM(#REF!)+M9+M11</f>
        <v>#REF!</v>
      </c>
      <c r="M27" s="61" t="e">
        <f>#REF!</f>
        <v>#REF!</v>
      </c>
      <c r="N27" s="61" t="e">
        <f>#REF!</f>
        <v>#REF!</v>
      </c>
      <c r="O27" s="61" t="e">
        <f>#REF!</f>
        <v>#REF!</v>
      </c>
      <c r="P27" s="61" t="e">
        <f>#REF!</f>
        <v>#REF!</v>
      </c>
      <c r="Q27" s="61" t="e">
        <f>#REF!+M9+M11</f>
        <v>#REF!</v>
      </c>
      <c r="R27" s="61"/>
      <c r="S27" s="61"/>
      <c r="T27" s="61"/>
      <c r="U27" s="61"/>
    </row>
    <row r="28" spans="2:21" x14ac:dyDescent="0.25">
      <c r="B28" s="26">
        <v>6</v>
      </c>
      <c r="C28" s="26" t="s">
        <v>45</v>
      </c>
      <c r="D28" s="26"/>
      <c r="E28" s="26"/>
      <c r="F28" s="26"/>
      <c r="G28" s="26"/>
      <c r="H28" s="26"/>
      <c r="I28" s="78"/>
      <c r="Q28" s="98" t="e">
        <f>Q21+Q23+Q24+Q25</f>
        <v>#REF!</v>
      </c>
      <c r="R28" s="61"/>
    </row>
    <row r="29" spans="2:21" x14ac:dyDescent="0.25">
      <c r="B29" s="26"/>
      <c r="C29" s="26" t="s">
        <v>132</v>
      </c>
      <c r="D29" s="26"/>
      <c r="E29" s="26"/>
      <c r="F29" s="26"/>
      <c r="G29" s="26"/>
      <c r="H29" s="26"/>
      <c r="I29" s="25"/>
      <c r="K29" s="24" t="s">
        <v>119</v>
      </c>
      <c r="R29" s="61"/>
      <c r="S29" s="61" t="e">
        <f>K3</f>
        <v>#REF!</v>
      </c>
    </row>
    <row r="30" spans="2:21" x14ac:dyDescent="0.25">
      <c r="B30" s="26"/>
      <c r="C30" s="26"/>
      <c r="D30" s="26"/>
      <c r="E30" s="26"/>
      <c r="F30" s="26"/>
      <c r="G30" s="26"/>
      <c r="H30" s="26"/>
      <c r="I30" s="78"/>
      <c r="K30" s="24" t="s">
        <v>118</v>
      </c>
      <c r="S30" s="97" t="e">
        <f>Q26-R26</f>
        <v>#REF!</v>
      </c>
      <c r="T30" s="61"/>
    </row>
    <row r="31" spans="2:21" ht="15" customHeight="1" x14ac:dyDescent="0.25">
      <c r="B31" s="26"/>
      <c r="C31" s="26" t="s">
        <v>9</v>
      </c>
      <c r="D31" s="26"/>
      <c r="E31" s="26"/>
      <c r="F31" s="26"/>
      <c r="G31" s="26"/>
      <c r="H31" s="26"/>
      <c r="I31" s="25"/>
    </row>
    <row r="32" spans="2:21" x14ac:dyDescent="0.25">
      <c r="B32" s="26"/>
      <c r="C32" s="26"/>
      <c r="D32" s="26"/>
      <c r="E32" s="26"/>
      <c r="F32" s="26"/>
      <c r="G32" s="26"/>
      <c r="H32" s="26"/>
      <c r="I32" s="25"/>
      <c r="K32" s="24" t="s">
        <v>126</v>
      </c>
      <c r="S32" s="61" t="e">
        <f>T26</f>
        <v>#REF!</v>
      </c>
    </row>
    <row r="33" spans="2:19" ht="15" customHeight="1" x14ac:dyDescent="0.25">
      <c r="B33" s="26">
        <v>1</v>
      </c>
      <c r="C33" s="26" t="s">
        <v>14</v>
      </c>
      <c r="D33" s="26"/>
      <c r="E33" s="28"/>
      <c r="F33" s="28"/>
      <c r="G33" s="28"/>
      <c r="H33" s="28"/>
      <c r="I33" s="25"/>
      <c r="S33" s="61"/>
    </row>
    <row r="34" spans="2:19" x14ac:dyDescent="0.25">
      <c r="B34" s="26">
        <v>2</v>
      </c>
      <c r="C34" s="26" t="s">
        <v>15</v>
      </c>
      <c r="D34" s="26"/>
      <c r="E34" s="28"/>
      <c r="F34" s="28"/>
      <c r="G34" s="28"/>
      <c r="H34" s="28"/>
      <c r="I34" s="49"/>
      <c r="S34" s="61" t="e">
        <f>S29+S32</f>
        <v>#REF!</v>
      </c>
    </row>
    <row r="35" spans="2:19" x14ac:dyDescent="0.25">
      <c r="B35" s="26">
        <v>3</v>
      </c>
      <c r="C35" s="26" t="s">
        <v>16</v>
      </c>
      <c r="D35" s="26"/>
      <c r="E35" s="28"/>
      <c r="F35" s="28"/>
      <c r="G35" s="28"/>
      <c r="H35" s="28"/>
      <c r="I35" s="49"/>
      <c r="K35" s="26"/>
      <c r="L35" s="100"/>
      <c r="M35" s="83"/>
      <c r="N35" s="26"/>
      <c r="O35" s="26"/>
      <c r="S35" s="61" t="e">
        <f>S34-M12</f>
        <v>#REF!</v>
      </c>
    </row>
    <row r="36" spans="2:19" x14ac:dyDescent="0.25">
      <c r="B36" s="26">
        <v>4</v>
      </c>
      <c r="C36" s="26" t="s">
        <v>41</v>
      </c>
      <c r="D36" s="26"/>
      <c r="E36" s="28"/>
      <c r="F36" s="28"/>
      <c r="G36" s="28"/>
      <c r="H36" s="28"/>
      <c r="I36" s="49"/>
      <c r="K36" s="26" t="s">
        <v>19</v>
      </c>
      <c r="L36" s="100"/>
      <c r="M36" s="83" t="e">
        <f>#REF!</f>
        <v>#REF!</v>
      </c>
      <c r="N36" s="26"/>
      <c r="O36" s="26"/>
    </row>
    <row r="37" spans="2:19" x14ac:dyDescent="0.25">
      <c r="B37" s="26">
        <v>5</v>
      </c>
      <c r="C37" s="26" t="s">
        <v>42</v>
      </c>
      <c r="D37" s="26"/>
      <c r="E37" s="28"/>
      <c r="F37" s="28"/>
      <c r="G37" s="28"/>
      <c r="H37" s="28"/>
      <c r="I37" s="49"/>
      <c r="K37" s="26" t="s">
        <v>9</v>
      </c>
      <c r="L37" s="100"/>
      <c r="M37" s="83" t="e">
        <f>#REF!</f>
        <v>#REF!</v>
      </c>
      <c r="N37" s="26"/>
      <c r="O37" s="26"/>
    </row>
    <row r="38" spans="2:19" x14ac:dyDescent="0.25">
      <c r="B38" s="26">
        <v>6</v>
      </c>
      <c r="C38" s="26" t="s">
        <v>45</v>
      </c>
      <c r="D38" s="26"/>
      <c r="E38" s="28"/>
      <c r="F38" s="28"/>
      <c r="G38" s="28"/>
      <c r="H38" s="28"/>
      <c r="I38" s="49"/>
      <c r="K38" s="26" t="s">
        <v>10</v>
      </c>
      <c r="L38" s="100"/>
      <c r="M38" s="83" t="e">
        <f>#REF!</f>
        <v>#REF!</v>
      </c>
      <c r="N38" s="26"/>
      <c r="O38" s="26"/>
    </row>
    <row r="39" spans="2:19" x14ac:dyDescent="0.25">
      <c r="B39" s="26"/>
      <c r="C39" s="26" t="s">
        <v>13</v>
      </c>
      <c r="D39" s="26"/>
      <c r="E39" s="28"/>
      <c r="F39" s="28"/>
      <c r="G39" s="28"/>
      <c r="H39" s="28"/>
      <c r="I39" s="49" t="s">
        <v>102</v>
      </c>
      <c r="J39" s="45"/>
      <c r="K39" s="28" t="s">
        <v>11</v>
      </c>
      <c r="L39" s="100"/>
      <c r="M39" s="83" t="e">
        <f>#REF!</f>
        <v>#REF!</v>
      </c>
      <c r="N39" s="26"/>
      <c r="O39" s="26"/>
    </row>
    <row r="40" spans="2:19" x14ac:dyDescent="0.25">
      <c r="B40" s="26"/>
      <c r="C40" s="26"/>
      <c r="D40" s="26"/>
      <c r="E40" s="28"/>
      <c r="F40" s="28"/>
      <c r="G40" s="28"/>
      <c r="H40" s="28"/>
      <c r="I40" s="49"/>
      <c r="J40" s="45"/>
      <c r="K40" s="28" t="s">
        <v>12</v>
      </c>
      <c r="L40" s="100"/>
      <c r="M40" s="83" t="e">
        <f>#REF!</f>
        <v>#REF!</v>
      </c>
      <c r="N40" s="26"/>
      <c r="O40" s="26"/>
    </row>
    <row r="41" spans="2:19" ht="15" customHeight="1" x14ac:dyDescent="0.25">
      <c r="B41" s="26"/>
      <c r="C41" s="26" t="s">
        <v>10</v>
      </c>
      <c r="D41" s="26"/>
      <c r="E41" s="28"/>
      <c r="F41" s="28"/>
      <c r="G41" s="28"/>
      <c r="H41" s="28"/>
      <c r="I41" s="49"/>
      <c r="K41" s="26" t="s">
        <v>72</v>
      </c>
      <c r="L41" s="100"/>
      <c r="M41" s="83" t="e">
        <f>#REF!</f>
        <v>#REF!</v>
      </c>
      <c r="N41" s="26"/>
      <c r="O41" s="26"/>
    </row>
    <row r="42" spans="2:19" x14ac:dyDescent="0.25">
      <c r="B42" s="26"/>
      <c r="C42" s="26"/>
      <c r="D42" s="26"/>
      <c r="E42" s="28"/>
      <c r="F42" s="28"/>
      <c r="G42" s="28"/>
      <c r="H42" s="28"/>
      <c r="I42" s="49"/>
      <c r="K42" s="26" t="s">
        <v>13</v>
      </c>
      <c r="L42" s="100"/>
      <c r="M42" s="83" t="e">
        <f>SUM(M36:M41)</f>
        <v>#REF!</v>
      </c>
      <c r="N42" s="26"/>
      <c r="O42" s="26"/>
    </row>
    <row r="43" spans="2:19" ht="15" customHeight="1" x14ac:dyDescent="0.25">
      <c r="B43" s="26">
        <v>1</v>
      </c>
      <c r="C43" s="26" t="s">
        <v>14</v>
      </c>
      <c r="D43" s="26"/>
      <c r="E43" s="28"/>
      <c r="F43" s="120">
        <f>'[1]Rekapitulace stavby'!$BP$110</f>
        <v>-231082.62963134804</v>
      </c>
      <c r="G43" s="28"/>
      <c r="H43" s="120">
        <f>'[1]Rekapitulace stavby'!$CK$111</f>
        <v>292475.58997335652</v>
      </c>
      <c r="I43" s="49"/>
    </row>
    <row r="44" spans="2:19" x14ac:dyDescent="0.25">
      <c r="B44" s="26">
        <v>2</v>
      </c>
      <c r="C44" s="26" t="s">
        <v>15</v>
      </c>
      <c r="D44" s="26"/>
      <c r="E44" s="28"/>
      <c r="F44" s="120">
        <f>'[1]Rekapitulace stavby'!$BP$105</f>
        <v>-775890.07857612637</v>
      </c>
      <c r="G44" s="120">
        <f>'[1]Rekapitulace stavby'!$CJ$99</f>
        <v>37570.958135222703</v>
      </c>
      <c r="H44" s="120">
        <f>'[1]Rekapitulace stavby'!$CK$106</f>
        <v>392519.93818977207</v>
      </c>
      <c r="I44" s="49"/>
    </row>
    <row r="45" spans="2:19" x14ac:dyDescent="0.25">
      <c r="B45" s="26">
        <v>3</v>
      </c>
      <c r="C45" s="26" t="s">
        <v>16</v>
      </c>
      <c r="D45" s="26"/>
      <c r="E45" s="28"/>
      <c r="F45" s="28"/>
      <c r="G45" s="120">
        <f>'[1]Rekapitulace stavby'!$CJ$102</f>
        <v>440493.4979844148</v>
      </c>
      <c r="H45" s="120">
        <f>'[1]Rekapitulace stavby'!$CK$109</f>
        <v>180901.13101818351</v>
      </c>
      <c r="I45" s="49"/>
    </row>
    <row r="46" spans="2:19" x14ac:dyDescent="0.25">
      <c r="B46" s="26">
        <v>4</v>
      </c>
      <c r="C46" s="26" t="s">
        <v>41</v>
      </c>
      <c r="D46" s="26"/>
      <c r="E46" s="28"/>
      <c r="F46" s="28"/>
      <c r="G46" s="28"/>
      <c r="H46" s="28"/>
      <c r="I46" s="49"/>
    </row>
    <row r="47" spans="2:19" x14ac:dyDescent="0.25">
      <c r="B47" s="26">
        <v>5</v>
      </c>
      <c r="C47" s="26" t="s">
        <v>42</v>
      </c>
      <c r="D47" s="26"/>
      <c r="E47" s="28"/>
      <c r="F47" s="28"/>
      <c r="G47" s="28"/>
      <c r="H47" s="28"/>
      <c r="I47" s="49"/>
    </row>
    <row r="48" spans="2:19" x14ac:dyDescent="0.25">
      <c r="B48" s="26">
        <v>6</v>
      </c>
      <c r="C48" s="26" t="s">
        <v>45</v>
      </c>
      <c r="D48" s="26"/>
      <c r="E48" s="28"/>
      <c r="F48" s="28"/>
      <c r="G48" s="120">
        <f>27445.8162+177033.56</f>
        <v>204479.3762</v>
      </c>
      <c r="H48" s="28"/>
      <c r="I48" s="49"/>
    </row>
    <row r="49" spans="1:11" x14ac:dyDescent="0.25">
      <c r="B49" s="26"/>
      <c r="C49" s="26" t="s">
        <v>113</v>
      </c>
      <c r="D49" s="26"/>
      <c r="E49" s="28"/>
      <c r="F49" s="120">
        <f>'[1]Rekapitulace stavby'!$BP$95</f>
        <v>-1306750.262721238</v>
      </c>
      <c r="G49" s="28"/>
      <c r="H49" s="28"/>
      <c r="I49" s="49" t="s">
        <v>102</v>
      </c>
      <c r="J49" s="45"/>
      <c r="K49" s="45"/>
    </row>
    <row r="50" spans="1:11" x14ac:dyDescent="0.25">
      <c r="B50" s="26"/>
      <c r="C50" s="26" t="s">
        <v>114</v>
      </c>
      <c r="D50" s="26"/>
      <c r="E50" s="28"/>
      <c r="F50" s="28"/>
      <c r="G50" s="28"/>
      <c r="H50" s="28"/>
      <c r="I50" s="49"/>
    </row>
    <row r="51" spans="1:11" x14ac:dyDescent="0.25">
      <c r="B51" s="26"/>
      <c r="C51" s="99" t="s">
        <v>13</v>
      </c>
      <c r="D51" s="26"/>
      <c r="E51" s="28"/>
      <c r="F51" s="28"/>
      <c r="G51" s="28"/>
      <c r="H51" s="28"/>
      <c r="I51" s="49"/>
    </row>
    <row r="52" spans="1:11" x14ac:dyDescent="0.25">
      <c r="B52" s="26"/>
      <c r="C52" s="93"/>
      <c r="D52" s="26"/>
      <c r="E52" s="28"/>
      <c r="F52" s="28"/>
      <c r="G52" s="28"/>
      <c r="H52" s="28"/>
      <c r="I52" s="49"/>
    </row>
    <row r="53" spans="1:11" ht="15" customHeight="1" x14ac:dyDescent="0.25">
      <c r="B53" s="26"/>
      <c r="C53" s="26" t="s">
        <v>11</v>
      </c>
      <c r="D53" s="26"/>
      <c r="E53" s="28"/>
      <c r="F53" s="28"/>
      <c r="G53" s="28"/>
      <c r="H53" s="28"/>
      <c r="I53" s="49"/>
    </row>
    <row r="54" spans="1:11" x14ac:dyDescent="0.25">
      <c r="B54" s="26"/>
      <c r="C54" s="26"/>
      <c r="D54" s="26"/>
      <c r="E54" s="28"/>
      <c r="F54" s="28"/>
      <c r="G54" s="28"/>
      <c r="H54" s="28"/>
      <c r="I54" s="49"/>
    </row>
    <row r="55" spans="1:11" ht="15" customHeight="1" x14ac:dyDescent="0.25">
      <c r="B55" s="26">
        <v>1</v>
      </c>
      <c r="C55" s="26" t="s">
        <v>14</v>
      </c>
      <c r="D55" s="26"/>
      <c r="E55" s="28"/>
      <c r="F55" s="28"/>
      <c r="G55" s="28"/>
      <c r="H55" s="28"/>
      <c r="I55" s="49"/>
    </row>
    <row r="56" spans="1:11" x14ac:dyDescent="0.25">
      <c r="B56" s="26">
        <v>2</v>
      </c>
      <c r="C56" s="26" t="s">
        <v>15</v>
      </c>
      <c r="D56" s="26"/>
      <c r="E56" s="28"/>
      <c r="F56" s="120">
        <f>'[1]Rekapitulace stavby'!$BM$107</f>
        <v>-646951.17595540208</v>
      </c>
      <c r="G56" s="28"/>
      <c r="H56" s="120">
        <f>'[1]Rekapitulace stavby'!$BO$108</f>
        <v>367356.71959321626</v>
      </c>
      <c r="I56" s="49"/>
    </row>
    <row r="57" spans="1:11" x14ac:dyDescent="0.25">
      <c r="B57" s="26">
        <v>3</v>
      </c>
      <c r="C57" s="26" t="s">
        <v>16</v>
      </c>
      <c r="D57" s="26"/>
      <c r="E57" s="28"/>
      <c r="F57" s="28"/>
      <c r="G57" s="28"/>
      <c r="H57" s="120">
        <f>'[1]Rekapitulace stavby'!$BO$115</f>
        <v>45707.871689444211</v>
      </c>
      <c r="I57" s="49"/>
    </row>
    <row r="58" spans="1:11" x14ac:dyDescent="0.25">
      <c r="B58" s="26">
        <v>4</v>
      </c>
      <c r="C58" s="26" t="s">
        <v>37</v>
      </c>
      <c r="D58" s="26"/>
      <c r="E58" s="28"/>
      <c r="F58" s="28"/>
      <c r="G58" s="28"/>
      <c r="H58" s="28"/>
      <c r="I58" s="49"/>
    </row>
    <row r="59" spans="1:11" x14ac:dyDescent="0.25">
      <c r="B59" s="26">
        <v>5</v>
      </c>
      <c r="C59" s="26" t="s">
        <v>31</v>
      </c>
      <c r="D59" s="26"/>
      <c r="E59" s="28"/>
      <c r="F59" s="28"/>
      <c r="G59" s="28"/>
      <c r="H59" s="28"/>
      <c r="I59" s="49"/>
    </row>
    <row r="60" spans="1:11" x14ac:dyDescent="0.25">
      <c r="B60" s="26">
        <v>6</v>
      </c>
      <c r="C60" s="26" t="s">
        <v>30</v>
      </c>
      <c r="D60" s="26"/>
      <c r="E60" s="28"/>
      <c r="F60" s="28"/>
      <c r="G60" s="28"/>
      <c r="H60" s="28"/>
      <c r="I60" s="49"/>
    </row>
    <row r="61" spans="1:11" x14ac:dyDescent="0.25">
      <c r="B61" s="26"/>
      <c r="C61" s="26" t="s">
        <v>13</v>
      </c>
      <c r="D61" s="26"/>
      <c r="E61" s="28"/>
      <c r="F61" s="28"/>
      <c r="G61" s="28"/>
      <c r="H61" s="28"/>
      <c r="I61" s="49" t="s">
        <v>102</v>
      </c>
      <c r="J61" s="45"/>
      <c r="K61" s="45"/>
    </row>
    <row r="62" spans="1:11" x14ac:dyDescent="0.25">
      <c r="A62" s="25"/>
      <c r="B62" s="25"/>
      <c r="C62" s="25"/>
      <c r="D62" s="48"/>
      <c r="E62" s="49"/>
      <c r="F62" s="49"/>
      <c r="G62" s="49"/>
      <c r="H62" s="49"/>
      <c r="I62" s="49"/>
      <c r="J62" s="45"/>
      <c r="K62" s="45"/>
    </row>
    <row r="63" spans="1:11" x14ac:dyDescent="0.25">
      <c r="A63" s="25"/>
      <c r="B63" s="25"/>
      <c r="C63" s="25"/>
      <c r="D63" s="48"/>
      <c r="E63" s="49"/>
      <c r="F63" s="49"/>
      <c r="G63" s="49"/>
      <c r="H63" s="49"/>
    </row>
    <row r="64" spans="1:11" x14ac:dyDescent="0.25">
      <c r="A64" s="25"/>
      <c r="B64" s="51"/>
      <c r="C64" s="51"/>
      <c r="D64" s="52"/>
      <c r="E64" s="49"/>
      <c r="F64" s="49"/>
      <c r="G64" s="49"/>
      <c r="H64" s="49"/>
    </row>
    <row r="65" spans="1:9" s="25" customFormat="1" ht="15" customHeight="1" x14ac:dyDescent="0.25">
      <c r="A65" s="24"/>
      <c r="B65" s="26"/>
      <c r="C65" s="26" t="s">
        <v>12</v>
      </c>
      <c r="D65" s="74"/>
      <c r="E65" s="28"/>
      <c r="F65" s="28"/>
      <c r="G65" s="28"/>
      <c r="H65" s="28"/>
    </row>
    <row r="66" spans="1:9" x14ac:dyDescent="0.25">
      <c r="B66" s="26"/>
      <c r="C66" s="26"/>
      <c r="D66" s="55"/>
      <c r="E66" s="28"/>
      <c r="F66" s="28"/>
      <c r="G66" s="28"/>
      <c r="H66" s="28"/>
      <c r="I66" s="49"/>
    </row>
    <row r="67" spans="1:9" ht="15" customHeight="1" x14ac:dyDescent="0.25">
      <c r="B67" s="26">
        <v>1</v>
      </c>
      <c r="C67" s="26" t="s">
        <v>14</v>
      </c>
      <c r="D67" s="26"/>
      <c r="E67" s="28">
        <f>-67248-17305.2-68500</f>
        <v>-153053.20000000001</v>
      </c>
      <c r="F67" s="28">
        <v>-1802096.21</v>
      </c>
      <c r="G67" s="28">
        <f>1267099.19+301776.24+932636.31+556403.52+3391981.75+42865.41+278062.01+612270.6+891712.36</f>
        <v>8274807.3899999997</v>
      </c>
      <c r="H67" s="28">
        <f>404593.46</f>
        <v>404593.46</v>
      </c>
      <c r="I67" s="49"/>
    </row>
    <row r="68" spans="1:9" x14ac:dyDescent="0.25">
      <c r="B68" s="26">
        <v>2</v>
      </c>
      <c r="C68" s="26" t="s">
        <v>15</v>
      </c>
      <c r="D68" s="26"/>
      <c r="E68" s="28"/>
      <c r="F68" s="28">
        <f>-10890.3-1543492.06</f>
        <v>-1554382.36</v>
      </c>
      <c r="G68" s="28">
        <f>254804.86+315882.99+3794.96+12093.8</f>
        <v>586576.61</v>
      </c>
      <c r="H68" s="28">
        <f>246265.38</f>
        <v>246265.38</v>
      </c>
      <c r="I68" s="49"/>
    </row>
    <row r="69" spans="1:9" x14ac:dyDescent="0.25">
      <c r="B69" s="26">
        <v>3</v>
      </c>
      <c r="C69" s="26" t="s">
        <v>16</v>
      </c>
      <c r="D69" s="26"/>
      <c r="E69" s="28"/>
      <c r="F69" s="28"/>
      <c r="G69" s="28">
        <f>14990.06+112760.87+443212.21+179160+580017.48+143546.28</f>
        <v>1473686.9000000001</v>
      </c>
      <c r="H69" s="28"/>
      <c r="I69" s="49"/>
    </row>
    <row r="70" spans="1:9" x14ac:dyDescent="0.25">
      <c r="B70" s="26">
        <v>4</v>
      </c>
      <c r="C70" s="26" t="s">
        <v>37</v>
      </c>
      <c r="D70" s="55"/>
      <c r="E70" s="28"/>
      <c r="F70" s="28"/>
      <c r="G70" s="28"/>
      <c r="H70" s="28"/>
      <c r="I70" s="49"/>
    </row>
    <row r="71" spans="1:9" x14ac:dyDescent="0.25">
      <c r="B71" s="26">
        <v>5</v>
      </c>
      <c r="C71" s="26" t="s">
        <v>31</v>
      </c>
      <c r="D71" s="55"/>
      <c r="E71" s="28"/>
      <c r="F71" s="28">
        <f>-50054.9-160126.1</f>
        <v>-210181</v>
      </c>
      <c r="G71" s="28">
        <f>694855.43</f>
        <v>694855.43</v>
      </c>
      <c r="H71" s="28">
        <f>2549923.18</f>
        <v>2549923.1800000002</v>
      </c>
      <c r="I71" s="49"/>
    </row>
    <row r="72" spans="1:9" x14ac:dyDescent="0.25">
      <c r="B72" s="26">
        <v>6</v>
      </c>
      <c r="C72" s="26" t="s">
        <v>30</v>
      </c>
      <c r="D72" s="55"/>
      <c r="E72" s="28"/>
      <c r="F72" s="28"/>
      <c r="G72" s="28">
        <f>147632.24+171535+92615.7+162166+203944.73</f>
        <v>777893.66999999993</v>
      </c>
      <c r="H72" s="28"/>
      <c r="I72" s="49"/>
    </row>
    <row r="73" spans="1:9" x14ac:dyDescent="0.25">
      <c r="B73" s="26"/>
      <c r="C73" s="26" t="s">
        <v>13</v>
      </c>
      <c r="D73" s="55"/>
      <c r="E73" s="28">
        <f>SUM(E67:E72)</f>
        <v>-153053.20000000001</v>
      </c>
      <c r="F73" s="28">
        <f t="shared" ref="F73:H73" si="1">SUM(F67:F72)</f>
        <v>-3566659.5700000003</v>
      </c>
      <c r="G73" s="28">
        <f t="shared" si="1"/>
        <v>11807820</v>
      </c>
      <c r="H73" s="28">
        <f t="shared" si="1"/>
        <v>3200782.0200000005</v>
      </c>
      <c r="I73" s="49"/>
    </row>
    <row r="74" spans="1:9" x14ac:dyDescent="0.25">
      <c r="B74" s="25"/>
      <c r="C74" s="25"/>
      <c r="D74" s="48"/>
      <c r="E74" s="49">
        <f>E73*F93</f>
        <v>-157122.27319408808</v>
      </c>
      <c r="F74" s="49">
        <f>F73*F93</f>
        <v>-3661482.8004108947</v>
      </c>
      <c r="G74" s="49">
        <f>G73*F93</f>
        <v>12121742.765695961</v>
      </c>
      <c r="H74" s="49">
        <f>H73*F93</f>
        <v>3285878.0279090223</v>
      </c>
      <c r="I74" s="49"/>
    </row>
    <row r="75" spans="1:9" x14ac:dyDescent="0.25">
      <c r="B75" s="25"/>
      <c r="C75" s="25"/>
      <c r="D75" s="48"/>
      <c r="E75" s="49"/>
      <c r="F75" s="49"/>
      <c r="G75" s="49"/>
      <c r="H75" s="49"/>
    </row>
    <row r="76" spans="1:9" x14ac:dyDescent="0.25">
      <c r="B76" s="26">
        <v>7</v>
      </c>
      <c r="C76" s="26" t="s">
        <v>35</v>
      </c>
      <c r="D76" s="58"/>
      <c r="E76" s="28"/>
      <c r="F76" s="28"/>
      <c r="G76" s="28"/>
      <c r="H76" s="28"/>
    </row>
    <row r="77" spans="1:9" x14ac:dyDescent="0.25">
      <c r="B77" s="26"/>
      <c r="C77" s="26" t="s">
        <v>34</v>
      </c>
      <c r="D77" s="58"/>
      <c r="E77" s="28"/>
      <c r="F77" s="28"/>
      <c r="G77" s="120">
        <f>'[1]Rekapitulace stavby'!$CL$99</f>
        <v>48613.016474171054</v>
      </c>
      <c r="H77" s="120">
        <f>'[1]Rekapitulace stavby'!$CM$118</f>
        <v>276540.00428144966</v>
      </c>
      <c r="I77" s="49"/>
    </row>
    <row r="78" spans="1:9" x14ac:dyDescent="0.25">
      <c r="B78" s="26"/>
      <c r="C78" s="26" t="s">
        <v>103</v>
      </c>
      <c r="D78" s="26"/>
      <c r="E78" s="28"/>
      <c r="F78" s="28"/>
      <c r="G78" s="28"/>
      <c r="H78" s="28"/>
      <c r="I78" s="49"/>
    </row>
    <row r="79" spans="1:9" x14ac:dyDescent="0.25">
      <c r="B79" s="26"/>
      <c r="C79" s="26" t="s">
        <v>13</v>
      </c>
      <c r="D79" s="26"/>
      <c r="E79" s="28"/>
      <c r="F79" s="28"/>
      <c r="G79" s="28"/>
      <c r="H79" s="28"/>
      <c r="I79" s="49"/>
    </row>
    <row r="80" spans="1:9" x14ac:dyDescent="0.25">
      <c r="C80" s="24" t="s">
        <v>116</v>
      </c>
      <c r="I80" s="49"/>
    </row>
    <row r="81" spans="3:9" x14ac:dyDescent="0.25">
      <c r="F81" s="126">
        <f>F24+F43+F44+F49+F56</f>
        <v>-3630043.7850671555</v>
      </c>
      <c r="G81" s="61">
        <f>G23+G25+G44+G45+G48+G77</f>
        <v>1495601.4977674615</v>
      </c>
      <c r="H81" s="103">
        <f>H24+H25+H43+H44+H45+H56+H57+H77</f>
        <v>1913936.248626316</v>
      </c>
      <c r="I81" s="126">
        <f>SUM(F81:H81)</f>
        <v>-220506.03867337806</v>
      </c>
    </row>
    <row r="82" spans="3:9" x14ac:dyDescent="0.25">
      <c r="H82" s="103"/>
    </row>
    <row r="83" spans="3:9" x14ac:dyDescent="0.25">
      <c r="H83" s="103"/>
    </row>
    <row r="84" spans="3:9" x14ac:dyDescent="0.25">
      <c r="H84" s="103"/>
    </row>
    <row r="85" spans="3:9" x14ac:dyDescent="0.25">
      <c r="H85" s="103"/>
    </row>
    <row r="86" spans="3:9" x14ac:dyDescent="0.25">
      <c r="H86" s="103"/>
    </row>
    <row r="87" spans="3:9" x14ac:dyDescent="0.25">
      <c r="H87" s="103"/>
    </row>
    <row r="88" spans="3:9" x14ac:dyDescent="0.25">
      <c r="H88" s="103"/>
    </row>
    <row r="90" spans="3:9" x14ac:dyDescent="0.25">
      <c r="C90" s="24" t="s">
        <v>63</v>
      </c>
      <c r="D90" s="45"/>
    </row>
    <row r="91" spans="3:9" x14ac:dyDescent="0.25">
      <c r="C91" s="45" t="s">
        <v>19</v>
      </c>
    </row>
    <row r="92" spans="3:9" x14ac:dyDescent="0.25">
      <c r="C92" s="45" t="s">
        <v>73</v>
      </c>
      <c r="E92" s="24" t="s">
        <v>63</v>
      </c>
      <c r="F92" s="24">
        <v>300126.46999999997</v>
      </c>
    </row>
    <row r="93" spans="3:9" x14ac:dyDescent="0.25">
      <c r="C93" s="45"/>
      <c r="E93" s="24" t="s">
        <v>12</v>
      </c>
      <c r="F93" s="24">
        <f>11589015.72/11288889.25</f>
        <v>1.0265860053503493</v>
      </c>
    </row>
    <row r="94" spans="3:9" x14ac:dyDescent="0.25">
      <c r="C94" s="45" t="s">
        <v>9</v>
      </c>
    </row>
    <row r="95" spans="3:9" x14ac:dyDescent="0.25">
      <c r="C95" s="45" t="s">
        <v>10</v>
      </c>
    </row>
    <row r="96" spans="3:9" x14ac:dyDescent="0.25">
      <c r="C96" s="45" t="s">
        <v>11</v>
      </c>
    </row>
    <row r="97" spans="2:4" x14ac:dyDescent="0.25">
      <c r="C97" s="45" t="s">
        <v>64</v>
      </c>
    </row>
    <row r="98" spans="2:4" x14ac:dyDescent="0.25">
      <c r="C98" s="45" t="s">
        <v>73</v>
      </c>
    </row>
    <row r="99" spans="2:4" x14ac:dyDescent="0.25">
      <c r="C99" s="45"/>
    </row>
    <row r="100" spans="2:4" x14ac:dyDescent="0.25">
      <c r="C100" s="45" t="s">
        <v>12</v>
      </c>
    </row>
    <row r="101" spans="2:4" x14ac:dyDescent="0.25">
      <c r="C101" s="45" t="s">
        <v>73</v>
      </c>
    </row>
    <row r="102" spans="2:4" x14ac:dyDescent="0.25">
      <c r="D102" s="45"/>
    </row>
    <row r="103" spans="2:4" x14ac:dyDescent="0.25">
      <c r="D103" s="45"/>
    </row>
    <row r="105" spans="2:4" x14ac:dyDescent="0.25">
      <c r="B105" s="85"/>
      <c r="C105" s="85"/>
      <c r="D105" s="109"/>
    </row>
    <row r="106" spans="2:4" x14ac:dyDescent="0.25">
      <c r="B106" s="110"/>
      <c r="C106" s="110"/>
      <c r="D106" s="110"/>
    </row>
    <row r="107" spans="2:4" x14ac:dyDescent="0.25">
      <c r="B107" s="85"/>
      <c r="C107" s="111"/>
      <c r="D107" s="111" t="s">
        <v>136</v>
      </c>
    </row>
    <row r="108" spans="2:4" x14ac:dyDescent="0.25">
      <c r="B108" s="85"/>
      <c r="C108" s="111"/>
      <c r="D108" s="111"/>
    </row>
    <row r="109" spans="2:4" x14ac:dyDescent="0.25">
      <c r="B109" s="85"/>
      <c r="C109" s="111" t="s">
        <v>133</v>
      </c>
      <c r="D109" s="111" t="s">
        <v>71</v>
      </c>
    </row>
    <row r="110" spans="2:4" x14ac:dyDescent="0.25">
      <c r="B110" s="85"/>
      <c r="C110" s="111"/>
      <c r="D110" s="111" t="s">
        <v>70</v>
      </c>
    </row>
    <row r="111" spans="2:4" x14ac:dyDescent="0.25">
      <c r="B111" s="85"/>
      <c r="C111" s="111"/>
      <c r="D111" s="111" t="s">
        <v>69</v>
      </c>
    </row>
    <row r="112" spans="2:4" x14ac:dyDescent="0.25">
      <c r="B112" s="85"/>
      <c r="C112" s="111"/>
      <c r="D112" s="111" t="s">
        <v>67</v>
      </c>
    </row>
    <row r="113" spans="2:8" x14ac:dyDescent="0.25">
      <c r="B113" s="85"/>
      <c r="C113" s="111"/>
      <c r="D113" s="111" t="s">
        <v>139</v>
      </c>
    </row>
    <row r="114" spans="2:8" x14ac:dyDescent="0.25">
      <c r="B114" s="85"/>
      <c r="C114" s="111"/>
      <c r="D114" s="111" t="s">
        <v>13</v>
      </c>
    </row>
    <row r="115" spans="2:8" x14ac:dyDescent="0.25">
      <c r="B115" s="85"/>
      <c r="C115" s="111"/>
      <c r="D115" s="111"/>
    </row>
    <row r="116" spans="2:8" x14ac:dyDescent="0.25">
      <c r="B116" s="85"/>
      <c r="C116" s="111" t="s">
        <v>134</v>
      </c>
      <c r="D116" s="111" t="s">
        <v>72</v>
      </c>
    </row>
    <row r="117" spans="2:8" x14ac:dyDescent="0.25">
      <c r="B117" s="85"/>
      <c r="C117" s="111"/>
      <c r="D117" s="111" t="s">
        <v>71</v>
      </c>
    </row>
    <row r="118" spans="2:8" x14ac:dyDescent="0.25">
      <c r="B118" s="85"/>
      <c r="C118" s="111"/>
      <c r="D118" s="111" t="s">
        <v>70</v>
      </c>
    </row>
    <row r="119" spans="2:8" x14ac:dyDescent="0.25">
      <c r="B119" s="85"/>
      <c r="C119" s="111"/>
      <c r="D119" s="111" t="s">
        <v>67</v>
      </c>
    </row>
    <row r="120" spans="2:8" x14ac:dyDescent="0.25">
      <c r="B120" s="85"/>
      <c r="C120" s="111"/>
      <c r="D120" s="111" t="s">
        <v>139</v>
      </c>
    </row>
    <row r="121" spans="2:8" x14ac:dyDescent="0.25">
      <c r="B121" s="85"/>
      <c r="C121" s="111"/>
      <c r="D121" s="111" t="s">
        <v>140</v>
      </c>
    </row>
    <row r="122" spans="2:8" x14ac:dyDescent="0.25">
      <c r="B122" s="85"/>
      <c r="C122" s="111"/>
      <c r="D122" s="111" t="s">
        <v>13</v>
      </c>
    </row>
    <row r="123" spans="2:8" x14ac:dyDescent="0.25">
      <c r="B123" s="85"/>
      <c r="C123" s="111"/>
      <c r="D123" s="111"/>
    </row>
    <row r="124" spans="2:8" x14ac:dyDescent="0.25">
      <c r="B124" s="85"/>
      <c r="C124" s="111"/>
      <c r="D124" s="111"/>
    </row>
    <row r="125" spans="2:8" x14ac:dyDescent="0.25">
      <c r="B125" s="85"/>
      <c r="C125" s="111" t="s">
        <v>135</v>
      </c>
      <c r="D125" s="111" t="s">
        <v>70</v>
      </c>
    </row>
    <row r="126" spans="2:8" x14ac:dyDescent="0.25">
      <c r="B126" s="85"/>
      <c r="C126" s="111"/>
      <c r="D126" s="111" t="s">
        <v>67</v>
      </c>
      <c r="E126" s="45"/>
      <c r="F126" s="45"/>
      <c r="G126" s="45"/>
      <c r="H126" s="45"/>
    </row>
    <row r="127" spans="2:8" x14ac:dyDescent="0.25">
      <c r="B127" s="85"/>
      <c r="C127" s="111"/>
      <c r="D127" s="111" t="s">
        <v>139</v>
      </c>
      <c r="E127" s="45"/>
      <c r="F127" s="45"/>
      <c r="G127" s="45"/>
      <c r="H127" s="45"/>
    </row>
    <row r="128" spans="2:8" x14ac:dyDescent="0.25">
      <c r="B128" s="85"/>
      <c r="C128" s="111"/>
      <c r="D128" s="111" t="s">
        <v>53</v>
      </c>
      <c r="E128" s="45"/>
      <c r="F128" s="45"/>
      <c r="G128" s="45"/>
      <c r="H128" s="45"/>
    </row>
    <row r="129" spans="2:11" x14ac:dyDescent="0.25">
      <c r="B129" s="85"/>
      <c r="C129" s="111"/>
      <c r="D129" s="111"/>
      <c r="E129" s="45"/>
      <c r="F129" s="45"/>
      <c r="G129" s="45"/>
      <c r="H129" s="45"/>
    </row>
    <row r="130" spans="2:11" x14ac:dyDescent="0.25">
      <c r="B130" s="85"/>
      <c r="C130" s="111" t="s">
        <v>140</v>
      </c>
      <c r="D130" s="111" t="s">
        <v>147</v>
      </c>
      <c r="E130" s="45"/>
      <c r="F130" s="45"/>
      <c r="G130" s="45"/>
      <c r="H130" s="45"/>
    </row>
    <row r="131" spans="2:11" x14ac:dyDescent="0.25">
      <c r="B131" s="85"/>
      <c r="C131" s="111"/>
      <c r="D131" s="111"/>
      <c r="E131" s="45"/>
      <c r="F131" s="45"/>
      <c r="G131" s="45"/>
      <c r="H131" s="45"/>
    </row>
    <row r="132" spans="2:11" x14ac:dyDescent="0.25">
      <c r="B132" s="85"/>
      <c r="C132" s="111" t="s">
        <v>142</v>
      </c>
      <c r="D132" s="111"/>
      <c r="I132" s="45"/>
      <c r="J132" s="45"/>
      <c r="K132" s="45"/>
    </row>
    <row r="133" spans="2:11" x14ac:dyDescent="0.25">
      <c r="B133" s="85"/>
      <c r="C133" s="111" t="s">
        <v>142</v>
      </c>
      <c r="D133" s="111"/>
      <c r="I133" s="45"/>
      <c r="J133" s="45"/>
      <c r="K133" s="45"/>
    </row>
    <row r="134" spans="2:11" x14ac:dyDescent="0.25">
      <c r="B134" s="85"/>
      <c r="C134" s="85"/>
      <c r="D134" s="110"/>
    </row>
    <row r="135" spans="2:11" x14ac:dyDescent="0.25">
      <c r="B135" s="85"/>
      <c r="C135" s="85" t="s">
        <v>148</v>
      </c>
      <c r="D135" s="85"/>
    </row>
    <row r="142" spans="2:11" x14ac:dyDescent="0.25">
      <c r="D142" s="45"/>
    </row>
    <row r="143" spans="2:11" x14ac:dyDescent="0.25">
      <c r="D143" s="45"/>
    </row>
    <row r="144" spans="2:11" x14ac:dyDescent="0.25">
      <c r="D144" s="45"/>
    </row>
    <row r="145" spans="4:4" x14ac:dyDescent="0.25">
      <c r="D145" s="45"/>
    </row>
    <row r="146" spans="4:4" x14ac:dyDescent="0.25">
      <c r="D146" s="45"/>
    </row>
  </sheetData>
  <pageMargins left="0.70866141732283472" right="0.70866141732283472" top="0.78740157480314965" bottom="0.78740157480314965" header="0.31496062992125984" footer="0.31496062992125984"/>
  <pageSetup paperSize="8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139"/>
  <sheetViews>
    <sheetView tabSelected="1" topLeftCell="A92" zoomScale="90" zoomScaleNormal="90" workbookViewId="0">
      <selection activeCell="F102" activeCellId="1" sqref="F110 F102"/>
    </sheetView>
  </sheetViews>
  <sheetFormatPr defaultColWidth="9.140625"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4" width="13.28515625" style="24" customWidth="1"/>
    <col min="5" max="6" width="16.42578125" style="24" customWidth="1"/>
    <col min="7" max="7" width="12.7109375" style="24" customWidth="1"/>
    <col min="8" max="10" width="17.85546875" style="25" customWidth="1"/>
    <col min="11" max="11" width="16.28515625" style="24" customWidth="1"/>
    <col min="12" max="12" width="14.85546875" style="24" customWidth="1"/>
    <col min="13" max="13" width="16.28515625" style="24" customWidth="1"/>
    <col min="14" max="14" width="15.7109375" style="24" customWidth="1"/>
    <col min="15" max="15" width="17.42578125" style="24" customWidth="1"/>
    <col min="16" max="16" width="18.7109375" style="24" customWidth="1"/>
    <col min="17" max="17" width="16.140625" style="24" customWidth="1"/>
    <col min="18" max="19" width="19.5703125" style="24" customWidth="1"/>
    <col min="20" max="21" width="19" style="24" customWidth="1"/>
    <col min="22" max="22" width="17.7109375" style="24" customWidth="1"/>
    <col min="23" max="23" width="16.140625" style="24" customWidth="1"/>
    <col min="24" max="24" width="19.85546875" style="24" customWidth="1"/>
    <col min="25" max="26" width="16.140625" style="24" customWidth="1"/>
    <col min="27" max="27" width="14.140625" style="24" customWidth="1"/>
    <col min="28" max="28" width="17.5703125" style="24" bestFit="1" customWidth="1"/>
    <col min="29" max="29" width="16.7109375" style="24" customWidth="1"/>
    <col min="30" max="30" width="18.5703125" style="24" customWidth="1"/>
    <col min="31" max="31" width="15.140625" style="24" customWidth="1"/>
    <col min="32" max="32" width="17.28515625" style="24" customWidth="1"/>
    <col min="33" max="34" width="14.85546875" style="24" bestFit="1" customWidth="1"/>
    <col min="35" max="39" width="14.85546875" style="24" customWidth="1"/>
    <col min="40" max="16384" width="9.140625" style="24"/>
  </cols>
  <sheetData>
    <row r="2" spans="2:37" x14ac:dyDescent="0.25">
      <c r="C2" s="24" t="s">
        <v>0</v>
      </c>
    </row>
    <row r="3" spans="2:37" x14ac:dyDescent="0.25">
      <c r="AA3" s="24" t="s">
        <v>115</v>
      </c>
      <c r="AB3" s="61">
        <f>H18</f>
        <v>141338785</v>
      </c>
    </row>
    <row r="4" spans="2:37" x14ac:dyDescent="0.25">
      <c r="B4" s="26"/>
      <c r="C4" s="26"/>
      <c r="D4" s="26"/>
      <c r="E4" s="26" t="s">
        <v>66</v>
      </c>
      <c r="F4" s="26" t="s">
        <v>75</v>
      </c>
      <c r="G4" s="26" t="s">
        <v>62</v>
      </c>
      <c r="H4" s="26" t="s">
        <v>60</v>
      </c>
      <c r="I4" s="27" t="s">
        <v>149</v>
      </c>
      <c r="J4" s="27" t="s">
        <v>150</v>
      </c>
      <c r="K4" s="66" t="s">
        <v>65</v>
      </c>
      <c r="L4" s="26" t="s">
        <v>54</v>
      </c>
      <c r="M4" s="27" t="s">
        <v>56</v>
      </c>
      <c r="N4" s="27" t="s">
        <v>61</v>
      </c>
      <c r="O4" s="26" t="s">
        <v>81</v>
      </c>
      <c r="P4" s="26" t="s">
        <v>79</v>
      </c>
      <c r="Q4" s="26" t="s">
        <v>80</v>
      </c>
      <c r="R4" s="26" t="s">
        <v>151</v>
      </c>
      <c r="S4" s="26" t="s">
        <v>152</v>
      </c>
      <c r="T4" s="26" t="s">
        <v>153</v>
      </c>
      <c r="U4" s="26" t="s">
        <v>154</v>
      </c>
      <c r="V4" s="26" t="s">
        <v>97</v>
      </c>
      <c r="W4" s="26"/>
      <c r="X4" s="25"/>
      <c r="Y4" s="25"/>
      <c r="Z4" s="25"/>
      <c r="AA4" s="26"/>
      <c r="AB4" s="26" t="s">
        <v>18</v>
      </c>
      <c r="AC4" s="26" t="s">
        <v>158</v>
      </c>
      <c r="AD4" s="26" t="s">
        <v>159</v>
      </c>
      <c r="AE4" s="26" t="s">
        <v>157</v>
      </c>
      <c r="AF4" s="26" t="s">
        <v>160</v>
      </c>
      <c r="AG4" s="26" t="s">
        <v>105</v>
      </c>
      <c r="AH4" s="26" t="s">
        <v>106</v>
      </c>
      <c r="AI4" s="26" t="s">
        <v>107</v>
      </c>
    </row>
    <row r="5" spans="2:37" x14ac:dyDescent="0.25">
      <c r="B5" s="26"/>
      <c r="C5" s="26"/>
      <c r="D5" s="26"/>
      <c r="E5" s="26"/>
      <c r="F5" s="26" t="s">
        <v>77</v>
      </c>
      <c r="G5" s="26"/>
      <c r="H5" s="26" t="s">
        <v>76</v>
      </c>
      <c r="I5" s="27"/>
      <c r="J5" s="27"/>
      <c r="K5" s="67" t="s">
        <v>74</v>
      </c>
      <c r="L5" s="26" t="s">
        <v>78</v>
      </c>
      <c r="M5" s="27"/>
      <c r="N5" s="27"/>
      <c r="O5" s="26"/>
      <c r="P5" s="26"/>
      <c r="Q5" s="26"/>
      <c r="R5" s="26"/>
      <c r="S5" s="26"/>
      <c r="T5" s="26"/>
      <c r="U5" s="26"/>
      <c r="V5" s="26" t="s">
        <v>112</v>
      </c>
      <c r="W5" s="26"/>
      <c r="X5" s="25"/>
      <c r="Y5" s="25"/>
      <c r="Z5" s="25"/>
      <c r="AA5" s="26" t="s">
        <v>104</v>
      </c>
      <c r="AB5" s="28">
        <v>157879368.69</v>
      </c>
      <c r="AC5" s="28">
        <v>21289452</v>
      </c>
      <c r="AD5" s="28">
        <f>SUM(AB5:AC5)</f>
        <v>179168820.69</v>
      </c>
      <c r="AE5" s="28">
        <v>11589015.720000001</v>
      </c>
      <c r="AF5" s="28">
        <f>AD5+AE5</f>
        <v>190757836.41</v>
      </c>
      <c r="AG5" s="26"/>
      <c r="AH5" s="26"/>
      <c r="AI5" s="26"/>
    </row>
    <row r="6" spans="2:37" ht="15.75" thickBot="1" x14ac:dyDescent="0.3">
      <c r="B6" s="26"/>
      <c r="C6" s="26"/>
      <c r="D6" s="26"/>
      <c r="E6" s="26" t="s">
        <v>5</v>
      </c>
      <c r="F6" s="26" t="s">
        <v>5</v>
      </c>
      <c r="G6" s="28" t="s">
        <v>5</v>
      </c>
      <c r="H6" s="28" t="s">
        <v>6</v>
      </c>
      <c r="I6" s="28"/>
      <c r="J6" s="28"/>
      <c r="K6" s="68"/>
      <c r="L6" s="28" t="s">
        <v>130</v>
      </c>
      <c r="M6" s="29"/>
      <c r="N6" s="29"/>
      <c r="O6" s="26"/>
      <c r="P6" s="26"/>
      <c r="Q6" s="26"/>
      <c r="R6" s="26"/>
      <c r="S6" s="26"/>
      <c r="T6" s="26"/>
      <c r="U6" s="26"/>
      <c r="V6" s="26"/>
      <c r="W6" s="26"/>
      <c r="X6" s="104"/>
      <c r="Y6" s="25"/>
      <c r="Z6" s="25"/>
      <c r="AA6" s="26" t="s">
        <v>99</v>
      </c>
      <c r="AB6" s="28">
        <v>115235970.64</v>
      </c>
      <c r="AC6" s="28">
        <v>7296345.4699999997</v>
      </c>
      <c r="AD6" s="28">
        <f>SUM(AB6:AC6)</f>
        <v>122532316.11</v>
      </c>
      <c r="AE6" s="28">
        <v>-220506.04</v>
      </c>
      <c r="AF6" s="28">
        <f>AD6+AE6</f>
        <v>122311810.06999999</v>
      </c>
      <c r="AG6" s="26"/>
      <c r="AH6" s="26"/>
      <c r="AI6" s="26"/>
    </row>
    <row r="7" spans="2:37" ht="15.75" thickBot="1" x14ac:dyDescent="0.3">
      <c r="B7" s="26"/>
      <c r="C7" s="26" t="s">
        <v>26</v>
      </c>
      <c r="D7" s="26"/>
      <c r="E7" s="26"/>
      <c r="F7" s="26"/>
      <c r="G7" s="28"/>
      <c r="H7" s="28"/>
      <c r="I7" s="29"/>
      <c r="J7" s="29"/>
      <c r="K7" s="67"/>
      <c r="L7" s="28"/>
      <c r="M7" s="29"/>
      <c r="N7" s="29"/>
      <c r="O7" s="26"/>
      <c r="P7" s="26"/>
      <c r="Q7" s="26"/>
      <c r="R7" s="26"/>
      <c r="S7" s="26"/>
      <c r="T7" s="26"/>
      <c r="U7" s="26"/>
      <c r="V7" s="26"/>
      <c r="W7" s="26"/>
      <c r="X7" s="104"/>
      <c r="Y7" s="108">
        <f>F8*L8</f>
        <v>45475006.5</v>
      </c>
      <c r="Z7" s="25"/>
      <c r="AA7" s="26" t="s">
        <v>100</v>
      </c>
      <c r="AB7" s="28">
        <v>11998785</v>
      </c>
      <c r="AC7" s="28">
        <v>2728550</v>
      </c>
      <c r="AD7" s="28">
        <f>SUM(AB7:AC7)</f>
        <v>14727335</v>
      </c>
      <c r="AE7" s="28">
        <v>0</v>
      </c>
      <c r="AF7" s="28">
        <f>AD7</f>
        <v>14727335</v>
      </c>
      <c r="AG7" s="26"/>
      <c r="AH7" s="26"/>
      <c r="AI7" s="26"/>
    </row>
    <row r="8" spans="2:37" x14ac:dyDescent="0.25">
      <c r="B8" s="26">
        <v>1</v>
      </c>
      <c r="C8" s="26" t="s">
        <v>1</v>
      </c>
      <c r="D8" s="26"/>
      <c r="E8" s="30">
        <f>E23+E33+E43+E55+E67</f>
        <v>10059.91</v>
      </c>
      <c r="F8" s="30">
        <f>F23+F33+F43+F55+F67</f>
        <v>10083.15</v>
      </c>
      <c r="G8" s="28">
        <f>G23+G33+G43+G55+G67</f>
        <v>12904.18</v>
      </c>
      <c r="H8" s="28">
        <v>45474826</v>
      </c>
      <c r="I8" s="29">
        <f>F8*L8</f>
        <v>45475006.5</v>
      </c>
      <c r="J8" s="29">
        <f>I23+I33+I43+I55+I67</f>
        <v>45475006.5</v>
      </c>
      <c r="K8" s="67">
        <f>K23+K33+K81+K43+K55+K67</f>
        <v>97279558.363588884</v>
      </c>
      <c r="L8" s="28">
        <v>4510</v>
      </c>
      <c r="M8" s="29">
        <f>G8*L8</f>
        <v>58197851.800000004</v>
      </c>
      <c r="N8" s="29">
        <f>M23+M33+M43+M55+M67</f>
        <v>58197851.799999997</v>
      </c>
      <c r="O8" s="26"/>
      <c r="P8" s="32"/>
      <c r="Q8" s="26"/>
      <c r="R8" s="26"/>
      <c r="S8" s="26"/>
      <c r="T8" s="26"/>
      <c r="U8" s="26"/>
      <c r="V8" s="32">
        <f>K8-H8</f>
        <v>51804732.363588884</v>
      </c>
      <c r="W8" s="26"/>
      <c r="X8" s="57"/>
      <c r="Y8" s="57">
        <f t="shared" ref="Y8:Y17" si="0">F9*L9</f>
        <v>0</v>
      </c>
      <c r="Z8" s="25"/>
      <c r="AA8" s="89" t="s">
        <v>101</v>
      </c>
      <c r="AB8" s="89"/>
      <c r="AC8" s="90">
        <v>9394916</v>
      </c>
      <c r="AD8" s="26"/>
      <c r="AE8" s="26"/>
      <c r="AF8" s="26"/>
      <c r="AG8" s="26"/>
      <c r="AH8" s="26"/>
      <c r="AI8" s="26"/>
    </row>
    <row r="9" spans="2:37" x14ac:dyDescent="0.25">
      <c r="B9" s="26"/>
      <c r="C9" s="26"/>
      <c r="D9" s="26"/>
      <c r="E9" s="30"/>
      <c r="F9" s="30"/>
      <c r="G9" s="28"/>
      <c r="H9" s="28"/>
      <c r="I9" s="29">
        <f t="shared" ref="I9:I17" si="1">F9*L9</f>
        <v>0</v>
      </c>
      <c r="J9" s="29"/>
      <c r="K9" s="67"/>
      <c r="L9" s="28"/>
      <c r="M9" s="29"/>
      <c r="N9" s="29"/>
      <c r="O9" s="26"/>
      <c r="P9" s="26"/>
      <c r="Q9" s="26"/>
      <c r="R9" s="26"/>
      <c r="S9" s="26"/>
      <c r="T9" s="26"/>
      <c r="U9" s="26"/>
      <c r="V9" s="32"/>
      <c r="W9" s="26"/>
      <c r="X9" s="25"/>
      <c r="Y9" s="57">
        <f t="shared" si="0"/>
        <v>17064322.000000004</v>
      </c>
      <c r="Z9" s="25"/>
      <c r="AA9" s="84" t="s">
        <v>108</v>
      </c>
      <c r="AB9" s="71"/>
      <c r="AC9" s="80"/>
      <c r="AD9" s="71">
        <v>2428629.9900000002</v>
      </c>
      <c r="AE9" s="71"/>
      <c r="AF9" s="71">
        <f>AD9</f>
        <v>2428629.9900000002</v>
      </c>
      <c r="AG9" s="26"/>
      <c r="AH9" s="26"/>
      <c r="AI9" s="26"/>
    </row>
    <row r="10" spans="2:37" x14ac:dyDescent="0.25">
      <c r="B10" s="26">
        <v>2</v>
      </c>
      <c r="C10" s="26" t="s">
        <v>57</v>
      </c>
      <c r="D10" s="26"/>
      <c r="E10" s="30">
        <f>E24+E34+E44+E56+E68</f>
        <v>4968.6900000000005</v>
      </c>
      <c r="F10" s="102">
        <f>F24+F34+F44+F56+F68</f>
        <v>5004.2000000000007</v>
      </c>
      <c r="G10" s="28">
        <f>G24+G34+G44+G56+G68</f>
        <v>5146.91</v>
      </c>
      <c r="H10" s="101">
        <v>17065004</v>
      </c>
      <c r="I10" s="29">
        <f t="shared" si="1"/>
        <v>17064322.000000004</v>
      </c>
      <c r="J10" s="29">
        <f>I24+I34+I44+I56+I68</f>
        <v>17064322</v>
      </c>
      <c r="K10" s="67">
        <f>K24+K34+K44+K56+K68</f>
        <v>41720518.986441389</v>
      </c>
      <c r="L10" s="28">
        <f>3410</f>
        <v>3410</v>
      </c>
      <c r="M10" s="29">
        <f t="shared" ref="M10:M16" si="2">G10*L10</f>
        <v>17550963.099999998</v>
      </c>
      <c r="N10" s="65">
        <f>M24+M34+M44+M56+M68</f>
        <v>17550963.100000001</v>
      </c>
      <c r="O10" s="26"/>
      <c r="P10" s="26"/>
      <c r="Q10" s="26"/>
      <c r="R10" s="26"/>
      <c r="S10" s="26"/>
      <c r="T10" s="26"/>
      <c r="U10" s="26"/>
      <c r="V10" s="32">
        <f t="shared" ref="V10:V16" si="3">K10-H10</f>
        <v>24655514.986441389</v>
      </c>
      <c r="W10" s="26"/>
      <c r="X10" s="25"/>
      <c r="Y10" s="57">
        <f t="shared" si="0"/>
        <v>0</v>
      </c>
      <c r="Z10" s="25"/>
      <c r="AA10" s="26" t="s">
        <v>13</v>
      </c>
      <c r="AB10" s="26"/>
      <c r="AC10" s="26"/>
      <c r="AD10" s="32">
        <f>SUM(AD5:AD9)</f>
        <v>318857101.79000002</v>
      </c>
      <c r="AE10" s="32"/>
      <c r="AF10" s="32">
        <f>SUM(AF5:AF9)</f>
        <v>330225611.47000003</v>
      </c>
      <c r="AG10" s="96">
        <f>AF10*0.21</f>
        <v>69347378.408700004</v>
      </c>
      <c r="AH10" s="32">
        <f>V18</f>
        <v>134916161.41777149</v>
      </c>
      <c r="AI10" s="32">
        <f>AD12-AB3</f>
        <v>176247076.33000004</v>
      </c>
    </row>
    <row r="11" spans="2:37" x14ac:dyDescent="0.25">
      <c r="B11" s="26"/>
      <c r="C11" s="26"/>
      <c r="D11" s="26"/>
      <c r="E11" s="30"/>
      <c r="F11" s="30"/>
      <c r="G11" s="28"/>
      <c r="H11" s="28"/>
      <c r="I11" s="29">
        <f t="shared" si="1"/>
        <v>0</v>
      </c>
      <c r="J11" s="29"/>
      <c r="K11" s="67"/>
      <c r="L11" s="28"/>
      <c r="M11" s="29"/>
      <c r="N11" s="65"/>
      <c r="O11" s="26"/>
      <c r="P11" s="26"/>
      <c r="Q11" s="26"/>
      <c r="R11" s="26"/>
      <c r="S11" s="26"/>
      <c r="T11" s="26"/>
      <c r="U11" s="26"/>
      <c r="V11" s="32"/>
      <c r="W11" s="26"/>
      <c r="X11" s="25"/>
      <c r="Y11" s="57">
        <f t="shared" si="0"/>
        <v>46189786.5</v>
      </c>
      <c r="Z11" s="25"/>
      <c r="AA11" s="85" t="s">
        <v>129</v>
      </c>
      <c r="AB11" s="87"/>
      <c r="AC11" s="25"/>
      <c r="AD11" s="88">
        <v>-1271240.46</v>
      </c>
      <c r="AE11" s="57"/>
      <c r="AF11" s="88">
        <v>0</v>
      </c>
      <c r="AG11" s="57"/>
    </row>
    <row r="12" spans="2:37" x14ac:dyDescent="0.25">
      <c r="B12" s="26">
        <v>3</v>
      </c>
      <c r="C12" s="26" t="s">
        <v>2</v>
      </c>
      <c r="D12" s="26"/>
      <c r="E12" s="30">
        <f>E25+E35+E45+E57+E69</f>
        <v>4341.7899999999991</v>
      </c>
      <c r="F12" s="30">
        <f>F25+F35+F45+F57+F69</f>
        <v>4306.74</v>
      </c>
      <c r="G12" s="28">
        <f>G25+G35+G45+G57+G69</f>
        <v>4446.71</v>
      </c>
      <c r="H12" s="28">
        <v>46189894</v>
      </c>
      <c r="I12" s="29">
        <f t="shared" si="1"/>
        <v>46189786.5</v>
      </c>
      <c r="J12" s="29">
        <f>I25+I35+I45+I57+I69</f>
        <v>46189786.5</v>
      </c>
      <c r="K12" s="67">
        <f>K25+K35+K45+K57+K69</f>
        <v>85981380.1612508</v>
      </c>
      <c r="L12" s="28">
        <v>10725</v>
      </c>
      <c r="M12" s="29">
        <f t="shared" si="2"/>
        <v>47690964.75</v>
      </c>
      <c r="N12" s="65">
        <f>M25+M35+M45+M57+M69</f>
        <v>47690964.75</v>
      </c>
      <c r="O12" s="26"/>
      <c r="P12" s="26"/>
      <c r="Q12" s="26"/>
      <c r="R12" s="26"/>
      <c r="S12" s="26"/>
      <c r="T12" s="26"/>
      <c r="U12" s="26"/>
      <c r="V12" s="32">
        <f t="shared" si="3"/>
        <v>39791486.1612508</v>
      </c>
      <c r="W12" s="26"/>
      <c r="X12" s="25"/>
      <c r="Y12" s="57">
        <f t="shared" si="0"/>
        <v>5600126.3999999994</v>
      </c>
      <c r="Z12" s="25"/>
      <c r="AD12" s="91">
        <f>AD10+AD11</f>
        <v>317585861.33000004</v>
      </c>
      <c r="AF12" s="91">
        <f>SUM(AF10:AF11)</f>
        <v>330225611.47000003</v>
      </c>
    </row>
    <row r="13" spans="2:37" x14ac:dyDescent="0.25">
      <c r="B13" s="26">
        <v>4</v>
      </c>
      <c r="C13" s="26" t="s">
        <v>58</v>
      </c>
      <c r="D13" s="26"/>
      <c r="E13" s="30">
        <f>E70</f>
        <v>1766.4</v>
      </c>
      <c r="F13" s="30">
        <f>F70</f>
        <v>1497.36</v>
      </c>
      <c r="G13" s="28">
        <f>G70</f>
        <v>1847</v>
      </c>
      <c r="H13" s="28">
        <v>5600126</v>
      </c>
      <c r="I13" s="29">
        <f>F13*L13</f>
        <v>5600126.3999999994</v>
      </c>
      <c r="J13" s="29">
        <f>I70</f>
        <v>5600126.3999999994</v>
      </c>
      <c r="K13" s="67">
        <f>K70</f>
        <v>5797267.7410820844</v>
      </c>
      <c r="L13" s="28">
        <v>3740</v>
      </c>
      <c r="M13" s="29">
        <f>G13*L13</f>
        <v>6907780</v>
      </c>
      <c r="N13" s="29">
        <f>M70</f>
        <v>6907780</v>
      </c>
      <c r="O13" s="26"/>
      <c r="P13" s="26"/>
      <c r="Q13" s="26"/>
      <c r="R13" s="26"/>
      <c r="S13" s="26"/>
      <c r="T13" s="26"/>
      <c r="U13" s="26"/>
      <c r="V13" s="32">
        <f t="shared" si="3"/>
        <v>197141.74108208437</v>
      </c>
      <c r="W13" s="26"/>
      <c r="X13" s="25"/>
      <c r="Y13" s="57">
        <f t="shared" si="0"/>
        <v>4755231.25</v>
      </c>
      <c r="Z13" s="25"/>
      <c r="AC13" s="86"/>
      <c r="AD13" s="92" t="s">
        <v>111</v>
      </c>
    </row>
    <row r="14" spans="2:37" x14ac:dyDescent="0.25">
      <c r="B14" s="26">
        <v>5</v>
      </c>
      <c r="C14" s="26" t="s">
        <v>59</v>
      </c>
      <c r="D14" s="26"/>
      <c r="E14" s="30">
        <f>E27+E37+E47+E59+E71</f>
        <v>10587.529999999999</v>
      </c>
      <c r="F14" s="30">
        <f>F27+F37+F47+F59+F71</f>
        <v>3458.35</v>
      </c>
      <c r="G14" s="28">
        <f>G27+G37+G47+G59+G71</f>
        <v>3821.81</v>
      </c>
      <c r="H14" s="28">
        <v>4755231</v>
      </c>
      <c r="I14" s="29">
        <f t="shared" si="1"/>
        <v>4755231.25</v>
      </c>
      <c r="J14" s="29">
        <f>I27++I37++I47++I59+I71</f>
        <v>4755231.25</v>
      </c>
      <c r="K14" s="67">
        <f>(K27+K37++K47+K59++K71)</f>
        <v>12245697.775703955</v>
      </c>
      <c r="L14" s="28">
        <v>1375</v>
      </c>
      <c r="M14" s="29">
        <f t="shared" si="2"/>
        <v>5254988.75</v>
      </c>
      <c r="N14" s="56">
        <f>M27+M37+M47+M59+M71</f>
        <v>5254988.75</v>
      </c>
      <c r="O14" s="26"/>
      <c r="P14" s="26"/>
      <c r="Q14" s="26"/>
      <c r="R14" s="26"/>
      <c r="S14" s="26"/>
      <c r="T14" s="26"/>
      <c r="U14" s="26"/>
      <c r="V14" s="32">
        <f t="shared" si="3"/>
        <v>7490466.7757039554</v>
      </c>
      <c r="W14" s="26"/>
      <c r="X14" s="25"/>
      <c r="Y14" s="57">
        <f t="shared" si="0"/>
        <v>14102638</v>
      </c>
      <c r="Z14" s="25"/>
    </row>
    <row r="15" spans="2:37" x14ac:dyDescent="0.25">
      <c r="B15" s="26">
        <v>6</v>
      </c>
      <c r="C15" s="26" t="s">
        <v>8</v>
      </c>
      <c r="D15" s="26"/>
      <c r="E15" s="30">
        <v>202</v>
      </c>
      <c r="F15" s="30">
        <v>235.24</v>
      </c>
      <c r="G15" s="28">
        <v>235.24</v>
      </c>
      <c r="H15" s="28">
        <v>14102638</v>
      </c>
      <c r="I15" s="29">
        <f t="shared" si="1"/>
        <v>14102638</v>
      </c>
      <c r="J15" s="29">
        <f>I72</f>
        <v>14102638</v>
      </c>
      <c r="K15" s="67">
        <f>K38+K48+K60+K72</f>
        <v>24095918.330642026</v>
      </c>
      <c r="L15" s="28">
        <v>59950</v>
      </c>
      <c r="M15" s="29">
        <f t="shared" si="2"/>
        <v>14102638</v>
      </c>
      <c r="N15" s="65">
        <f>M72</f>
        <v>14102638</v>
      </c>
      <c r="O15" s="26"/>
      <c r="P15" s="26"/>
      <c r="Q15" s="26"/>
      <c r="R15" s="26"/>
      <c r="S15" s="26"/>
      <c r="T15" s="26"/>
      <c r="U15" s="26"/>
      <c r="V15" s="32">
        <f t="shared" si="3"/>
        <v>9993280.3306420259</v>
      </c>
      <c r="W15" s="26"/>
      <c r="X15" s="25"/>
      <c r="Y15" s="57">
        <f t="shared" si="0"/>
        <v>0</v>
      </c>
      <c r="Z15" s="25"/>
    </row>
    <row r="16" spans="2:37" x14ac:dyDescent="0.25">
      <c r="B16" s="26"/>
      <c r="C16" s="26" t="s">
        <v>46</v>
      </c>
      <c r="D16" s="26"/>
      <c r="E16" s="30">
        <v>128.69999999999999</v>
      </c>
      <c r="F16" s="59">
        <v>162.24</v>
      </c>
      <c r="G16" s="28"/>
      <c r="I16" s="29">
        <f t="shared" si="1"/>
        <v>0</v>
      </c>
      <c r="J16" s="29"/>
      <c r="K16" s="67"/>
      <c r="L16" s="28">
        <f t="shared" ref="L16" si="4">H16/F16</f>
        <v>0</v>
      </c>
      <c r="M16" s="29">
        <f t="shared" si="2"/>
        <v>0</v>
      </c>
      <c r="N16" s="29"/>
      <c r="O16" s="26"/>
      <c r="P16" s="26"/>
      <c r="Q16" s="26"/>
      <c r="R16" s="26"/>
      <c r="S16" s="26"/>
      <c r="T16" s="26"/>
      <c r="U16" s="26"/>
      <c r="V16" s="32">
        <f t="shared" si="3"/>
        <v>0</v>
      </c>
      <c r="W16" s="26"/>
      <c r="X16" s="25"/>
      <c r="Y16" s="57">
        <f t="shared" si="0"/>
        <v>8151066</v>
      </c>
      <c r="Z16" s="25"/>
      <c r="AB16" s="26"/>
      <c r="AC16" s="26">
        <v>1</v>
      </c>
      <c r="AD16" s="26">
        <v>2</v>
      </c>
      <c r="AE16" s="26">
        <v>3</v>
      </c>
      <c r="AF16" s="26">
        <v>4</v>
      </c>
      <c r="AG16" s="26">
        <v>5</v>
      </c>
      <c r="AH16" s="26">
        <v>6</v>
      </c>
      <c r="AI16" s="26">
        <v>7</v>
      </c>
      <c r="AJ16" s="26">
        <v>8</v>
      </c>
      <c r="AK16" s="26">
        <v>9</v>
      </c>
    </row>
    <row r="17" spans="2:38" x14ac:dyDescent="0.25">
      <c r="B17" s="26">
        <v>7</v>
      </c>
      <c r="C17" s="26" t="s">
        <v>55</v>
      </c>
      <c r="D17" s="64"/>
      <c r="E17" s="26"/>
      <c r="F17" s="59">
        <v>235.24</v>
      </c>
      <c r="G17" s="28">
        <f>F17</f>
        <v>235.24</v>
      </c>
      <c r="H17" s="106">
        <v>8151066</v>
      </c>
      <c r="I17" s="29">
        <f t="shared" si="1"/>
        <v>8151066</v>
      </c>
      <c r="J17" s="29">
        <f>I77</f>
        <v>8151066</v>
      </c>
      <c r="K17" s="67">
        <f>K79</f>
        <v>9134605.0590623338</v>
      </c>
      <c r="L17" s="28">
        <v>34650</v>
      </c>
      <c r="M17" s="29">
        <f>G17*L17</f>
        <v>8151066</v>
      </c>
      <c r="N17" s="65">
        <f>M77</f>
        <v>8151066</v>
      </c>
      <c r="O17" s="26"/>
      <c r="P17" s="26"/>
      <c r="Q17" s="26"/>
      <c r="R17" s="26"/>
      <c r="S17" s="26"/>
      <c r="T17" s="26"/>
      <c r="U17" s="26"/>
      <c r="V17" s="79">
        <f>K17-H17</f>
        <v>983539.05906233378</v>
      </c>
      <c r="W17" s="26"/>
      <c r="X17" s="25"/>
      <c r="Y17" s="57">
        <f t="shared" si="0"/>
        <v>0</v>
      </c>
      <c r="Z17" s="25"/>
      <c r="AB17" s="26"/>
      <c r="AC17" s="26" t="s">
        <v>67</v>
      </c>
      <c r="AD17" s="26" t="s">
        <v>69</v>
      </c>
      <c r="AE17" s="26" t="s">
        <v>70</v>
      </c>
      <c r="AF17" s="26" t="s">
        <v>71</v>
      </c>
      <c r="AG17" s="26" t="s">
        <v>72</v>
      </c>
      <c r="AH17" s="26" t="s">
        <v>53</v>
      </c>
      <c r="AI17" s="26" t="s">
        <v>115</v>
      </c>
      <c r="AJ17" s="55" t="s">
        <v>117</v>
      </c>
      <c r="AK17" s="26" t="s">
        <v>97</v>
      </c>
    </row>
    <row r="18" spans="2:38" x14ac:dyDescent="0.25">
      <c r="B18" s="26"/>
      <c r="C18" s="26"/>
      <c r="D18" s="26"/>
      <c r="E18" s="26"/>
      <c r="F18" s="26"/>
      <c r="G18" s="27"/>
      <c r="H18" s="113">
        <f>SUM(H8:H17)</f>
        <v>141338785</v>
      </c>
      <c r="I18" s="113">
        <f>SUM(I8:I17)</f>
        <v>141338176.65000001</v>
      </c>
      <c r="J18" s="116">
        <f>SUM(J8:J17)</f>
        <v>141338176.65000001</v>
      </c>
      <c r="K18" s="83">
        <f>SUM(K8:K17)</f>
        <v>276254946.41777146</v>
      </c>
      <c r="L18" s="26"/>
      <c r="M18" s="29">
        <f>SUM(M8:M17)</f>
        <v>157856252.40000001</v>
      </c>
      <c r="N18" s="33">
        <f>SUM(N8:N17)</f>
        <v>157856252.40000001</v>
      </c>
      <c r="O18" s="26"/>
      <c r="P18" s="26"/>
      <c r="Q18" s="26"/>
      <c r="R18" s="26"/>
      <c r="S18" s="26"/>
      <c r="T18" s="26"/>
      <c r="U18" s="26"/>
      <c r="V18" s="32">
        <f>SUM(V8:V17)</f>
        <v>134916161.41777149</v>
      </c>
      <c r="W18" s="32"/>
      <c r="X18" s="57"/>
      <c r="Y18" s="57">
        <f>SUM(Y7:Y17)</f>
        <v>141338176.65000001</v>
      </c>
      <c r="Z18" s="25"/>
      <c r="AB18" s="26"/>
      <c r="AC18" s="26" t="s">
        <v>120</v>
      </c>
      <c r="AD18" s="26"/>
      <c r="AE18" s="26"/>
      <c r="AF18" s="26"/>
      <c r="AG18" s="26" t="s">
        <v>121</v>
      </c>
      <c r="AH18" s="24" t="s">
        <v>127</v>
      </c>
      <c r="AI18" s="26" t="s">
        <v>123</v>
      </c>
      <c r="AJ18" s="95" t="s">
        <v>124</v>
      </c>
      <c r="AK18" s="26" t="s">
        <v>125</v>
      </c>
    </row>
    <row r="19" spans="2:38" x14ac:dyDescent="0.25">
      <c r="B19" s="26"/>
      <c r="C19" s="26" t="s">
        <v>17</v>
      </c>
      <c r="D19" s="26"/>
      <c r="E19" s="26"/>
      <c r="F19" s="26"/>
      <c r="G19" s="26"/>
      <c r="H19" s="107"/>
      <c r="I19" s="26"/>
      <c r="J19" s="27"/>
      <c r="K19" s="66"/>
      <c r="L19" s="26"/>
      <c r="M19" s="33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5"/>
      <c r="Y19" s="25"/>
      <c r="Z19" s="25"/>
      <c r="AB19" s="26"/>
      <c r="AC19" s="26" t="s">
        <v>16</v>
      </c>
      <c r="AD19" s="26"/>
      <c r="AE19" s="26"/>
      <c r="AF19" s="26"/>
      <c r="AG19" s="26"/>
      <c r="AH19" s="26" t="s">
        <v>122</v>
      </c>
      <c r="AI19" s="26" t="s">
        <v>128</v>
      </c>
      <c r="AJ19" s="55"/>
      <c r="AK19" s="26"/>
      <c r="AL19" s="25"/>
    </row>
    <row r="20" spans="2:38" ht="6" customHeight="1" x14ac:dyDescent="0.25">
      <c r="B20" s="26"/>
      <c r="C20" s="26"/>
      <c r="D20" s="26"/>
      <c r="E20" s="26"/>
      <c r="F20" s="26"/>
      <c r="G20" s="26"/>
      <c r="H20" s="26"/>
      <c r="I20" s="27"/>
      <c r="J20" s="27"/>
      <c r="K20" s="66"/>
      <c r="L20" s="26"/>
      <c r="M20" s="27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5"/>
      <c r="Y20" s="25"/>
      <c r="Z20" s="25"/>
      <c r="AB20" s="26"/>
      <c r="AC20" s="26"/>
      <c r="AD20" s="26"/>
      <c r="AE20" s="26"/>
      <c r="AF20" s="26"/>
      <c r="AG20" s="26"/>
      <c r="AH20" s="26"/>
      <c r="AI20" s="26"/>
      <c r="AJ20" s="55"/>
      <c r="AK20" s="26"/>
      <c r="AL20" s="25"/>
    </row>
    <row r="21" spans="2:38" x14ac:dyDescent="0.25">
      <c r="B21" s="26"/>
      <c r="C21" s="26" t="s">
        <v>19</v>
      </c>
      <c r="D21" s="26"/>
      <c r="E21" s="34" t="s">
        <v>43</v>
      </c>
      <c r="F21" s="35" t="s">
        <v>44</v>
      </c>
      <c r="G21" s="26"/>
      <c r="H21" s="26"/>
      <c r="I21" s="27"/>
      <c r="J21" s="27"/>
      <c r="K21" s="66"/>
      <c r="L21" s="26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5"/>
      <c r="Y21" s="25"/>
      <c r="Z21" s="25"/>
      <c r="AA21" s="72" t="s">
        <v>96</v>
      </c>
      <c r="AB21" s="26" t="s">
        <v>19</v>
      </c>
      <c r="AC21" s="32">
        <f>SUM(K23:K25)</f>
        <v>10594424.861128896</v>
      </c>
      <c r="AD21" s="26"/>
      <c r="AE21" s="32">
        <f>K27</f>
        <v>401551.14601750282</v>
      </c>
      <c r="AF21" s="26"/>
      <c r="AG21" s="26"/>
      <c r="AH21" s="32">
        <f>SUM(AC21:AG21)</f>
        <v>10995976.007146399</v>
      </c>
      <c r="AI21" s="32">
        <f>H29</f>
        <v>13162404.75</v>
      </c>
      <c r="AJ21" s="96">
        <f>AH21-AI21</f>
        <v>-2166428.7428536005</v>
      </c>
      <c r="AK21" s="32">
        <f>AD7-AI21</f>
        <v>1564930.25</v>
      </c>
      <c r="AL21" s="57"/>
    </row>
    <row r="22" spans="2:38" ht="5.45" customHeight="1" x14ac:dyDescent="0.25">
      <c r="B22" s="26"/>
      <c r="C22" s="26"/>
      <c r="D22" s="26"/>
      <c r="E22" s="36"/>
      <c r="F22" s="37"/>
      <c r="G22" s="26"/>
      <c r="H22" s="26"/>
      <c r="I22" s="27"/>
      <c r="J22" s="27"/>
      <c r="K22" s="66"/>
      <c r="L22" s="26"/>
      <c r="M22" s="27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5"/>
      <c r="Y22" s="25"/>
      <c r="Z22" s="25"/>
      <c r="AA22" s="72"/>
      <c r="AB22" s="26"/>
      <c r="AC22" s="26"/>
      <c r="AD22" s="26"/>
      <c r="AE22" s="26"/>
      <c r="AF22" s="26"/>
      <c r="AG22" s="26"/>
      <c r="AH22" s="26"/>
      <c r="AI22" s="26"/>
      <c r="AJ22" s="55"/>
      <c r="AK22" s="32">
        <f t="shared" ref="AK22" si="5">AD8-AI22</f>
        <v>0</v>
      </c>
      <c r="AL22" s="25"/>
    </row>
    <row r="23" spans="2:38" x14ac:dyDescent="0.25">
      <c r="B23" s="26">
        <v>1</v>
      </c>
      <c r="C23" s="26" t="s">
        <v>14</v>
      </c>
      <c r="D23" s="26"/>
      <c r="E23" s="38">
        <f>F23</f>
        <v>1540.18</v>
      </c>
      <c r="F23" s="30">
        <v>1540.18</v>
      </c>
      <c r="G23" s="39">
        <f>F23</f>
        <v>1540.18</v>
      </c>
      <c r="H23" s="28">
        <f>F23*L23</f>
        <v>6946211.8000000007</v>
      </c>
      <c r="I23" s="29">
        <f>F23*L23</f>
        <v>6946211.8000000007</v>
      </c>
      <c r="J23" s="29"/>
      <c r="K23" s="70">
        <f>(O23+P23+Q23)*G85</f>
        <v>5965134.3350173496</v>
      </c>
      <c r="L23" s="28">
        <v>4510</v>
      </c>
      <c r="M23" s="33">
        <f>G23*L23</f>
        <v>6946211.8000000007</v>
      </c>
      <c r="N23" s="27"/>
      <c r="O23" s="40">
        <f>5882136</f>
        <v>5882136</v>
      </c>
      <c r="P23" s="26"/>
      <c r="Q23" s="77"/>
      <c r="R23" s="77"/>
      <c r="S23" s="77"/>
      <c r="T23" s="121"/>
      <c r="U23" s="77"/>
      <c r="V23" s="77"/>
      <c r="W23" s="77"/>
      <c r="X23" s="78">
        <f>F23*L23</f>
        <v>6946211.8000000007</v>
      </c>
      <c r="Y23" s="78"/>
      <c r="Z23" s="78"/>
      <c r="AA23" s="72" t="s">
        <v>95</v>
      </c>
      <c r="AB23" s="26" t="s">
        <v>68</v>
      </c>
      <c r="AC23" s="32">
        <f>SUM(K33:K35,K43:K45,K55:K57)</f>
        <v>73957395.509370804</v>
      </c>
      <c r="AD23" s="26"/>
      <c r="AE23" s="32">
        <f>SUM(K37+K47+K59)</f>
        <v>5836650.9264194444</v>
      </c>
      <c r="AF23" s="32">
        <f>SUM(K38+K48+K60)</f>
        <v>9278451.7475815397</v>
      </c>
      <c r="AG23" s="32">
        <f>K77+K78</f>
        <v>9134605.0590623338</v>
      </c>
      <c r="AH23" s="32">
        <f>SUM(AC23:AG23)+AC25</f>
        <v>99364492.772434115</v>
      </c>
      <c r="AI23" s="32">
        <f>H39+H51+H61</f>
        <v>51064592.149999999</v>
      </c>
      <c r="AJ23" s="96">
        <f>AH23-AI23</f>
        <v>48299900.622434117</v>
      </c>
      <c r="AK23" s="32">
        <f>AD6-AI23</f>
        <v>71467723.960000008</v>
      </c>
      <c r="AL23" s="57"/>
    </row>
    <row r="24" spans="2:38" x14ac:dyDescent="0.25">
      <c r="B24" s="26">
        <v>2</v>
      </c>
      <c r="C24" s="26" t="s">
        <v>15</v>
      </c>
      <c r="D24" s="26"/>
      <c r="E24" s="38">
        <f>F24</f>
        <v>635.12</v>
      </c>
      <c r="F24" s="102">
        <v>635.12</v>
      </c>
      <c r="G24" s="39">
        <v>635</v>
      </c>
      <c r="H24" s="28">
        <f t="shared" ref="H24:H27" si="6">F24*L24</f>
        <v>2165759.2000000002</v>
      </c>
      <c r="I24" s="29">
        <f t="shared" ref="I24:I27" si="7">F24*L24</f>
        <v>2165759.2000000002</v>
      </c>
      <c r="J24" s="29"/>
      <c r="K24" s="70">
        <f>(O24+P24+Q24)*G85</f>
        <v>451372.35375746875</v>
      </c>
      <c r="L24" s="28">
        <v>3410</v>
      </c>
      <c r="M24" s="33">
        <f>G24*L24</f>
        <v>2165350</v>
      </c>
      <c r="N24" s="27"/>
      <c r="O24" s="40">
        <v>445092</v>
      </c>
      <c r="P24" s="26"/>
      <c r="Q24" s="26"/>
      <c r="R24" s="26"/>
      <c r="S24" s="122"/>
      <c r="T24" s="26"/>
      <c r="U24" s="124"/>
      <c r="V24" s="26"/>
      <c r="W24" s="26"/>
      <c r="X24" s="78">
        <f t="shared" ref="X24:X28" si="8">F24*L24</f>
        <v>2165759.2000000002</v>
      </c>
      <c r="Y24" s="78"/>
      <c r="Z24" s="78"/>
      <c r="AA24" s="72" t="s">
        <v>94</v>
      </c>
      <c r="AB24" s="26" t="s">
        <v>12</v>
      </c>
      <c r="AC24" s="32">
        <f>K67+K68+K69</f>
        <v>140429637.14078137</v>
      </c>
      <c r="AD24" s="32">
        <f>K70</f>
        <v>5797267.7410820844</v>
      </c>
      <c r="AE24" s="32">
        <f>K71</f>
        <v>6007495.7032670081</v>
      </c>
      <c r="AF24" s="32">
        <f>K72</f>
        <v>14817466.583060486</v>
      </c>
      <c r="AG24" s="26"/>
      <c r="AH24" s="32">
        <f>SUM(AC24:AG24)</f>
        <v>167051867.16819093</v>
      </c>
      <c r="AI24" s="32">
        <f>H73</f>
        <v>68960113.75</v>
      </c>
      <c r="AJ24" s="96">
        <f>AH24-AI24</f>
        <v>98091753.418190926</v>
      </c>
      <c r="AK24" s="32">
        <f>AD5-AI24</f>
        <v>110208706.94</v>
      </c>
      <c r="AL24" s="57"/>
    </row>
    <row r="25" spans="2:38" x14ac:dyDescent="0.25">
      <c r="B25" s="26">
        <v>3</v>
      </c>
      <c r="C25" s="26" t="s">
        <v>16</v>
      </c>
      <c r="D25" s="26"/>
      <c r="E25" s="38">
        <v>309.39999999999998</v>
      </c>
      <c r="F25" s="30">
        <v>293.2</v>
      </c>
      <c r="G25" s="39">
        <f>F25</f>
        <v>293.2</v>
      </c>
      <c r="H25" s="28">
        <f t="shared" si="6"/>
        <v>3144570</v>
      </c>
      <c r="I25" s="29">
        <f t="shared" si="7"/>
        <v>3144570</v>
      </c>
      <c r="J25" s="29"/>
      <c r="K25" s="70">
        <f>(O25+P25+Q25)*G85</f>
        <v>4177918.172354077</v>
      </c>
      <c r="L25" s="28">
        <v>10725</v>
      </c>
      <c r="M25" s="33">
        <f>G25*L25</f>
        <v>3144570</v>
      </c>
      <c r="N25" s="27"/>
      <c r="O25" s="40">
        <v>4119787</v>
      </c>
      <c r="P25" s="26"/>
      <c r="Q25" s="26"/>
      <c r="R25" s="26"/>
      <c r="S25" s="26"/>
      <c r="T25" s="122"/>
      <c r="U25" s="124"/>
      <c r="V25" s="26"/>
      <c r="W25" s="26"/>
      <c r="X25" s="78">
        <f t="shared" si="8"/>
        <v>3144570</v>
      </c>
      <c r="Y25" s="78"/>
      <c r="Z25" s="78"/>
      <c r="AA25" s="81" t="s">
        <v>109</v>
      </c>
      <c r="AB25" s="82" t="s">
        <v>110</v>
      </c>
      <c r="AC25" s="83">
        <f>AD9+AD11</f>
        <v>1157389.5300000003</v>
      </c>
      <c r="AD25" s="32"/>
      <c r="AE25" s="32"/>
      <c r="AF25" s="32"/>
      <c r="AG25" s="26"/>
      <c r="AH25" s="32"/>
      <c r="AI25" s="32"/>
      <c r="AJ25" s="96"/>
      <c r="AK25" s="32"/>
      <c r="AL25" s="57"/>
    </row>
    <row r="26" spans="2:38" x14ac:dyDescent="0.25">
      <c r="B26" s="26">
        <v>4</v>
      </c>
      <c r="C26" s="26" t="s">
        <v>41</v>
      </c>
      <c r="D26" s="26"/>
      <c r="E26" s="38">
        <v>0</v>
      </c>
      <c r="F26" s="30">
        <v>0</v>
      </c>
      <c r="G26" s="39"/>
      <c r="H26" s="28"/>
      <c r="I26" s="29">
        <f t="shared" si="7"/>
        <v>0</v>
      </c>
      <c r="J26" s="29"/>
      <c r="K26" s="70"/>
      <c r="L26" s="28">
        <v>3740</v>
      </c>
      <c r="M26" s="33">
        <f>G26*L26</f>
        <v>0</v>
      </c>
      <c r="N26" s="27"/>
      <c r="O26" s="40">
        <f t="shared" ref="O26" si="9">K26</f>
        <v>0</v>
      </c>
      <c r="P26" s="26"/>
      <c r="Q26" s="26"/>
      <c r="R26" s="26"/>
      <c r="S26" s="26"/>
      <c r="T26" s="26"/>
      <c r="U26" s="123"/>
      <c r="V26" s="26"/>
      <c r="W26" s="26"/>
      <c r="X26" s="78">
        <f t="shared" si="8"/>
        <v>0</v>
      </c>
      <c r="Y26" s="78"/>
      <c r="Z26" s="78"/>
      <c r="AB26" s="24" t="s">
        <v>13</v>
      </c>
      <c r="AC26" s="61">
        <f>SUM(AC21:AC25)</f>
        <v>226138847.04128107</v>
      </c>
      <c r="AD26" s="61">
        <f>SUM(AD21:AD25)</f>
        <v>5797267.7410820844</v>
      </c>
      <c r="AE26" s="61">
        <f>SUM(AE21:AE24)</f>
        <v>12245697.775703955</v>
      </c>
      <c r="AF26" s="61">
        <f>SUM(AF21:AF25)</f>
        <v>24095918.330642026</v>
      </c>
      <c r="AG26" s="61">
        <f>SUM(AG21:AG25)</f>
        <v>9134605.0590623338</v>
      </c>
      <c r="AH26" s="61">
        <f>SUM(AC26:AG26)</f>
        <v>277412335.94777149</v>
      </c>
      <c r="AI26" s="61">
        <f>SUM(AI21:AI25)+H77</f>
        <v>141338176.65000001</v>
      </c>
      <c r="AJ26" s="97">
        <f>SUM(AJ21:AJ25)</f>
        <v>144225225.29777145</v>
      </c>
      <c r="AK26" s="61">
        <f>SUM(AK21:AK25)</f>
        <v>183241361.15000001</v>
      </c>
      <c r="AL26" s="61">
        <f>AI26+AK26</f>
        <v>324579537.80000001</v>
      </c>
    </row>
    <row r="27" spans="2:38" x14ac:dyDescent="0.25">
      <c r="B27" s="26">
        <v>5</v>
      </c>
      <c r="C27" s="26" t="s">
        <v>42</v>
      </c>
      <c r="D27" s="26"/>
      <c r="E27" s="38">
        <v>2511</v>
      </c>
      <c r="F27" s="30">
        <v>658.81</v>
      </c>
      <c r="G27" s="39">
        <f>F27</f>
        <v>658.81</v>
      </c>
      <c r="H27" s="28">
        <f t="shared" si="6"/>
        <v>905863.74999999988</v>
      </c>
      <c r="I27" s="29">
        <f t="shared" si="7"/>
        <v>905863.74999999988</v>
      </c>
      <c r="J27" s="29"/>
      <c r="K27" s="70">
        <f>(O27+P27+Q27)*G85</f>
        <v>401551.14601750282</v>
      </c>
      <c r="L27" s="28">
        <v>1375</v>
      </c>
      <c r="M27" s="33">
        <f>G27*L27</f>
        <v>905863.74999999988</v>
      </c>
      <c r="N27" s="27"/>
      <c r="O27" s="40">
        <v>395964</v>
      </c>
      <c r="P27" s="26"/>
      <c r="Q27" s="26"/>
      <c r="R27" s="26"/>
      <c r="S27" s="26"/>
      <c r="T27" s="26"/>
      <c r="U27" s="26"/>
      <c r="V27" s="26"/>
      <c r="W27" s="26"/>
      <c r="X27" s="78">
        <f t="shared" si="8"/>
        <v>905863.74999999988</v>
      </c>
      <c r="Y27" s="25"/>
      <c r="Z27" s="25"/>
      <c r="AB27" s="24" t="s">
        <v>116</v>
      </c>
      <c r="AC27" s="61">
        <f>SUM(K8:K12)+AD9+AD11</f>
        <v>226138847.04128107</v>
      </c>
      <c r="AD27" s="61">
        <f>K13</f>
        <v>5797267.7410820844</v>
      </c>
      <c r="AE27" s="61">
        <f>K14</f>
        <v>12245697.775703955</v>
      </c>
      <c r="AF27" s="61">
        <f>K15</f>
        <v>24095918.330642026</v>
      </c>
      <c r="AG27" s="61">
        <f>K17</f>
        <v>9134605.0590623338</v>
      </c>
      <c r="AH27" s="61">
        <f>K18+AD9+AD11</f>
        <v>277412335.94777149</v>
      </c>
      <c r="AI27" s="61"/>
      <c r="AJ27" s="61"/>
      <c r="AK27" s="61"/>
      <c r="AL27" s="61"/>
    </row>
    <row r="28" spans="2:38" x14ac:dyDescent="0.25">
      <c r="B28" s="26">
        <v>6</v>
      </c>
      <c r="C28" s="26" t="s">
        <v>45</v>
      </c>
      <c r="D28" s="26"/>
      <c r="E28" s="38"/>
      <c r="F28" s="30">
        <v>0</v>
      </c>
      <c r="G28" s="26"/>
      <c r="H28" s="28"/>
      <c r="I28" s="29"/>
      <c r="J28" s="29"/>
      <c r="K28" s="67">
        <v>0</v>
      </c>
      <c r="L28" s="26"/>
      <c r="M28" s="27"/>
      <c r="N28" s="27"/>
      <c r="O28" s="29"/>
      <c r="P28" s="26"/>
      <c r="Q28" s="26"/>
      <c r="R28" s="26"/>
      <c r="S28" s="26"/>
      <c r="T28" s="26"/>
      <c r="U28" s="26"/>
      <c r="V28" s="26"/>
      <c r="W28" s="26"/>
      <c r="X28" s="78">
        <f t="shared" si="8"/>
        <v>0</v>
      </c>
      <c r="Y28" s="78"/>
      <c r="Z28" s="78"/>
      <c r="AH28" s="98">
        <f>AH21+AH23+AH24+AH25</f>
        <v>277412335.94777143</v>
      </c>
      <c r="AI28" s="61"/>
    </row>
    <row r="29" spans="2:38" x14ac:dyDescent="0.25">
      <c r="B29" s="26"/>
      <c r="C29" s="26" t="s">
        <v>132</v>
      </c>
      <c r="D29" s="26"/>
      <c r="E29" s="38"/>
      <c r="F29" s="30"/>
      <c r="G29" s="26"/>
      <c r="H29" s="28">
        <f>SUM(H23:H28)</f>
        <v>13162404.75</v>
      </c>
      <c r="I29" s="29">
        <f>SUM(I23:I28)</f>
        <v>13162404.75</v>
      </c>
      <c r="J29" s="29"/>
      <c r="K29" s="67">
        <f>SUM(K23:K28)</f>
        <v>10995976.007146399</v>
      </c>
      <c r="L29" s="26"/>
      <c r="M29" s="27"/>
      <c r="N29" s="27"/>
      <c r="O29" s="29"/>
      <c r="P29" s="26"/>
      <c r="Q29" s="26"/>
      <c r="R29" s="26"/>
      <c r="S29" s="26"/>
      <c r="T29" s="26"/>
      <c r="U29" s="26"/>
      <c r="V29" s="26"/>
      <c r="W29" s="26"/>
      <c r="X29" s="78">
        <f>SUM(X23:X28)</f>
        <v>13162404.75</v>
      </c>
      <c r="Y29" s="25"/>
      <c r="Z29" s="25"/>
      <c r="AB29" s="24" t="s">
        <v>119</v>
      </c>
      <c r="AI29" s="61"/>
      <c r="AJ29" s="61">
        <f>AB3</f>
        <v>141338785</v>
      </c>
    </row>
    <row r="30" spans="2:38" x14ac:dyDescent="0.25">
      <c r="B30" s="26"/>
      <c r="C30" s="26"/>
      <c r="D30" s="26"/>
      <c r="E30" s="38"/>
      <c r="F30" s="30"/>
      <c r="G30" s="26"/>
      <c r="H30" s="28">
        <f t="shared" ref="H30:H66" si="10">G30*L30</f>
        <v>0</v>
      </c>
      <c r="I30" s="29"/>
      <c r="J30" s="29"/>
      <c r="K30" s="66"/>
      <c r="L30" s="26"/>
      <c r="M30" s="27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5"/>
      <c r="Y30" s="78"/>
      <c r="Z30" s="78"/>
      <c r="AB30" s="24" t="s">
        <v>118</v>
      </c>
      <c r="AJ30" s="97">
        <f>AH26-AI26</f>
        <v>136074159.29777148</v>
      </c>
      <c r="AK30" s="61"/>
    </row>
    <row r="31" spans="2:38" ht="15" customHeight="1" x14ac:dyDescent="0.25">
      <c r="B31" s="26"/>
      <c r="C31" s="26" t="s">
        <v>9</v>
      </c>
      <c r="D31" s="26"/>
      <c r="E31" s="41"/>
      <c r="F31" s="42"/>
      <c r="G31" s="26"/>
      <c r="H31" s="28"/>
      <c r="I31" s="29"/>
      <c r="J31" s="29"/>
      <c r="K31" s="66"/>
      <c r="L31" s="26"/>
      <c r="M31" s="27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5"/>
      <c r="Y31" s="25"/>
      <c r="Z31" s="25"/>
    </row>
    <row r="32" spans="2:38" x14ac:dyDescent="0.25">
      <c r="B32" s="26"/>
      <c r="C32" s="26"/>
      <c r="D32" s="26"/>
      <c r="E32" s="43"/>
      <c r="F32" s="44"/>
      <c r="G32" s="26"/>
      <c r="H32" s="28">
        <f t="shared" si="10"/>
        <v>0</v>
      </c>
      <c r="I32" s="29"/>
      <c r="J32" s="29"/>
      <c r="K32" s="66"/>
      <c r="L32" s="26"/>
      <c r="M32" s="27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5"/>
      <c r="Y32" s="25"/>
      <c r="Z32" s="25"/>
      <c r="AB32" s="24" t="s">
        <v>126</v>
      </c>
      <c r="AJ32" s="61">
        <f>AK26</f>
        <v>183241361.15000001</v>
      </c>
    </row>
    <row r="33" spans="2:36" ht="15" customHeight="1" x14ac:dyDescent="0.25">
      <c r="B33" s="26">
        <v>1</v>
      </c>
      <c r="C33" s="26" t="s">
        <v>14</v>
      </c>
      <c r="D33" s="26"/>
      <c r="E33" s="38">
        <v>1434.85</v>
      </c>
      <c r="F33" s="30">
        <v>1434.85</v>
      </c>
      <c r="G33" s="26">
        <v>1555</v>
      </c>
      <c r="H33" s="28">
        <f>F33*L33</f>
        <v>6471173.5</v>
      </c>
      <c r="I33" s="28">
        <f>F33*L33</f>
        <v>6471173.5</v>
      </c>
      <c r="J33" s="28"/>
      <c r="K33" s="71">
        <f>(O33+P33+Q33)*G91+T33</f>
        <v>8522298.5104956124</v>
      </c>
      <c r="L33" s="28">
        <v>4510</v>
      </c>
      <c r="M33" s="33">
        <f>G33*L33</f>
        <v>7013050</v>
      </c>
      <c r="N33" s="27"/>
      <c r="O33" s="28">
        <v>7535734</v>
      </c>
      <c r="P33" s="28"/>
      <c r="Q33" s="28"/>
      <c r="R33" s="28"/>
      <c r="S33" s="127"/>
      <c r="T33" s="120">
        <f>'[1]Rekapitulace stavby'!$BJ$112</f>
        <v>725705.76342601818</v>
      </c>
      <c r="U33" s="120"/>
      <c r="V33" s="28"/>
      <c r="W33" s="28"/>
      <c r="X33" s="49">
        <f>F33*L33</f>
        <v>6471173.5</v>
      </c>
      <c r="Y33" s="25"/>
      <c r="Z33" s="25"/>
      <c r="AJ33" s="61"/>
    </row>
    <row r="34" spans="2:36" x14ac:dyDescent="0.25">
      <c r="B34" s="26">
        <v>2</v>
      </c>
      <c r="C34" s="26" t="s">
        <v>15</v>
      </c>
      <c r="D34" s="26"/>
      <c r="E34" s="38">
        <v>572.1</v>
      </c>
      <c r="F34" s="102">
        <v>572.1</v>
      </c>
      <c r="G34" s="26">
        <v>597</v>
      </c>
      <c r="H34" s="28">
        <f t="shared" ref="H34:H37" si="11">F34*L34</f>
        <v>1950861</v>
      </c>
      <c r="I34" s="28">
        <f t="shared" ref="I34:I37" si="12">F34*L34</f>
        <v>1950861</v>
      </c>
      <c r="J34" s="28"/>
      <c r="K34" s="71">
        <f>(O34+P34+Q34)*G91+S34+U34</f>
        <v>4561824.7723548235</v>
      </c>
      <c r="L34" s="28">
        <v>3410</v>
      </c>
      <c r="M34" s="33">
        <f>G34*L34</f>
        <v>2035770</v>
      </c>
      <c r="N34" s="27"/>
      <c r="O34" s="28">
        <v>4790610</v>
      </c>
      <c r="P34" s="28"/>
      <c r="Q34" s="28"/>
      <c r="R34" s="28"/>
      <c r="S34" s="120">
        <f>'[1]Rekapitulace stavby'!$BI$103</f>
        <v>-669369.63818304054</v>
      </c>
      <c r="T34" s="120"/>
      <c r="U34" s="120">
        <f>'[1]Rekapitulace stavby'!$BK$104</f>
        <v>274751.52388089395</v>
      </c>
      <c r="V34" s="28"/>
      <c r="W34" s="28"/>
      <c r="X34" s="49">
        <f t="shared" ref="X34:X37" si="13">F34*L34</f>
        <v>1950861</v>
      </c>
      <c r="Y34" s="49"/>
      <c r="Z34" s="49"/>
      <c r="AJ34" s="61">
        <f>AJ29+AJ32</f>
        <v>324580146.14999998</v>
      </c>
    </row>
    <row r="35" spans="2:36" x14ac:dyDescent="0.25">
      <c r="B35" s="26">
        <v>3</v>
      </c>
      <c r="C35" s="26" t="s">
        <v>16</v>
      </c>
      <c r="D35" s="26"/>
      <c r="E35" s="38">
        <v>454.2</v>
      </c>
      <c r="F35" s="30">
        <v>454.2</v>
      </c>
      <c r="G35" s="26">
        <v>499</v>
      </c>
      <c r="H35" s="28">
        <f t="shared" si="11"/>
        <v>4871295</v>
      </c>
      <c r="I35" s="28">
        <f t="shared" si="12"/>
        <v>4871295</v>
      </c>
      <c r="J35" s="28"/>
      <c r="K35" s="71">
        <f>(O35+P35+Q35)*G91+T35+U35</f>
        <v>5018997.1691507008</v>
      </c>
      <c r="L35" s="28">
        <v>10725</v>
      </c>
      <c r="M35" s="33">
        <f>G35*L35</f>
        <v>5351775</v>
      </c>
      <c r="N35" s="27"/>
      <c r="O35" s="28">
        <v>4732745</v>
      </c>
      <c r="P35" s="28"/>
      <c r="Q35" s="28"/>
      <c r="R35" s="28"/>
      <c r="S35" s="120"/>
      <c r="T35" s="120">
        <f>'[1]Rekapitulace stavby'!$BJ$109</f>
        <v>38738.885547634709</v>
      </c>
      <c r="U35" s="120">
        <f>'[1]Rekapitulace stavby'!$BK$113+'[1]Rekapitulace stavby'!$BK$114</f>
        <v>83683.4654460171</v>
      </c>
      <c r="V35" s="28"/>
      <c r="W35" s="28"/>
      <c r="X35" s="49">
        <f t="shared" si="13"/>
        <v>4871295</v>
      </c>
      <c r="Y35" s="49"/>
      <c r="Z35" s="49"/>
      <c r="AB35" s="26"/>
      <c r="AC35" s="100"/>
      <c r="AD35" s="83"/>
      <c r="AE35" s="26"/>
      <c r="AF35" s="26"/>
      <c r="AJ35" s="61">
        <f>AJ34-AD12</f>
        <v>6994284.8199999332</v>
      </c>
    </row>
    <row r="36" spans="2:36" x14ac:dyDescent="0.25">
      <c r="B36" s="26">
        <v>4</v>
      </c>
      <c r="C36" s="26" t="s">
        <v>41</v>
      </c>
      <c r="D36" s="26"/>
      <c r="E36" s="38">
        <v>0</v>
      </c>
      <c r="F36" s="30">
        <v>0</v>
      </c>
      <c r="G36" s="26"/>
      <c r="H36" s="28"/>
      <c r="I36" s="28">
        <f t="shared" si="12"/>
        <v>0</v>
      </c>
      <c r="J36" s="28"/>
      <c r="K36" s="71">
        <f>(O36+P36+Q36)*G91</f>
        <v>0</v>
      </c>
      <c r="L36" s="28">
        <v>3740</v>
      </c>
      <c r="M36" s="33">
        <f>G36*L36</f>
        <v>0</v>
      </c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49">
        <f t="shared" si="13"/>
        <v>0</v>
      </c>
      <c r="Y36" s="49"/>
      <c r="Z36" s="49"/>
      <c r="AB36" s="26" t="s">
        <v>19</v>
      </c>
      <c r="AC36" s="100"/>
      <c r="AD36" s="83">
        <f>K29</f>
        <v>10995976.007146399</v>
      </c>
      <c r="AE36" s="26"/>
      <c r="AF36" s="26"/>
    </row>
    <row r="37" spans="2:36" x14ac:dyDescent="0.25">
      <c r="B37" s="26">
        <v>5</v>
      </c>
      <c r="C37" s="26" t="s">
        <v>42</v>
      </c>
      <c r="D37" s="26"/>
      <c r="E37" s="38">
        <v>1004.03</v>
      </c>
      <c r="F37" s="30">
        <v>525.99</v>
      </c>
      <c r="G37" s="39">
        <v>546</v>
      </c>
      <c r="H37" s="28">
        <f t="shared" si="11"/>
        <v>723236.25</v>
      </c>
      <c r="I37" s="28">
        <f t="shared" si="12"/>
        <v>723236.25</v>
      </c>
      <c r="J37" s="28"/>
      <c r="K37" s="71">
        <f>(O37+P37+Q37)*G91</f>
        <v>1507998.6871796171</v>
      </c>
      <c r="L37" s="28">
        <v>1375</v>
      </c>
      <c r="M37" s="33">
        <f>G37*L37</f>
        <v>750750</v>
      </c>
      <c r="N37" s="27"/>
      <c r="O37" s="28">
        <v>1124947</v>
      </c>
      <c r="P37" s="28">
        <v>-1076580</v>
      </c>
      <c r="Q37" s="28">
        <v>1409177</v>
      </c>
      <c r="R37" s="28"/>
      <c r="S37" s="28"/>
      <c r="T37" s="28"/>
      <c r="U37" s="28"/>
      <c r="V37" s="28"/>
      <c r="W37" s="28"/>
      <c r="X37" s="49">
        <f t="shared" si="13"/>
        <v>723236.25</v>
      </c>
      <c r="Y37" s="49"/>
      <c r="Z37" s="49"/>
      <c r="AB37" s="26" t="s">
        <v>9</v>
      </c>
      <c r="AC37" s="100"/>
      <c r="AD37" s="83">
        <f>K39</f>
        <v>22375903.414493438</v>
      </c>
      <c r="AE37" s="26"/>
      <c r="AF37" s="26"/>
    </row>
    <row r="38" spans="2:36" x14ac:dyDescent="0.25">
      <c r="B38" s="26">
        <v>6</v>
      </c>
      <c r="C38" s="26" t="s">
        <v>45</v>
      </c>
      <c r="D38" s="26"/>
      <c r="E38" s="38"/>
      <c r="F38" s="30">
        <v>0</v>
      </c>
      <c r="G38" s="26"/>
      <c r="H38" s="28"/>
      <c r="I38" s="28"/>
      <c r="J38" s="28"/>
      <c r="K38" s="71">
        <f>(O38+P38+Q38+Y39)*G91</f>
        <v>2764784.2753126817</v>
      </c>
      <c r="L38" s="26"/>
      <c r="M38" s="27"/>
      <c r="N38" s="27"/>
      <c r="O38" s="28">
        <v>4134999</v>
      </c>
      <c r="P38" s="28">
        <v>-1230563</v>
      </c>
      <c r="Q38" s="28"/>
      <c r="R38" s="28"/>
      <c r="S38" s="28"/>
      <c r="T38" s="28"/>
      <c r="U38" s="28"/>
      <c r="V38" s="28"/>
      <c r="W38" s="28"/>
      <c r="X38" s="49"/>
      <c r="Y38" s="49"/>
      <c r="Z38" s="49"/>
      <c r="AB38" s="26" t="s">
        <v>10</v>
      </c>
      <c r="AC38" s="100"/>
      <c r="AD38" s="83">
        <f>K51</f>
        <v>45339525.00056497</v>
      </c>
      <c r="AE38" s="26"/>
      <c r="AF38" s="26"/>
    </row>
    <row r="39" spans="2:36" x14ac:dyDescent="0.25">
      <c r="B39" s="26"/>
      <c r="C39" s="26" t="s">
        <v>13</v>
      </c>
      <c r="D39" s="26"/>
      <c r="E39" s="38"/>
      <c r="F39" s="30"/>
      <c r="G39" s="26"/>
      <c r="H39" s="28">
        <f>SUM(H33:H38)</f>
        <v>14016565.75</v>
      </c>
      <c r="I39" s="29">
        <f>SUM(I33:I38)</f>
        <v>14016565.75</v>
      </c>
      <c r="J39" s="29"/>
      <c r="K39" s="67">
        <f>SUM(K33:K38)</f>
        <v>22375903.414493438</v>
      </c>
      <c r="L39" s="26"/>
      <c r="M39" s="27"/>
      <c r="N39" s="27"/>
      <c r="O39" s="28"/>
      <c r="P39" s="28"/>
      <c r="Q39" s="28"/>
      <c r="R39" s="28"/>
      <c r="S39" s="28"/>
      <c r="T39" s="28"/>
      <c r="U39" s="28"/>
      <c r="V39" s="28"/>
      <c r="W39" s="28"/>
      <c r="X39" s="49">
        <f>SUM(X33:X38)</f>
        <v>14016565.75</v>
      </c>
      <c r="Y39" s="49">
        <v>-232156</v>
      </c>
      <c r="Z39" s="49" t="s">
        <v>102</v>
      </c>
      <c r="AA39" s="45"/>
      <c r="AB39" s="28" t="s">
        <v>11</v>
      </c>
      <c r="AC39" s="100"/>
      <c r="AD39" s="83">
        <f>K61</f>
        <v>22478949.495592147</v>
      </c>
      <c r="AE39" s="26"/>
      <c r="AF39" s="26"/>
    </row>
    <row r="40" spans="2:36" x14ac:dyDescent="0.25">
      <c r="B40" s="26"/>
      <c r="C40" s="26"/>
      <c r="D40" s="26"/>
      <c r="E40" s="38"/>
      <c r="F40" s="30"/>
      <c r="G40" s="26"/>
      <c r="H40" s="28">
        <f t="shared" si="10"/>
        <v>0</v>
      </c>
      <c r="I40" s="29"/>
      <c r="J40" s="29"/>
      <c r="K40" s="67"/>
      <c r="L40" s="26"/>
      <c r="M40" s="27"/>
      <c r="N40" s="27"/>
      <c r="O40" s="28"/>
      <c r="P40" s="28"/>
      <c r="Q40" s="28"/>
      <c r="R40" s="28"/>
      <c r="S40" s="28"/>
      <c r="T40" s="28"/>
      <c r="U40" s="28"/>
      <c r="V40" s="28"/>
      <c r="W40" s="28"/>
      <c r="X40" s="49"/>
      <c r="Y40" s="49"/>
      <c r="Z40" s="49"/>
      <c r="AA40" s="45"/>
      <c r="AB40" s="28" t="s">
        <v>12</v>
      </c>
      <c r="AC40" s="100"/>
      <c r="AD40" s="83">
        <f>K73</f>
        <v>167051867.16819093</v>
      </c>
      <c r="AE40" s="26"/>
      <c r="AF40" s="26"/>
    </row>
    <row r="41" spans="2:36" ht="15" customHeight="1" x14ac:dyDescent="0.25">
      <c r="B41" s="26"/>
      <c r="C41" s="26" t="s">
        <v>10</v>
      </c>
      <c r="D41" s="26"/>
      <c r="E41" s="43"/>
      <c r="F41" s="44"/>
      <c r="G41" s="26"/>
      <c r="H41" s="28"/>
      <c r="I41" s="29"/>
      <c r="J41" s="29"/>
      <c r="K41" s="67"/>
      <c r="L41" s="26"/>
      <c r="M41" s="27"/>
      <c r="N41" s="27"/>
      <c r="O41" s="28"/>
      <c r="P41" s="28"/>
      <c r="Q41" s="28"/>
      <c r="R41" s="28"/>
      <c r="S41" s="28"/>
      <c r="T41" s="28"/>
      <c r="U41" s="28"/>
      <c r="V41" s="28"/>
      <c r="W41" s="28"/>
      <c r="X41" s="49"/>
      <c r="Y41" s="49"/>
      <c r="Z41" s="49"/>
      <c r="AB41" s="26" t="s">
        <v>72</v>
      </c>
      <c r="AC41" s="100"/>
      <c r="AD41" s="83">
        <f>K79</f>
        <v>9134605.0590623338</v>
      </c>
      <c r="AE41" s="26"/>
      <c r="AF41" s="26"/>
    </row>
    <row r="42" spans="2:36" x14ac:dyDescent="0.25">
      <c r="B42" s="26"/>
      <c r="C42" s="26"/>
      <c r="D42" s="26"/>
      <c r="E42" s="43"/>
      <c r="F42" s="44"/>
      <c r="G42" s="26"/>
      <c r="H42" s="28">
        <f t="shared" si="10"/>
        <v>0</v>
      </c>
      <c r="I42" s="29"/>
      <c r="J42" s="29"/>
      <c r="K42" s="67"/>
      <c r="L42" s="26"/>
      <c r="M42" s="27"/>
      <c r="N42" s="27"/>
      <c r="O42" s="28"/>
      <c r="P42" s="28"/>
      <c r="Q42" s="28"/>
      <c r="R42" s="28"/>
      <c r="S42" s="28"/>
      <c r="T42" s="28"/>
      <c r="U42" s="28"/>
      <c r="V42" s="28"/>
      <c r="W42" s="28"/>
      <c r="X42" s="49"/>
      <c r="Y42" s="49"/>
      <c r="Z42" s="49"/>
      <c r="AB42" s="26" t="s">
        <v>13</v>
      </c>
      <c r="AC42" s="100"/>
      <c r="AD42" s="83">
        <f>SUM(AD36:AD41)</f>
        <v>277376826.14505023</v>
      </c>
      <c r="AE42" s="26"/>
      <c r="AF42" s="26"/>
    </row>
    <row r="43" spans="2:36" ht="15" customHeight="1" x14ac:dyDescent="0.25">
      <c r="B43" s="26">
        <v>1</v>
      </c>
      <c r="C43" s="26" t="s">
        <v>14</v>
      </c>
      <c r="D43" s="26"/>
      <c r="E43" s="38">
        <v>2268.2199999999998</v>
      </c>
      <c r="F43" s="30">
        <v>2268.62</v>
      </c>
      <c r="G43" s="26">
        <v>2442</v>
      </c>
      <c r="H43" s="28">
        <f>F43*L43</f>
        <v>10231476.199999999</v>
      </c>
      <c r="I43" s="29">
        <f>F43*L43</f>
        <v>10231476.199999999</v>
      </c>
      <c r="J43" s="29"/>
      <c r="K43" s="67">
        <f>(O43+P43+Q43)*G91+S43+U43</f>
        <v>17912735.989782348</v>
      </c>
      <c r="L43" s="28">
        <v>4510</v>
      </c>
      <c r="M43" s="33">
        <f>G43*L43</f>
        <v>11013420</v>
      </c>
      <c r="N43" s="27"/>
      <c r="O43" s="28">
        <v>17254072</v>
      </c>
      <c r="P43" s="28"/>
      <c r="Q43" s="28"/>
      <c r="R43" s="28"/>
      <c r="S43" s="120">
        <f>'[1]Rekapitulace stavby'!$BP$110</f>
        <v>-231082.62963134804</v>
      </c>
      <c r="T43" s="28"/>
      <c r="U43" s="120">
        <f>'[1]Rekapitulace stavby'!$CK$111</f>
        <v>292475.58997335652</v>
      </c>
      <c r="V43" s="28"/>
      <c r="W43" s="28"/>
      <c r="X43" s="49">
        <f>F43*L43</f>
        <v>10231476.199999999</v>
      </c>
      <c r="Y43" s="49"/>
      <c r="Z43" s="49"/>
    </row>
    <row r="44" spans="2:36" x14ac:dyDescent="0.25">
      <c r="B44" s="26">
        <v>2</v>
      </c>
      <c r="C44" s="26" t="s">
        <v>15</v>
      </c>
      <c r="D44" s="26"/>
      <c r="E44" s="38">
        <v>829.91</v>
      </c>
      <c r="F44" s="30">
        <v>829.91</v>
      </c>
      <c r="G44" s="46">
        <v>829.91</v>
      </c>
      <c r="H44" s="28">
        <f t="shared" ref="H44:H47" si="14">F44*L44</f>
        <v>2829993.1</v>
      </c>
      <c r="I44" s="29">
        <f t="shared" ref="I44:I50" si="15">F44*L44</f>
        <v>2829993.1</v>
      </c>
      <c r="J44" s="29"/>
      <c r="K44" s="67">
        <f>(O44+P44+Q44)*G91+S44+T44+U44</f>
        <v>6687497.1597313723</v>
      </c>
      <c r="L44" s="28">
        <v>3410</v>
      </c>
      <c r="M44" s="33">
        <f>G44*L44</f>
        <v>2829993.1</v>
      </c>
      <c r="N44" s="27"/>
      <c r="O44" s="28">
        <v>6797976</v>
      </c>
      <c r="P44" s="28"/>
      <c r="Q44" s="28"/>
      <c r="R44" s="28"/>
      <c r="S44" s="120">
        <f>'[1]Rekapitulace stavby'!$BP$105</f>
        <v>-775890.07857612637</v>
      </c>
      <c r="T44" s="120">
        <f>'[1]Rekapitulace stavby'!$CJ$99</f>
        <v>37570.958135222703</v>
      </c>
      <c r="U44" s="120">
        <f>'[1]Rekapitulace stavby'!$CK$106</f>
        <v>392519.93818977207</v>
      </c>
      <c r="V44" s="28"/>
      <c r="W44" s="28"/>
      <c r="X44" s="49">
        <f t="shared" ref="X44:X50" si="16">F44*L44</f>
        <v>2829993.1</v>
      </c>
      <c r="Y44" s="49"/>
      <c r="Z44" s="49"/>
    </row>
    <row r="45" spans="2:36" x14ac:dyDescent="0.25">
      <c r="B45" s="26">
        <v>3</v>
      </c>
      <c r="C45" s="26" t="s">
        <v>16</v>
      </c>
      <c r="D45" s="26"/>
      <c r="E45" s="38">
        <v>945.1</v>
      </c>
      <c r="F45" s="30">
        <v>945.1</v>
      </c>
      <c r="G45" s="59">
        <f>788+F50+E49</f>
        <v>944.56999999999994</v>
      </c>
      <c r="H45" s="28">
        <f t="shared" si="14"/>
        <v>10136197.5</v>
      </c>
      <c r="I45" s="29">
        <f t="shared" si="15"/>
        <v>10136197.5</v>
      </c>
      <c r="J45" s="29"/>
      <c r="K45" s="67">
        <f>(O45+P45+Q45)*G91+T45+U45</f>
        <v>12904335.822013101</v>
      </c>
      <c r="L45" s="28">
        <v>10725</v>
      </c>
      <c r="M45" s="33">
        <f>G45*L45</f>
        <v>10130513.25</v>
      </c>
      <c r="N45" s="27"/>
      <c r="O45" s="28">
        <f>11871978</f>
        <v>11871978</v>
      </c>
      <c r="P45" s="28"/>
      <c r="Q45" s="28"/>
      <c r="R45" s="28"/>
      <c r="S45" s="28"/>
      <c r="T45" s="120">
        <f>'[1]Rekapitulace stavby'!$CJ$102</f>
        <v>440493.4979844148</v>
      </c>
      <c r="U45" s="120">
        <f>'[1]Rekapitulace stavby'!$CK$109</f>
        <v>180901.13101818351</v>
      </c>
      <c r="V45" s="28"/>
      <c r="W45" s="28"/>
      <c r="X45" s="49">
        <f t="shared" si="16"/>
        <v>10136197.5</v>
      </c>
      <c r="Y45" s="49"/>
      <c r="Z45" s="49"/>
    </row>
    <row r="46" spans="2:36" x14ac:dyDescent="0.25">
      <c r="B46" s="26">
        <v>4</v>
      </c>
      <c r="C46" s="26" t="s">
        <v>41</v>
      </c>
      <c r="D46" s="26"/>
      <c r="E46" s="38">
        <v>0</v>
      </c>
      <c r="F46" s="30">
        <v>0</v>
      </c>
      <c r="G46" s="26"/>
      <c r="H46" s="28"/>
      <c r="I46" s="29">
        <f t="shared" si="15"/>
        <v>0</v>
      </c>
      <c r="J46" s="29"/>
      <c r="K46" s="67">
        <f t="shared" ref="K46" si="17">(O46+P46+Q46)*G94</f>
        <v>0</v>
      </c>
      <c r="L46" s="28">
        <v>3740</v>
      </c>
      <c r="M46" s="33">
        <f>G46*L46</f>
        <v>0</v>
      </c>
      <c r="N46" s="27"/>
      <c r="O46" s="28"/>
      <c r="P46" s="28"/>
      <c r="Q46" s="28"/>
      <c r="R46" s="28"/>
      <c r="S46" s="28"/>
      <c r="T46" s="28"/>
      <c r="U46" s="28"/>
      <c r="V46" s="28"/>
      <c r="W46" s="28"/>
      <c r="X46" s="49">
        <f t="shared" si="16"/>
        <v>0</v>
      </c>
      <c r="Y46" s="49"/>
      <c r="Z46" s="49"/>
    </row>
    <row r="47" spans="2:36" x14ac:dyDescent="0.25">
      <c r="B47" s="26">
        <v>5</v>
      </c>
      <c r="C47" s="26" t="s">
        <v>42</v>
      </c>
      <c r="D47" s="26"/>
      <c r="E47" s="38">
        <v>1958.3</v>
      </c>
      <c r="F47" s="30">
        <v>1476.37</v>
      </c>
      <c r="G47" s="26">
        <v>1311</v>
      </c>
      <c r="H47" s="28">
        <f t="shared" si="14"/>
        <v>2030008.7499999998</v>
      </c>
      <c r="I47" s="29">
        <f t="shared" si="15"/>
        <v>2030008.7499999998</v>
      </c>
      <c r="J47" s="29"/>
      <c r="K47" s="67">
        <f>(O47+P47+Q47)*G91</f>
        <v>2772808.7588396044</v>
      </c>
      <c r="L47" s="28">
        <v>1375</v>
      </c>
      <c r="M47" s="33">
        <f>G47*L47</f>
        <v>1802625</v>
      </c>
      <c r="N47" s="27"/>
      <c r="O47" s="28">
        <v>1126831</v>
      </c>
      <c r="P47" s="28">
        <v>-1073525</v>
      </c>
      <c r="Q47" s="28">
        <v>2626730</v>
      </c>
      <c r="R47" s="28"/>
      <c r="S47" s="28"/>
      <c r="T47" s="28"/>
      <c r="U47" s="28"/>
      <c r="V47" s="28"/>
      <c r="W47" s="28"/>
      <c r="X47" s="49">
        <f t="shared" si="16"/>
        <v>2030008.7499999998</v>
      </c>
      <c r="Y47" s="49"/>
      <c r="Z47" s="49"/>
    </row>
    <row r="48" spans="2:36" x14ac:dyDescent="0.25">
      <c r="B48" s="26">
        <v>6</v>
      </c>
      <c r="C48" s="26" t="s">
        <v>45</v>
      </c>
      <c r="D48" s="26"/>
      <c r="E48" s="38">
        <v>0</v>
      </c>
      <c r="F48" s="30">
        <v>0</v>
      </c>
      <c r="G48" s="26"/>
      <c r="H48" s="28"/>
      <c r="I48" s="29">
        <f t="shared" si="15"/>
        <v>0</v>
      </c>
      <c r="J48" s="29"/>
      <c r="K48" s="67">
        <f>(O48+P48+Q48+Y49)*G91+T48</f>
        <v>3940267.5429197787</v>
      </c>
      <c r="L48" s="26"/>
      <c r="M48" s="27"/>
      <c r="N48" s="27"/>
      <c r="O48" s="28">
        <v>6995538</v>
      </c>
      <c r="P48" s="28">
        <v>-3154901</v>
      </c>
      <c r="Q48" s="28"/>
      <c r="R48" s="28"/>
      <c r="S48" s="28"/>
      <c r="T48" s="120">
        <f>27445.8162+177033.56</f>
        <v>204479.3762</v>
      </c>
      <c r="U48" s="28"/>
      <c r="V48" s="28"/>
      <c r="W48" s="28"/>
      <c r="X48" s="49">
        <f t="shared" si="16"/>
        <v>0</v>
      </c>
      <c r="Y48" s="49"/>
      <c r="Z48" s="49"/>
    </row>
    <row r="49" spans="1:28" x14ac:dyDescent="0.25">
      <c r="B49" s="26"/>
      <c r="C49" s="26" t="s">
        <v>113</v>
      </c>
      <c r="D49" s="26"/>
      <c r="E49" s="38">
        <f>-129.7</f>
        <v>-129.69999999999999</v>
      </c>
      <c r="F49" s="30">
        <v>0</v>
      </c>
      <c r="G49" s="26"/>
      <c r="H49" s="28"/>
      <c r="I49" s="29">
        <f t="shared" si="15"/>
        <v>0</v>
      </c>
      <c r="J49" s="29"/>
      <c r="K49" s="125">
        <f>S49</f>
        <v>-1306750.262721238</v>
      </c>
      <c r="L49" s="26"/>
      <c r="M49" s="27"/>
      <c r="N49" s="27"/>
      <c r="O49" s="28"/>
      <c r="P49" s="28"/>
      <c r="Q49" s="28"/>
      <c r="R49" s="28"/>
      <c r="S49" s="120">
        <f>'[1]Rekapitulace stavby'!$BP$95</f>
        <v>-1306750.262721238</v>
      </c>
      <c r="T49" s="28"/>
      <c r="U49" s="28"/>
      <c r="V49" s="28"/>
      <c r="W49" s="28"/>
      <c r="X49" s="49">
        <f t="shared" si="16"/>
        <v>0</v>
      </c>
      <c r="Y49" s="49">
        <v>-229841</v>
      </c>
      <c r="Z49" s="49" t="s">
        <v>102</v>
      </c>
      <c r="AA49" s="45"/>
      <c r="AB49" s="45"/>
    </row>
    <row r="50" spans="1:28" x14ac:dyDescent="0.25">
      <c r="B50" s="26"/>
      <c r="C50" s="26" t="s">
        <v>114</v>
      </c>
      <c r="D50" s="26"/>
      <c r="E50" s="38">
        <v>0</v>
      </c>
      <c r="F50" s="30">
        <v>286.27</v>
      </c>
      <c r="G50" s="26"/>
      <c r="H50" s="28"/>
      <c r="I50" s="29">
        <f t="shared" si="15"/>
        <v>0</v>
      </c>
      <c r="J50" s="29"/>
      <c r="K50" s="67">
        <f>AD9</f>
        <v>2428629.9900000002</v>
      </c>
      <c r="L50" s="26"/>
      <c r="M50" s="27"/>
      <c r="N50" s="27"/>
      <c r="O50" s="28"/>
      <c r="P50" s="28"/>
      <c r="Q50" s="28"/>
      <c r="R50" s="28"/>
      <c r="S50" s="28"/>
      <c r="T50" s="28"/>
      <c r="U50" s="28"/>
      <c r="V50" s="28"/>
      <c r="W50" s="28"/>
      <c r="X50" s="49">
        <f t="shared" si="16"/>
        <v>0</v>
      </c>
      <c r="Y50" s="49"/>
      <c r="Z50" s="49"/>
    </row>
    <row r="51" spans="1:28" x14ac:dyDescent="0.25">
      <c r="B51" s="26"/>
      <c r="C51" s="99" t="s">
        <v>13</v>
      </c>
      <c r="D51" s="26"/>
      <c r="E51" s="47"/>
      <c r="F51" s="26"/>
      <c r="G51" s="26"/>
      <c r="H51" s="28">
        <f>SUM(H43:H50)</f>
        <v>25227675.549999997</v>
      </c>
      <c r="I51" s="29">
        <f>SUM(I43:I50)</f>
        <v>25227675.549999997</v>
      </c>
      <c r="J51" s="29"/>
      <c r="K51" s="67">
        <f>SUM(K43:K50)</f>
        <v>45339525.00056497</v>
      </c>
      <c r="L51" s="26"/>
      <c r="M51" s="27"/>
      <c r="N51" s="27"/>
      <c r="O51" s="28"/>
      <c r="P51" s="28"/>
      <c r="Q51" s="28"/>
      <c r="R51" s="28"/>
      <c r="S51" s="28"/>
      <c r="T51" s="28"/>
      <c r="U51" s="28"/>
      <c r="V51" s="28"/>
      <c r="W51" s="28"/>
      <c r="X51" s="49">
        <f>SUM(X43:X50)</f>
        <v>25227675.549999997</v>
      </c>
      <c r="Y51" s="49"/>
      <c r="Z51" s="49"/>
    </row>
    <row r="52" spans="1:28" x14ac:dyDescent="0.25">
      <c r="B52" s="26"/>
      <c r="C52" s="93"/>
      <c r="D52" s="26"/>
      <c r="E52" s="47"/>
      <c r="F52" s="26"/>
      <c r="G52" s="26"/>
      <c r="H52" s="28">
        <f t="shared" si="10"/>
        <v>0</v>
      </c>
      <c r="I52" s="29"/>
      <c r="J52" s="29"/>
      <c r="K52" s="67"/>
      <c r="L52" s="26"/>
      <c r="M52" s="27"/>
      <c r="N52" s="27"/>
      <c r="O52" s="28"/>
      <c r="P52" s="28"/>
      <c r="Q52" s="28"/>
      <c r="R52" s="28"/>
      <c r="S52" s="28"/>
      <c r="T52" s="28"/>
      <c r="U52" s="28"/>
      <c r="V52" s="28"/>
      <c r="W52" s="28"/>
      <c r="X52" s="49"/>
      <c r="Y52" s="49"/>
      <c r="Z52" s="49"/>
    </row>
    <row r="53" spans="1:28" ht="15" customHeight="1" x14ac:dyDescent="0.25">
      <c r="B53" s="26"/>
      <c r="C53" s="26" t="s">
        <v>11</v>
      </c>
      <c r="D53" s="26"/>
      <c r="E53" s="47"/>
      <c r="F53" s="26"/>
      <c r="G53" s="26"/>
      <c r="H53" s="28"/>
      <c r="I53" s="29"/>
      <c r="J53" s="29"/>
      <c r="K53" s="67"/>
      <c r="L53" s="26"/>
      <c r="M53" s="27"/>
      <c r="N53" s="27"/>
      <c r="O53" s="28"/>
      <c r="P53" s="28"/>
      <c r="Q53" s="28"/>
      <c r="R53" s="28"/>
      <c r="S53" s="28"/>
      <c r="T53" s="28"/>
      <c r="U53" s="28"/>
      <c r="V53" s="28"/>
      <c r="W53" s="28"/>
      <c r="X53" s="49"/>
      <c r="Y53" s="49"/>
      <c r="Z53" s="49"/>
    </row>
    <row r="54" spans="1:28" x14ac:dyDescent="0.25">
      <c r="B54" s="26"/>
      <c r="C54" s="26"/>
      <c r="D54" s="26"/>
      <c r="E54" s="47"/>
      <c r="F54" s="26"/>
      <c r="G54" s="26"/>
      <c r="H54" s="28">
        <f t="shared" si="10"/>
        <v>0</v>
      </c>
      <c r="I54" s="29"/>
      <c r="J54" s="29"/>
      <c r="K54" s="67"/>
      <c r="L54" s="26"/>
      <c r="M54" s="27"/>
      <c r="N54" s="27"/>
      <c r="O54" s="28"/>
      <c r="P54" s="28"/>
      <c r="Q54" s="28"/>
      <c r="R54" s="28"/>
      <c r="S54" s="28"/>
      <c r="T54" s="28"/>
      <c r="U54" s="28"/>
      <c r="V54" s="28"/>
      <c r="W54" s="28"/>
      <c r="X54" s="49"/>
      <c r="Y54" s="49"/>
      <c r="Z54" s="49"/>
    </row>
    <row r="55" spans="1:28" ht="15" customHeight="1" x14ac:dyDescent="0.25">
      <c r="B55" s="26">
        <v>1</v>
      </c>
      <c r="C55" s="26" t="s">
        <v>14</v>
      </c>
      <c r="D55" s="26"/>
      <c r="E55" s="38">
        <v>1059.8399999999999</v>
      </c>
      <c r="F55" s="30">
        <v>1059.8399999999999</v>
      </c>
      <c r="G55" s="26">
        <v>1732</v>
      </c>
      <c r="H55" s="28">
        <f>F55*L55</f>
        <v>4779878.3999999994</v>
      </c>
      <c r="I55" s="29">
        <f>F55*L55</f>
        <v>4779878.3999999994</v>
      </c>
      <c r="J55" s="29"/>
      <c r="K55" s="67">
        <f>(O55+P55+Q55)*G91</f>
        <v>8892081.6640000734</v>
      </c>
      <c r="L55" s="28">
        <v>4510</v>
      </c>
      <c r="M55" s="33">
        <f>G55*L55</f>
        <v>7811320</v>
      </c>
      <c r="N55" s="27"/>
      <c r="O55" s="28">
        <v>8594570</v>
      </c>
      <c r="P55" s="28"/>
      <c r="Q55" s="28"/>
      <c r="R55" s="28"/>
      <c r="S55" s="28"/>
      <c r="T55" s="28"/>
      <c r="U55" s="28"/>
      <c r="V55" s="28"/>
      <c r="W55" s="28"/>
      <c r="X55" s="49">
        <f>F55*L55</f>
        <v>4779878.3999999994</v>
      </c>
      <c r="Y55" s="49"/>
      <c r="Z55" s="49"/>
    </row>
    <row r="56" spans="1:28" x14ac:dyDescent="0.25">
      <c r="B56" s="26">
        <v>2</v>
      </c>
      <c r="C56" s="26" t="s">
        <v>15</v>
      </c>
      <c r="D56" s="26"/>
      <c r="E56" s="38">
        <v>676.57</v>
      </c>
      <c r="F56" s="30">
        <v>676.57</v>
      </c>
      <c r="G56" s="26">
        <v>683</v>
      </c>
      <c r="H56" s="28">
        <f t="shared" ref="H56:H59" si="18">F56*L56</f>
        <v>2307103.7000000002</v>
      </c>
      <c r="I56" s="29">
        <f t="shared" ref="I56:I59" si="19">F56*L56</f>
        <v>2307103.7000000002</v>
      </c>
      <c r="J56" s="29"/>
      <c r="K56" s="67">
        <f>(O56+P56+Q56)*G91+S56+U56</f>
        <v>5174053.954860704</v>
      </c>
      <c r="L56" s="28">
        <v>3410</v>
      </c>
      <c r="M56" s="33">
        <f>G56*L56</f>
        <v>2329030</v>
      </c>
      <c r="N56" s="27"/>
      <c r="O56" s="28">
        <v>5271180</v>
      </c>
      <c r="P56" s="28"/>
      <c r="Q56" s="28"/>
      <c r="R56" s="28"/>
      <c r="S56" s="120">
        <f>'[1]Rekapitulace stavby'!$BM$107</f>
        <v>-646951.17595540208</v>
      </c>
      <c r="T56" s="101"/>
      <c r="U56" s="120">
        <f>'[1]Rekapitulace stavby'!$BO$108</f>
        <v>367356.71959321626</v>
      </c>
      <c r="V56" s="28"/>
      <c r="W56" s="28"/>
      <c r="X56" s="49">
        <f t="shared" ref="X56:X59" si="20">F56*L56</f>
        <v>2307103.7000000002</v>
      </c>
      <c r="Y56" s="49"/>
      <c r="Z56" s="49"/>
    </row>
    <row r="57" spans="1:28" x14ac:dyDescent="0.25">
      <c r="B57" s="26">
        <v>3</v>
      </c>
      <c r="C57" s="26" t="s">
        <v>16</v>
      </c>
      <c r="D57" s="26"/>
      <c r="E57" s="38">
        <v>378.1</v>
      </c>
      <c r="F57" s="30">
        <v>378.1</v>
      </c>
      <c r="G57" s="26">
        <v>443</v>
      </c>
      <c r="H57" s="28">
        <f t="shared" si="18"/>
        <v>4055122.5000000005</v>
      </c>
      <c r="I57" s="29">
        <f t="shared" si="19"/>
        <v>4055122.5000000005</v>
      </c>
      <c r="J57" s="29"/>
      <c r="K57" s="67">
        <f>(O57+P57+Q57)*G91+U57</f>
        <v>4283570.4669820657</v>
      </c>
      <c r="L57" s="28">
        <v>10725</v>
      </c>
      <c r="M57" s="33">
        <f>G57*L57</f>
        <v>4751175</v>
      </c>
      <c r="N57" s="27"/>
      <c r="O57" s="28">
        <v>4096072</v>
      </c>
      <c r="P57" s="28"/>
      <c r="Q57" s="28"/>
      <c r="R57" s="28"/>
      <c r="S57" s="28"/>
      <c r="T57" s="28"/>
      <c r="U57" s="120">
        <f>'[1]Rekapitulace stavby'!$BO$115</f>
        <v>45707.871689444211</v>
      </c>
      <c r="V57" s="28"/>
      <c r="W57" s="28"/>
      <c r="X57" s="49">
        <f t="shared" si="20"/>
        <v>4055122.5000000005</v>
      </c>
      <c r="Y57" s="49"/>
      <c r="Z57" s="49"/>
    </row>
    <row r="58" spans="1:28" x14ac:dyDescent="0.25">
      <c r="B58" s="26">
        <v>4</v>
      </c>
      <c r="C58" s="26" t="s">
        <v>37</v>
      </c>
      <c r="D58" s="26"/>
      <c r="E58" s="38">
        <v>0</v>
      </c>
      <c r="F58" s="30">
        <v>0</v>
      </c>
      <c r="G58" s="26"/>
      <c r="H58" s="28"/>
      <c r="I58" s="29">
        <f t="shared" si="19"/>
        <v>0</v>
      </c>
      <c r="J58" s="29"/>
      <c r="K58" s="67">
        <f>(O58+P58+Q58)*G91</f>
        <v>0</v>
      </c>
      <c r="L58" s="28">
        <v>3740</v>
      </c>
      <c r="M58" s="27"/>
      <c r="N58" s="27"/>
      <c r="O58" s="28"/>
      <c r="P58" s="28"/>
      <c r="Q58" s="28"/>
      <c r="R58" s="28"/>
      <c r="S58" s="28"/>
      <c r="T58" s="28"/>
      <c r="U58" s="28"/>
      <c r="V58" s="28"/>
      <c r="W58" s="28"/>
      <c r="X58" s="49">
        <f t="shared" si="20"/>
        <v>0</v>
      </c>
      <c r="Y58" s="49"/>
      <c r="Z58" s="49"/>
    </row>
    <row r="59" spans="1:28" x14ac:dyDescent="0.25">
      <c r="B59" s="26">
        <v>5</v>
      </c>
      <c r="C59" s="26" t="s">
        <v>31</v>
      </c>
      <c r="D59" s="26"/>
      <c r="E59" s="38">
        <v>514.20000000000005</v>
      </c>
      <c r="F59" s="30">
        <v>493.27</v>
      </c>
      <c r="G59" s="26">
        <v>490</v>
      </c>
      <c r="H59" s="28">
        <f t="shared" si="18"/>
        <v>678246.25</v>
      </c>
      <c r="I59" s="29">
        <f t="shared" si="19"/>
        <v>678246.25</v>
      </c>
      <c r="J59" s="29"/>
      <c r="K59" s="67">
        <f>(O59+P59+Q59)*G91</f>
        <v>1555843.4804002228</v>
      </c>
      <c r="L59" s="28">
        <v>1375</v>
      </c>
      <c r="M59" s="33">
        <f>G59*L59</f>
        <v>673750</v>
      </c>
      <c r="N59" s="27"/>
      <c r="O59" s="28">
        <v>357962</v>
      </c>
      <c r="P59" s="28">
        <v>-324962</v>
      </c>
      <c r="Q59" s="134">
        <v>1470788</v>
      </c>
      <c r="R59" s="28"/>
      <c r="S59" s="28"/>
      <c r="T59" s="28"/>
      <c r="U59" s="28"/>
      <c r="V59" s="28"/>
      <c r="W59" s="28"/>
      <c r="X59" s="49">
        <f t="shared" si="20"/>
        <v>678246.25</v>
      </c>
      <c r="Y59" s="49"/>
      <c r="Z59" s="49"/>
    </row>
    <row r="60" spans="1:28" x14ac:dyDescent="0.25">
      <c r="B60" s="26">
        <v>6</v>
      </c>
      <c r="C60" s="26" t="s">
        <v>30</v>
      </c>
      <c r="D60" s="26"/>
      <c r="E60" s="30"/>
      <c r="F60" s="30"/>
      <c r="G60" s="26"/>
      <c r="H60" s="28"/>
      <c r="I60" s="28"/>
      <c r="J60" s="28"/>
      <c r="K60" s="71">
        <f>(O60+P60+Q60+Y61)*G91</f>
        <v>2573399.9293490797</v>
      </c>
      <c r="L60" s="26"/>
      <c r="M60" s="26"/>
      <c r="N60" s="26"/>
      <c r="O60" s="28">
        <v>4090511</v>
      </c>
      <c r="P60" s="28">
        <v>-1378788</v>
      </c>
      <c r="Q60" s="28"/>
      <c r="R60" s="28"/>
      <c r="S60" s="28"/>
      <c r="T60" s="28"/>
      <c r="U60" s="28"/>
      <c r="V60" s="28"/>
      <c r="W60" s="28"/>
      <c r="X60" s="49"/>
      <c r="Y60" s="49"/>
      <c r="Z60" s="49"/>
    </row>
    <row r="61" spans="1:28" x14ac:dyDescent="0.25">
      <c r="B61" s="26"/>
      <c r="C61" s="26" t="s">
        <v>13</v>
      </c>
      <c r="D61" s="26"/>
      <c r="E61" s="30"/>
      <c r="F61" s="30"/>
      <c r="G61" s="26"/>
      <c r="H61" s="28">
        <f>SUM(H55:H60)</f>
        <v>11820350.85</v>
      </c>
      <c r="I61" s="28">
        <f>SUM(I55:I60)</f>
        <v>11820350.85</v>
      </c>
      <c r="J61" s="28"/>
      <c r="K61" s="71">
        <f>SUM(K55:K60)</f>
        <v>22478949.495592147</v>
      </c>
      <c r="L61" s="26"/>
      <c r="M61" s="26"/>
      <c r="N61" s="26"/>
      <c r="O61" s="28"/>
      <c r="P61" s="28"/>
      <c r="Q61" s="28"/>
      <c r="R61" s="28"/>
      <c r="S61" s="28"/>
      <c r="T61" s="28"/>
      <c r="U61" s="28"/>
      <c r="V61" s="28"/>
      <c r="W61" s="28"/>
      <c r="X61" s="49">
        <f>SUM(X55:X60)</f>
        <v>11820350.85</v>
      </c>
      <c r="Y61" s="49">
        <v>-224424</v>
      </c>
      <c r="Z61" s="49" t="s">
        <v>102</v>
      </c>
      <c r="AA61" s="45"/>
      <c r="AB61" s="45"/>
    </row>
    <row r="62" spans="1:28" x14ac:dyDescent="0.25">
      <c r="A62" s="25"/>
      <c r="B62" s="25"/>
      <c r="C62" s="25"/>
      <c r="D62" s="48"/>
      <c r="E62" s="50"/>
      <c r="F62" s="50"/>
      <c r="G62" s="25"/>
      <c r="H62" s="73"/>
      <c r="I62" s="73"/>
      <c r="J62" s="73"/>
      <c r="K62" s="25"/>
      <c r="L62" s="25"/>
      <c r="M62" s="25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5"/>
      <c r="AB62" s="45"/>
    </row>
    <row r="63" spans="1:28" x14ac:dyDescent="0.25">
      <c r="A63" s="25"/>
      <c r="B63" s="25"/>
      <c r="C63" s="25"/>
      <c r="D63" s="48"/>
      <c r="E63" s="50"/>
      <c r="F63" s="50"/>
      <c r="G63" s="25"/>
      <c r="H63" s="49"/>
      <c r="I63" s="49"/>
      <c r="J63" s="49"/>
      <c r="K63" s="25"/>
      <c r="L63" s="25"/>
      <c r="M63" s="25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8" x14ac:dyDescent="0.25">
      <c r="A64" s="25"/>
      <c r="B64" s="51"/>
      <c r="C64" s="51"/>
      <c r="D64" s="52"/>
      <c r="E64" s="53"/>
      <c r="F64" s="53"/>
      <c r="G64" s="25"/>
      <c r="H64" s="73"/>
      <c r="I64" s="73"/>
      <c r="J64" s="73"/>
      <c r="K64" s="51"/>
      <c r="L64" s="51"/>
      <c r="M64" s="51"/>
      <c r="N64" s="54"/>
      <c r="O64" s="54"/>
      <c r="P64" s="54"/>
      <c r="Q64" s="49"/>
      <c r="R64" s="49"/>
      <c r="S64" s="49"/>
      <c r="T64" s="49"/>
      <c r="U64" s="49"/>
      <c r="V64" s="49"/>
      <c r="W64" s="49"/>
      <c r="X64" s="49"/>
      <c r="Y64" s="49"/>
    </row>
    <row r="65" spans="1:26" s="25" customFormat="1" ht="15" customHeight="1" x14ac:dyDescent="0.25">
      <c r="A65" s="24"/>
      <c r="B65" s="26"/>
      <c r="C65" s="26" t="s">
        <v>12</v>
      </c>
      <c r="D65" s="74"/>
      <c r="E65" s="42" t="s">
        <v>43</v>
      </c>
      <c r="F65" s="42" t="s">
        <v>44</v>
      </c>
      <c r="G65" s="26"/>
      <c r="H65" s="28"/>
      <c r="I65" s="28"/>
      <c r="J65" s="28"/>
      <c r="K65" s="71"/>
      <c r="L65" s="26"/>
      <c r="M65" s="26"/>
      <c r="N65" s="26"/>
      <c r="O65" s="28"/>
      <c r="P65" s="28"/>
      <c r="Q65" s="28"/>
      <c r="R65" s="28"/>
      <c r="S65" s="28"/>
      <c r="T65" s="28"/>
      <c r="U65" s="28"/>
      <c r="V65" s="28"/>
      <c r="W65" s="28"/>
      <c r="X65" s="49"/>
      <c r="Y65" s="49"/>
    </row>
    <row r="66" spans="1:26" x14ac:dyDescent="0.25">
      <c r="B66" s="26"/>
      <c r="C66" s="26"/>
      <c r="D66" s="55"/>
      <c r="E66" s="30"/>
      <c r="F66" s="30"/>
      <c r="G66" s="26"/>
      <c r="H66" s="28">
        <f t="shared" si="10"/>
        <v>0</v>
      </c>
      <c r="I66" s="28"/>
      <c r="J66" s="28"/>
      <c r="K66" s="71"/>
      <c r="L66" s="26"/>
      <c r="M66" s="26"/>
      <c r="N66" s="26"/>
      <c r="O66" s="28"/>
      <c r="P66" s="28"/>
      <c r="Q66" s="28"/>
      <c r="R66" s="28"/>
      <c r="S66" s="28"/>
      <c r="T66" s="28"/>
      <c r="U66" s="28"/>
      <c r="V66" s="28"/>
      <c r="W66" s="28"/>
      <c r="X66" s="49"/>
      <c r="Y66" s="49"/>
      <c r="Z66" s="49"/>
    </row>
    <row r="67" spans="1:26" ht="15" customHeight="1" x14ac:dyDescent="0.25">
      <c r="B67" s="26">
        <v>1</v>
      </c>
      <c r="C67" s="26" t="s">
        <v>14</v>
      </c>
      <c r="D67" s="26"/>
      <c r="E67" s="30">
        <v>3756.82</v>
      </c>
      <c r="F67" s="30">
        <v>3779.66</v>
      </c>
      <c r="G67" s="26">
        <v>5635</v>
      </c>
      <c r="H67" s="28">
        <f>F67*L67</f>
        <v>17046266.599999998</v>
      </c>
      <c r="I67" s="28">
        <f>F67*L67</f>
        <v>17046266.599999998</v>
      </c>
      <c r="J67" s="28"/>
      <c r="K67" s="71">
        <f>(O67+P67+Q67)*G94+R67+S67+T67+U67</f>
        <v>55987307.864293501</v>
      </c>
      <c r="L67" s="28">
        <v>4510</v>
      </c>
      <c r="M67" s="32">
        <f t="shared" ref="M67:M76" si="21">G67*L67</f>
        <v>25413850</v>
      </c>
      <c r="N67" s="26"/>
      <c r="O67" s="28">
        <v>47476316</v>
      </c>
      <c r="P67" s="28"/>
      <c r="Q67" s="28"/>
      <c r="R67" s="132">
        <f>(-67248-17305.2-68500)*W83</f>
        <v>-157122.27319408808</v>
      </c>
      <c r="S67" s="132">
        <f>-1802096.21*W83</f>
        <v>-1850006.7494809041</v>
      </c>
      <c r="T67" s="132">
        <f>(1267099.19+301776.24+932636.31+556403.52+3391981.75+42865.41+278062.01+612270.6+891712.36)*W83</f>
        <v>8494801.4635436498</v>
      </c>
      <c r="U67" s="132">
        <f>404593.46*W83</f>
        <v>415349.98389227636</v>
      </c>
      <c r="V67" s="132"/>
      <c r="W67" s="28"/>
      <c r="X67" s="49">
        <f>F67*L67</f>
        <v>17046266.599999998</v>
      </c>
      <c r="Y67" s="49"/>
      <c r="Z67" s="49"/>
    </row>
    <row r="68" spans="1:26" x14ac:dyDescent="0.25">
      <c r="B68" s="26">
        <v>2</v>
      </c>
      <c r="C68" s="26" t="s">
        <v>15</v>
      </c>
      <c r="D68" s="26"/>
      <c r="E68" s="30">
        <v>2254.9899999999998</v>
      </c>
      <c r="F68" s="30">
        <v>2290.5</v>
      </c>
      <c r="G68" s="26">
        <v>2402</v>
      </c>
      <c r="H68" s="28">
        <f t="shared" ref="H68:H72" si="22">F68*L68</f>
        <v>7810605</v>
      </c>
      <c r="I68" s="28">
        <f t="shared" ref="I68:I72" si="23">F68*L68</f>
        <v>7810605</v>
      </c>
      <c r="J68" s="28"/>
      <c r="K68" s="71">
        <f>(O68+P68+Q68)*G94+S68+T68+U68</f>
        <v>24845770.74573702</v>
      </c>
      <c r="L68" s="28">
        <v>3410</v>
      </c>
      <c r="M68" s="32">
        <f t="shared" si="21"/>
        <v>8190820</v>
      </c>
      <c r="N68" s="26"/>
      <c r="O68" s="28">
        <v>24748297</v>
      </c>
      <c r="P68" s="28"/>
      <c r="Q68" s="28"/>
      <c r="R68" s="132"/>
      <c r="S68" s="132">
        <f>(-10890.3-1543492.06)*W83</f>
        <v>-1595707.1777394486</v>
      </c>
      <c r="T68" s="132">
        <f>(254804.86+315882.99+3794.96+12093.8)*W83</f>
        <v>602171.33889184974</v>
      </c>
      <c r="U68" s="132">
        <f>246265.38*W83</f>
        <v>252812.5927102858</v>
      </c>
      <c r="V68" s="132"/>
      <c r="W68" s="28"/>
      <c r="X68" s="49">
        <f t="shared" ref="X68:X72" si="24">F68*L68</f>
        <v>7810605</v>
      </c>
      <c r="Y68" s="49"/>
      <c r="Z68" s="49"/>
    </row>
    <row r="69" spans="1:26" x14ac:dyDescent="0.25">
      <c r="B69" s="26">
        <v>3</v>
      </c>
      <c r="C69" s="26" t="s">
        <v>16</v>
      </c>
      <c r="D69" s="26"/>
      <c r="E69" s="30">
        <v>2254.9899999999998</v>
      </c>
      <c r="F69" s="30">
        <v>2236.14</v>
      </c>
      <c r="G69" s="26">
        <v>2266.94</v>
      </c>
      <c r="H69" s="28">
        <f t="shared" si="22"/>
        <v>23982601.5</v>
      </c>
      <c r="I69" s="28">
        <f t="shared" si="23"/>
        <v>23982601.5</v>
      </c>
      <c r="J69" s="28"/>
      <c r="K69" s="71">
        <f>(O69+P69+Q69)*G94+T69</f>
        <v>59596558.530750856</v>
      </c>
      <c r="L69" s="28">
        <v>10725</v>
      </c>
      <c r="M69" s="32">
        <f t="shared" si="21"/>
        <v>24312931.5</v>
      </c>
      <c r="N69" s="26"/>
      <c r="O69" s="28">
        <v>55970136</v>
      </c>
      <c r="P69" s="28">
        <f>-(537738+507682)</f>
        <v>-1045420</v>
      </c>
      <c r="Q69" s="28">
        <f>730683+135768+389741</f>
        <v>1256192</v>
      </c>
      <c r="R69" s="132"/>
      <c r="S69" s="132"/>
      <c r="T69" s="132">
        <f>(14990.06+112760.87+443212.21+179160+580017.48+143546.28)*W83</f>
        <v>1512866.3478081399</v>
      </c>
      <c r="U69" s="132"/>
      <c r="V69" s="132"/>
      <c r="W69" s="28"/>
      <c r="X69" s="49">
        <f t="shared" si="24"/>
        <v>23982601.5</v>
      </c>
      <c r="Y69" s="49"/>
      <c r="Z69" s="49"/>
    </row>
    <row r="70" spans="1:26" x14ac:dyDescent="0.25">
      <c r="B70" s="26">
        <v>4</v>
      </c>
      <c r="C70" s="26" t="s">
        <v>37</v>
      </c>
      <c r="D70" s="55"/>
      <c r="E70" s="30">
        <v>1766.4</v>
      </c>
      <c r="F70" s="30">
        <v>1497.36</v>
      </c>
      <c r="G70" s="26">
        <v>1847</v>
      </c>
      <c r="H70" s="28">
        <f>F70*L70</f>
        <v>5600126.3999999994</v>
      </c>
      <c r="I70" s="28">
        <f t="shared" si="23"/>
        <v>5600126.3999999994</v>
      </c>
      <c r="J70" s="28"/>
      <c r="K70" s="71">
        <f>(O70+P70+Q70)*G94</f>
        <v>5797267.7410820844</v>
      </c>
      <c r="L70" s="28">
        <v>3740</v>
      </c>
      <c r="M70" s="32">
        <f>G70*L70</f>
        <v>6907780</v>
      </c>
      <c r="N70" s="26"/>
      <c r="O70" s="28"/>
      <c r="P70" s="28">
        <v>-2143248</v>
      </c>
      <c r="Q70" s="28">
        <v>7750601</v>
      </c>
      <c r="R70" s="132"/>
      <c r="S70" s="132"/>
      <c r="T70" s="132"/>
      <c r="U70" s="132"/>
      <c r="V70" s="132"/>
      <c r="W70" s="28"/>
      <c r="X70" s="49">
        <f t="shared" si="24"/>
        <v>5600126.3999999994</v>
      </c>
      <c r="Y70" s="49"/>
      <c r="Z70" s="49"/>
    </row>
    <row r="71" spans="1:26" x14ac:dyDescent="0.25">
      <c r="B71" s="26">
        <v>5</v>
      </c>
      <c r="C71" s="26" t="s">
        <v>31</v>
      </c>
      <c r="D71" s="55"/>
      <c r="E71" s="30">
        <v>4600</v>
      </c>
      <c r="F71" s="30">
        <v>303.91000000000003</v>
      </c>
      <c r="G71" s="39">
        <v>816</v>
      </c>
      <c r="H71" s="28">
        <f t="shared" si="22"/>
        <v>417876.25000000006</v>
      </c>
      <c r="I71" s="28">
        <f t="shared" si="23"/>
        <v>417876.25000000006</v>
      </c>
      <c r="J71" s="28"/>
      <c r="K71" s="71">
        <f>(O71+P71+Q71)*G94+S71+T71+U71</f>
        <v>6007495.7032670081</v>
      </c>
      <c r="L71" s="31">
        <v>1375</v>
      </c>
      <c r="M71" s="75">
        <f t="shared" si="21"/>
        <v>1122000</v>
      </c>
      <c r="N71" s="26"/>
      <c r="O71" s="28">
        <v>2797473</v>
      </c>
      <c r="P71" s="28"/>
      <c r="Q71" s="28"/>
      <c r="R71" s="132"/>
      <c r="S71" s="132">
        <f>(-50054.9-160126.1)*W83</f>
        <v>-215768.87319054175</v>
      </c>
      <c r="T71" s="132">
        <f>694855.43*W83</f>
        <v>713328.86017969926</v>
      </c>
      <c r="U71" s="132">
        <f>2549923.18*W83</f>
        <v>2617715.45130646</v>
      </c>
      <c r="V71" s="132"/>
      <c r="W71" s="28"/>
      <c r="X71" s="49">
        <f t="shared" si="24"/>
        <v>417876.25000000006</v>
      </c>
      <c r="Y71" s="49"/>
      <c r="Z71" s="49"/>
    </row>
    <row r="72" spans="1:26" x14ac:dyDescent="0.25">
      <c r="B72" s="26">
        <v>6</v>
      </c>
      <c r="C72" s="26" t="s">
        <v>30</v>
      </c>
      <c r="D72" s="55"/>
      <c r="E72" s="59">
        <v>201.6</v>
      </c>
      <c r="F72" s="30">
        <v>235.24</v>
      </c>
      <c r="G72" s="26">
        <v>235.24</v>
      </c>
      <c r="H72" s="28">
        <f t="shared" si="22"/>
        <v>14102638</v>
      </c>
      <c r="I72" s="28">
        <f t="shared" si="23"/>
        <v>14102638</v>
      </c>
      <c r="J72" s="28"/>
      <c r="K72" s="71">
        <f>(O72+P72+Q72)*G94+T72</f>
        <v>14817466.583060486</v>
      </c>
      <c r="L72" s="28">
        <v>59950</v>
      </c>
      <c r="M72" s="32">
        <f>G72*L72</f>
        <v>14102638</v>
      </c>
      <c r="N72" s="26"/>
      <c r="O72" s="28">
        <v>10859995</v>
      </c>
      <c r="P72" s="28"/>
      <c r="Q72" s="28">
        <v>2699647</v>
      </c>
      <c r="R72" s="132"/>
      <c r="S72" s="132"/>
      <c r="T72" s="132">
        <f>(147632.24+171535+92615.7+162166+203944.73)*W83</f>
        <v>798574.7552726228</v>
      </c>
      <c r="U72" s="132"/>
      <c r="V72" s="132"/>
      <c r="W72" s="28"/>
      <c r="X72" s="49">
        <f t="shared" si="24"/>
        <v>14102638</v>
      </c>
      <c r="Y72" s="49"/>
      <c r="Z72" s="49"/>
    </row>
    <row r="73" spans="1:26" x14ac:dyDescent="0.25">
      <c r="B73" s="26"/>
      <c r="C73" s="26" t="s">
        <v>13</v>
      </c>
      <c r="D73" s="55"/>
      <c r="E73" s="30"/>
      <c r="F73" s="63"/>
      <c r="G73" s="26"/>
      <c r="H73" s="28">
        <f>SUM(H67:H72)</f>
        <v>68960113.75</v>
      </c>
      <c r="I73" s="28">
        <f>SUM(I67:I72)</f>
        <v>68960113.75</v>
      </c>
      <c r="J73" s="28"/>
      <c r="K73" s="71">
        <f>SUM(K67:K72)</f>
        <v>167051867.16819093</v>
      </c>
      <c r="L73" s="28"/>
      <c r="M73" s="32">
        <f t="shared" si="21"/>
        <v>0</v>
      </c>
      <c r="N73" s="26"/>
      <c r="O73" s="28"/>
      <c r="P73" s="28"/>
      <c r="Q73" s="28"/>
      <c r="R73" s="132">
        <f>SUM(R67:R72)</f>
        <v>-157122.27319408808</v>
      </c>
      <c r="S73" s="132">
        <f>SUM(S67:S72)</f>
        <v>-3661482.8004108947</v>
      </c>
      <c r="T73" s="132">
        <f t="shared" ref="T73" si="25">SUM(T67:T72)</f>
        <v>12121742.765695961</v>
      </c>
      <c r="U73" s="132">
        <f>SUM(U67:U72)</f>
        <v>3285878.0279090218</v>
      </c>
      <c r="V73" s="133">
        <f>SUM(R73:U73)</f>
        <v>11589015.720000001</v>
      </c>
      <c r="W73" s="28"/>
      <c r="X73" s="49">
        <f>SUM(X67:X72)</f>
        <v>68960113.75</v>
      </c>
      <c r="Y73" s="49"/>
      <c r="Z73" s="49"/>
    </row>
    <row r="74" spans="1:26" x14ac:dyDescent="0.25">
      <c r="B74" s="25"/>
      <c r="C74" s="25"/>
      <c r="D74" s="48"/>
      <c r="E74" s="50"/>
      <c r="F74" s="94"/>
      <c r="G74" s="25"/>
      <c r="H74" s="49"/>
      <c r="I74" s="49"/>
      <c r="J74" s="49"/>
      <c r="K74" s="49"/>
      <c r="L74" s="57"/>
      <c r="M74" s="25"/>
      <c r="N74" s="49"/>
      <c r="O74" s="49"/>
      <c r="P74" s="49"/>
      <c r="Q74" s="49"/>
      <c r="R74" s="49"/>
      <c r="S74" s="49"/>
      <c r="T74" s="49"/>
      <c r="U74" s="49"/>
      <c r="V74" s="118"/>
      <c r="W74" s="49"/>
      <c r="X74" s="49"/>
      <c r="Y74" s="49"/>
      <c r="Z74" s="49"/>
    </row>
    <row r="75" spans="1:26" x14ac:dyDescent="0.25">
      <c r="B75" s="25"/>
      <c r="C75" s="25"/>
      <c r="D75" s="48"/>
      <c r="E75" s="50"/>
      <c r="F75" s="50"/>
      <c r="G75" s="25"/>
      <c r="H75" s="49"/>
      <c r="I75" s="49"/>
      <c r="J75" s="49"/>
      <c r="K75" s="49"/>
      <c r="L75" s="57"/>
      <c r="M75" s="25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6" x14ac:dyDescent="0.25">
      <c r="B76" s="26">
        <v>7</v>
      </c>
      <c r="C76" s="26" t="s">
        <v>35</v>
      </c>
      <c r="D76" s="58"/>
      <c r="E76" s="59"/>
      <c r="F76" s="59">
        <v>110</v>
      </c>
      <c r="G76" s="26"/>
      <c r="H76" s="28"/>
      <c r="I76" s="28"/>
      <c r="J76" s="28"/>
      <c r="K76" s="71">
        <f>(O76+P76+Q76)*G102</f>
        <v>0</v>
      </c>
      <c r="L76" s="28"/>
      <c r="M76" s="32">
        <f t="shared" si="21"/>
        <v>0</v>
      </c>
      <c r="N76" s="26"/>
      <c r="O76" s="28"/>
      <c r="P76" s="28"/>
      <c r="Q76" s="28"/>
      <c r="R76" s="28"/>
      <c r="S76" s="28"/>
      <c r="T76" s="28"/>
      <c r="U76" s="28"/>
      <c r="V76" s="28"/>
      <c r="W76" s="28"/>
      <c r="X76" s="49"/>
      <c r="Y76" s="49"/>
    </row>
    <row r="77" spans="1:26" x14ac:dyDescent="0.25">
      <c r="B77" s="26"/>
      <c r="C77" s="26" t="s">
        <v>34</v>
      </c>
      <c r="D77" s="58"/>
      <c r="E77" s="59"/>
      <c r="F77" s="59">
        <v>235.24</v>
      </c>
      <c r="G77" s="26">
        <v>235.24</v>
      </c>
      <c r="H77" s="28">
        <f>H17</f>
        <v>8151066</v>
      </c>
      <c r="I77" s="28">
        <f>G77*L77</f>
        <v>8151066</v>
      </c>
      <c r="J77" s="28"/>
      <c r="K77" s="71">
        <f>(O77+P77+Q77)*G91+T77+U77</f>
        <v>8424422.7476861291</v>
      </c>
      <c r="L77" s="28">
        <v>34650</v>
      </c>
      <c r="M77" s="32">
        <f>G77*L77</f>
        <v>8151066</v>
      </c>
      <c r="N77" s="26"/>
      <c r="O77" s="28"/>
      <c r="P77" s="28"/>
      <c r="Q77" s="28">
        <v>7828284</v>
      </c>
      <c r="R77" s="28"/>
      <c r="S77" s="28"/>
      <c r="T77" s="120">
        <f>'[1]Rekapitulace stavby'!$CL$99</f>
        <v>48613.016474171054</v>
      </c>
      <c r="U77" s="120">
        <f>'[1]Rekapitulace stavby'!$CM$118</f>
        <v>276540.00428144966</v>
      </c>
      <c r="V77" s="28"/>
      <c r="W77" s="28"/>
      <c r="X77" s="49">
        <f>G77*L77</f>
        <v>8151066</v>
      </c>
      <c r="Y77" s="49"/>
      <c r="Z77" s="49"/>
    </row>
    <row r="78" spans="1:26" x14ac:dyDescent="0.25">
      <c r="B78" s="26"/>
      <c r="C78" s="26" t="s">
        <v>103</v>
      </c>
      <c r="D78" s="26"/>
      <c r="E78" s="26"/>
      <c r="F78" s="26"/>
      <c r="G78" s="26"/>
      <c r="H78" s="28"/>
      <c r="I78" s="28"/>
      <c r="J78" s="28"/>
      <c r="K78" s="71">
        <f>-(Y39+Y49+Y61)*G91</f>
        <v>710182.31137620553</v>
      </c>
      <c r="L78" s="26"/>
      <c r="M78" s="26"/>
      <c r="N78" s="26"/>
      <c r="O78" s="28"/>
      <c r="P78" s="28"/>
      <c r="Q78" s="28"/>
      <c r="R78" s="28"/>
      <c r="S78" s="28"/>
      <c r="T78" s="28"/>
      <c r="U78" s="28"/>
      <c r="V78" s="28"/>
      <c r="W78" s="28"/>
      <c r="X78" s="49"/>
      <c r="Y78" s="49"/>
      <c r="Z78" s="49"/>
    </row>
    <row r="79" spans="1:26" ht="15.75" thickBot="1" x14ac:dyDescent="0.3">
      <c r="B79" s="26"/>
      <c r="C79" s="26" t="s">
        <v>13</v>
      </c>
      <c r="D79" s="26"/>
      <c r="E79" s="26"/>
      <c r="F79" s="26"/>
      <c r="G79" s="26"/>
      <c r="H79" s="112"/>
      <c r="I79" s="28"/>
      <c r="J79" s="117"/>
      <c r="K79" s="115">
        <f>SUM(K77:K78)</f>
        <v>9134605.0590623338</v>
      </c>
      <c r="L79" s="26"/>
      <c r="M79" s="26"/>
      <c r="N79" s="26"/>
      <c r="O79" s="28"/>
      <c r="P79" s="28"/>
      <c r="Q79" s="28"/>
      <c r="R79" s="28"/>
      <c r="S79" s="28"/>
      <c r="T79" s="28"/>
      <c r="U79" s="28"/>
      <c r="V79" s="28"/>
      <c r="W79" s="28"/>
      <c r="X79" s="49"/>
      <c r="Y79" s="49"/>
      <c r="Z79" s="49"/>
    </row>
    <row r="80" spans="1:26" ht="15.75" thickBot="1" x14ac:dyDescent="0.3">
      <c r="C80" s="24" t="s">
        <v>116</v>
      </c>
      <c r="H80" s="114">
        <f>H29+H39+H51+H61+H73+H77</f>
        <v>141338176.65000001</v>
      </c>
      <c r="I80" s="32">
        <f>I29+I39+I51+I61+I73+I77</f>
        <v>141338176.65000001</v>
      </c>
      <c r="J80" s="57"/>
      <c r="X80" s="103">
        <f>X29+X39+X51+X61+X73+X77</f>
        <v>141338176.65000001</v>
      </c>
      <c r="Y80" s="49"/>
      <c r="Z80" s="49"/>
    </row>
    <row r="81" spans="3:24" x14ac:dyDescent="0.25">
      <c r="J81" s="25" t="s">
        <v>116</v>
      </c>
      <c r="K81" s="61"/>
      <c r="S81" s="127" t="s">
        <v>162</v>
      </c>
      <c r="T81" s="127" t="s">
        <v>156</v>
      </c>
      <c r="U81" s="129">
        <f>'[1]Rekapitulace stavby'!$BM$124</f>
        <v>220506.04</v>
      </c>
      <c r="V81" s="129">
        <f>'[1]Rekapitulace stavby'!$BL$124</f>
        <v>214513.98</v>
      </c>
      <c r="W81" s="127">
        <f>U81/V81</f>
        <v>1.0279331911141643</v>
      </c>
    </row>
    <row r="82" spans="3:24" x14ac:dyDescent="0.25">
      <c r="S82" s="127" t="s">
        <v>12</v>
      </c>
      <c r="T82" s="127" t="s">
        <v>155</v>
      </c>
      <c r="U82" s="128">
        <f>T33+S34+U34+T35+U35+S43+U43+S44+T44+U44+T45+U45+T48+S49+S56+U57+U56+T77+U77</f>
        <v>-220506.04322736029</v>
      </c>
    </row>
    <row r="83" spans="3:24" x14ac:dyDescent="0.25">
      <c r="C83" s="24" t="s">
        <v>63</v>
      </c>
      <c r="D83" s="45"/>
      <c r="E83" s="45" t="s">
        <v>63</v>
      </c>
      <c r="F83" s="45" t="s">
        <v>93</v>
      </c>
      <c r="G83" s="45"/>
      <c r="H83" s="49"/>
      <c r="I83" s="49"/>
      <c r="J83" s="49"/>
      <c r="K83" s="45"/>
      <c r="L83" s="24" t="s">
        <v>131</v>
      </c>
      <c r="T83" s="130" t="s">
        <v>156</v>
      </c>
      <c r="U83" s="131">
        <v>11589015.720000001</v>
      </c>
      <c r="V83" s="131">
        <f>U83-300126.47</f>
        <v>11288889.25</v>
      </c>
      <c r="W83" s="130">
        <f>U83/V83</f>
        <v>1.0265860053503493</v>
      </c>
    </row>
    <row r="84" spans="3:24" ht="15.75" thickBot="1" x14ac:dyDescent="0.3">
      <c r="C84" s="45" t="s">
        <v>19</v>
      </c>
      <c r="E84" s="45">
        <v>166950</v>
      </c>
      <c r="F84" s="45">
        <f>11998785-E84</f>
        <v>11831835</v>
      </c>
      <c r="G84" s="60">
        <f>E84/F84</f>
        <v>1.4110237338502439E-2</v>
      </c>
      <c r="H84" s="49"/>
      <c r="I84" s="49"/>
      <c r="J84" s="49"/>
      <c r="K84" s="45"/>
      <c r="M84" s="45">
        <v>730683</v>
      </c>
      <c r="N84" s="45">
        <v>-537378</v>
      </c>
      <c r="T84" s="130" t="s">
        <v>155</v>
      </c>
      <c r="X84" s="103">
        <f>X23+X33+X43+X55+X67</f>
        <v>45475006.5</v>
      </c>
    </row>
    <row r="85" spans="3:24" ht="15.75" thickBot="1" x14ac:dyDescent="0.3">
      <c r="C85" s="45" t="s">
        <v>73</v>
      </c>
      <c r="E85" s="45"/>
      <c r="F85" s="45"/>
      <c r="G85" s="76">
        <f>G84+1</f>
        <v>1.0141102373385025</v>
      </c>
      <c r="H85" s="49"/>
      <c r="I85" s="49"/>
      <c r="J85" s="49"/>
      <c r="K85" s="45"/>
      <c r="M85" s="45">
        <v>135798</v>
      </c>
      <c r="N85" s="45">
        <v>-507682</v>
      </c>
      <c r="R85" s="24" t="s">
        <v>63</v>
      </c>
      <c r="S85" s="24">
        <v>300126.46999999997</v>
      </c>
    </row>
    <row r="86" spans="3:24" x14ac:dyDescent="0.25">
      <c r="C86" s="45"/>
      <c r="E86" s="45"/>
      <c r="F86" s="45"/>
      <c r="G86" s="60"/>
      <c r="H86" s="49"/>
      <c r="I86" s="49"/>
      <c r="J86" s="49"/>
      <c r="K86" s="45"/>
      <c r="M86" s="45">
        <v>389741.5</v>
      </c>
      <c r="N86" s="45"/>
      <c r="R86" s="24" t="s">
        <v>12</v>
      </c>
      <c r="S86" s="24">
        <f>11589015.72/11288889.25</f>
        <v>1.0265860053503493</v>
      </c>
    </row>
    <row r="87" spans="3:24" x14ac:dyDescent="0.25">
      <c r="C87" s="45" t="s">
        <v>9</v>
      </c>
      <c r="E87" s="45">
        <v>1035246</v>
      </c>
      <c r="F87" s="45">
        <v>27625981</v>
      </c>
      <c r="G87" s="60">
        <f>E87/F87</f>
        <v>3.7473637587747563E-2</v>
      </c>
      <c r="H87" s="49"/>
      <c r="I87" s="49"/>
      <c r="J87" s="49"/>
      <c r="K87" s="45"/>
      <c r="L87" s="24" t="s">
        <v>13</v>
      </c>
      <c r="M87" s="45">
        <f>SUM(M84:M86)</f>
        <v>1256222.5</v>
      </c>
      <c r="N87" s="45">
        <f>SUM(N84:N86)</f>
        <v>-1045060</v>
      </c>
      <c r="O87" s="61"/>
    </row>
    <row r="88" spans="3:24" x14ac:dyDescent="0.25">
      <c r="C88" s="45" t="s">
        <v>10</v>
      </c>
      <c r="E88" s="45">
        <v>1781276</v>
      </c>
      <c r="F88" s="45">
        <v>59394724</v>
      </c>
      <c r="G88" s="60">
        <f>E88/F88</f>
        <v>2.9990475248272894E-2</v>
      </c>
      <c r="H88" s="49"/>
      <c r="I88" s="49"/>
      <c r="J88" s="49"/>
      <c r="K88" s="45"/>
      <c r="M88" s="45"/>
      <c r="N88" s="45"/>
    </row>
    <row r="89" spans="3:24" x14ac:dyDescent="0.25">
      <c r="C89" s="45" t="s">
        <v>11</v>
      </c>
      <c r="E89" s="45">
        <v>1026601</v>
      </c>
      <c r="F89" s="45">
        <v>28215265</v>
      </c>
      <c r="G89" s="60">
        <f>E89/F89</f>
        <v>3.6384595359993964E-2</v>
      </c>
      <c r="H89" s="49"/>
      <c r="I89" s="49"/>
      <c r="J89" s="49"/>
      <c r="K89" s="45"/>
    </row>
    <row r="90" spans="3:24" ht="15.75" thickBot="1" x14ac:dyDescent="0.3">
      <c r="C90" s="45" t="s">
        <v>64</v>
      </c>
      <c r="E90" s="45">
        <f>SUM(E87:E89)</f>
        <v>3843123</v>
      </c>
      <c r="F90" s="45">
        <f>SUM(F87:F89)-E90</f>
        <v>111392847</v>
      </c>
      <c r="G90" s="60">
        <f>SUM(G87:G89)/3</f>
        <v>3.4616236065338139E-2</v>
      </c>
      <c r="H90" s="49"/>
      <c r="I90" s="49"/>
      <c r="J90" s="49"/>
      <c r="K90" s="45"/>
    </row>
    <row r="91" spans="3:24" ht="15.75" thickBot="1" x14ac:dyDescent="0.3">
      <c r="C91" s="45" t="s">
        <v>73</v>
      </c>
      <c r="E91" s="45"/>
      <c r="F91" s="45"/>
      <c r="G91" s="76">
        <f>G90+1</f>
        <v>1.0346162360653381</v>
      </c>
      <c r="H91" s="49"/>
      <c r="I91" s="49"/>
      <c r="J91" s="49"/>
      <c r="K91" s="45"/>
    </row>
    <row r="92" spans="3:24" x14ac:dyDescent="0.25">
      <c r="C92" s="45"/>
      <c r="E92" s="45"/>
      <c r="F92" s="45"/>
      <c r="G92" s="60"/>
      <c r="H92" s="49"/>
      <c r="I92" s="49"/>
      <c r="J92" s="49"/>
      <c r="K92" s="45"/>
      <c r="P92" s="24" t="s">
        <v>116</v>
      </c>
    </row>
    <row r="93" spans="3:24" ht="15.75" thickBot="1" x14ac:dyDescent="0.3">
      <c r="C93" s="45" t="s">
        <v>12</v>
      </c>
      <c r="E93" s="45">
        <v>5172026</v>
      </c>
      <c r="F93" s="45">
        <f>157879369-E93</f>
        <v>152707343</v>
      </c>
      <c r="G93" s="60">
        <f>E93/F93</f>
        <v>3.386887557856337E-2</v>
      </c>
      <c r="H93" s="49"/>
      <c r="I93" s="49"/>
      <c r="J93" s="49"/>
      <c r="K93" s="45"/>
      <c r="P93" s="24" t="s">
        <v>19</v>
      </c>
      <c r="Q93" s="61">
        <f>K29</f>
        <v>10995976.007146399</v>
      </c>
    </row>
    <row r="94" spans="3:24" ht="15.75" thickBot="1" x14ac:dyDescent="0.3">
      <c r="C94" s="45" t="s">
        <v>73</v>
      </c>
      <c r="E94" s="45"/>
      <c r="F94" s="45"/>
      <c r="G94" s="76">
        <f>1+G93</f>
        <v>1.0338688755785634</v>
      </c>
      <c r="H94" s="49"/>
      <c r="I94" s="49"/>
      <c r="J94" s="49"/>
      <c r="K94" s="45"/>
      <c r="P94" s="24" t="s">
        <v>9</v>
      </c>
      <c r="Q94" s="61">
        <f>K39</f>
        <v>22375903.414493438</v>
      </c>
    </row>
    <row r="95" spans="3:24" x14ac:dyDescent="0.25">
      <c r="D95" s="45"/>
      <c r="E95" s="45"/>
      <c r="F95" s="45"/>
      <c r="G95" s="45"/>
      <c r="H95" s="49"/>
      <c r="I95" s="49"/>
      <c r="J95" s="49"/>
      <c r="K95" s="45"/>
      <c r="P95" s="24" t="s">
        <v>10</v>
      </c>
      <c r="Q95" s="61">
        <f>K51</f>
        <v>45339525.00056497</v>
      </c>
    </row>
    <row r="96" spans="3:24" x14ac:dyDescent="0.25">
      <c r="D96" s="45"/>
      <c r="E96" s="45"/>
      <c r="F96" s="45"/>
      <c r="P96" s="24" t="s">
        <v>11</v>
      </c>
      <c r="Q96" s="61">
        <f>K61</f>
        <v>22478949.495592147</v>
      </c>
    </row>
    <row r="97" spans="2:17" x14ac:dyDescent="0.25">
      <c r="P97" s="24" t="s">
        <v>12</v>
      </c>
      <c r="Q97" s="61">
        <f>K73</f>
        <v>167051867.16819093</v>
      </c>
    </row>
    <row r="98" spans="2:17" x14ac:dyDescent="0.25">
      <c r="B98" s="85"/>
      <c r="C98" s="85"/>
      <c r="D98" s="109"/>
      <c r="E98" s="109"/>
      <c r="F98" s="85"/>
      <c r="G98" s="85"/>
      <c r="H98" s="87"/>
      <c r="I98" s="87"/>
      <c r="J98" s="87"/>
      <c r="K98" s="85"/>
      <c r="L98" s="85"/>
      <c r="M98" s="85"/>
      <c r="N98" s="85"/>
      <c r="P98" s="24" t="s">
        <v>161</v>
      </c>
      <c r="Q98" s="61">
        <f>K79</f>
        <v>9134605.0590623338</v>
      </c>
    </row>
    <row r="99" spans="2:17" x14ac:dyDescent="0.25">
      <c r="B99" s="110"/>
      <c r="C99" s="110"/>
      <c r="D99" s="110"/>
      <c r="E99" s="110"/>
      <c r="F99" s="110"/>
      <c r="G99" s="85"/>
      <c r="H99" s="87"/>
      <c r="I99" s="87"/>
      <c r="J99" s="87"/>
      <c r="K99" s="85"/>
      <c r="L99" s="85"/>
      <c r="M99" s="85"/>
      <c r="N99" s="85"/>
      <c r="Q99" s="61">
        <f>SUM(Q93:Q98)</f>
        <v>277376826.14505023</v>
      </c>
    </row>
    <row r="100" spans="2:17" x14ac:dyDescent="0.25">
      <c r="B100" s="85"/>
      <c r="C100" s="111"/>
      <c r="D100" s="111" t="s">
        <v>136</v>
      </c>
      <c r="E100" s="111" t="s">
        <v>166</v>
      </c>
      <c r="F100" s="111" t="s">
        <v>138</v>
      </c>
      <c r="G100" s="111" t="s">
        <v>139</v>
      </c>
      <c r="H100" s="111" t="s">
        <v>145</v>
      </c>
      <c r="I100" s="111"/>
      <c r="J100" s="111"/>
      <c r="K100" s="111" t="s">
        <v>146</v>
      </c>
      <c r="L100" s="111" t="s">
        <v>144</v>
      </c>
      <c r="M100" s="111" t="s">
        <v>143</v>
      </c>
      <c r="N100" s="85"/>
    </row>
    <row r="101" spans="2:17" x14ac:dyDescent="0.25">
      <c r="B101" s="85"/>
      <c r="C101" s="111"/>
      <c r="D101" s="111"/>
      <c r="E101" s="111" t="s">
        <v>169</v>
      </c>
      <c r="F101" s="111" t="s">
        <v>170</v>
      </c>
      <c r="G101" s="111" t="s">
        <v>164</v>
      </c>
      <c r="H101" s="111" t="s">
        <v>167</v>
      </c>
      <c r="I101" s="111"/>
      <c r="J101" s="111"/>
      <c r="K101" s="111" t="s">
        <v>167</v>
      </c>
      <c r="L101" s="111" t="s">
        <v>13</v>
      </c>
      <c r="M101" s="111" t="s">
        <v>168</v>
      </c>
      <c r="N101" s="85"/>
    </row>
    <row r="102" spans="2:17" x14ac:dyDescent="0.25">
      <c r="B102" s="85"/>
      <c r="C102" s="111" t="s">
        <v>133</v>
      </c>
      <c r="D102" s="111" t="s">
        <v>71</v>
      </c>
      <c r="E102" s="71"/>
      <c r="F102" s="71">
        <f>K72</f>
        <v>14817466.583060486</v>
      </c>
      <c r="G102" s="71"/>
      <c r="H102" s="71"/>
      <c r="I102" s="71"/>
      <c r="J102" s="71"/>
      <c r="K102" s="71">
        <f>F102-M102</f>
        <v>714828.58306048624</v>
      </c>
      <c r="L102" s="71"/>
      <c r="M102" s="71">
        <f>H72</f>
        <v>14102638</v>
      </c>
      <c r="N102" s="110"/>
    </row>
    <row r="103" spans="2:17" x14ac:dyDescent="0.25">
      <c r="B103" s="85"/>
      <c r="C103" s="111"/>
      <c r="D103" s="111" t="s">
        <v>70</v>
      </c>
      <c r="E103" s="71"/>
      <c r="F103" s="71">
        <f>K71</f>
        <v>6007495.7032670081</v>
      </c>
      <c r="G103" s="71"/>
      <c r="H103" s="71"/>
      <c r="I103" s="71"/>
      <c r="J103" s="71"/>
      <c r="K103" s="71">
        <f>F103-M103</f>
        <v>5589619.4532670081</v>
      </c>
      <c r="L103" s="71"/>
      <c r="M103" s="71">
        <f>H71</f>
        <v>417876.25000000006</v>
      </c>
      <c r="N103" s="110"/>
    </row>
    <row r="104" spans="2:17" x14ac:dyDescent="0.25">
      <c r="B104" s="85"/>
      <c r="C104" s="111"/>
      <c r="D104" s="111" t="s">
        <v>69</v>
      </c>
      <c r="E104" s="71"/>
      <c r="F104" s="71">
        <f>K70</f>
        <v>5797267.7410820844</v>
      </c>
      <c r="G104" s="71"/>
      <c r="H104" s="71"/>
      <c r="I104" s="71"/>
      <c r="J104" s="71"/>
      <c r="K104" s="71">
        <f>F104-M104</f>
        <v>197141.34108208492</v>
      </c>
      <c r="L104" s="71"/>
      <c r="M104" s="71">
        <f>H70</f>
        <v>5600126.3999999994</v>
      </c>
      <c r="N104" s="110"/>
    </row>
    <row r="105" spans="2:17" x14ac:dyDescent="0.25">
      <c r="B105" s="85"/>
      <c r="C105" s="111"/>
      <c r="D105" s="111" t="s">
        <v>67</v>
      </c>
      <c r="E105" s="71"/>
      <c r="F105" s="71">
        <f>AC24</f>
        <v>140429637.14078137</v>
      </c>
      <c r="G105" s="71"/>
      <c r="H105" s="71"/>
      <c r="I105" s="71"/>
      <c r="J105" s="71"/>
      <c r="K105" s="71">
        <f>F105-M105</f>
        <v>91590164.040781379</v>
      </c>
      <c r="L105" s="71"/>
      <c r="M105" s="71">
        <f>H67+H68+H69</f>
        <v>48839473.099999994</v>
      </c>
      <c r="N105" s="110"/>
    </row>
    <row r="106" spans="2:17" x14ac:dyDescent="0.25">
      <c r="B106" s="85"/>
      <c r="C106" s="111"/>
      <c r="D106" s="111" t="s">
        <v>165</v>
      </c>
      <c r="E106" s="71"/>
      <c r="F106" s="71">
        <f>E107-F102-F103-F104-F105</f>
        <v>23705969.24180907</v>
      </c>
      <c r="G106" s="71"/>
      <c r="H106" s="71"/>
      <c r="I106" s="71"/>
      <c r="J106" s="71"/>
      <c r="K106" s="71">
        <f>F106-M106</f>
        <v>23705969.24180907</v>
      </c>
      <c r="L106" s="71"/>
      <c r="M106" s="71"/>
      <c r="N106" s="110"/>
    </row>
    <row r="107" spans="2:17" x14ac:dyDescent="0.25">
      <c r="B107" s="85"/>
      <c r="C107" s="111"/>
      <c r="D107" s="111" t="s">
        <v>13</v>
      </c>
      <c r="E107" s="71">
        <f>AF5</f>
        <v>190757836.41</v>
      </c>
      <c r="F107" s="71"/>
      <c r="G107" s="71"/>
      <c r="H107" s="71">
        <f>E107-L107</f>
        <v>121797722.66</v>
      </c>
      <c r="I107" s="71"/>
      <c r="J107" s="71"/>
      <c r="K107" s="71"/>
      <c r="L107" s="71">
        <f>M102+M103+M104+M105</f>
        <v>68960113.75</v>
      </c>
      <c r="M107" s="71"/>
      <c r="N107" s="110"/>
    </row>
    <row r="108" spans="2:17" x14ac:dyDescent="0.25">
      <c r="B108" s="85"/>
      <c r="C108" s="111"/>
      <c r="D108" s="111"/>
      <c r="E108" s="71"/>
      <c r="F108" s="71"/>
      <c r="G108" s="71"/>
      <c r="H108" s="71"/>
      <c r="I108" s="71"/>
      <c r="J108" s="71"/>
      <c r="K108" s="71"/>
      <c r="L108" s="71"/>
      <c r="M108" s="71"/>
      <c r="N108" s="110"/>
    </row>
    <row r="109" spans="2:17" x14ac:dyDescent="0.25">
      <c r="B109" s="85"/>
      <c r="C109" s="111" t="s">
        <v>134</v>
      </c>
      <c r="D109" s="111" t="s">
        <v>72</v>
      </c>
      <c r="E109" s="71"/>
      <c r="F109" s="71">
        <f>AG23</f>
        <v>9134605.0590623338</v>
      </c>
      <c r="G109" s="71"/>
      <c r="H109" s="71"/>
      <c r="I109" s="71"/>
      <c r="J109" s="71"/>
      <c r="K109" s="71">
        <f>F109-M109</f>
        <v>983539.05906233378</v>
      </c>
      <c r="L109" s="71"/>
      <c r="M109" s="71">
        <f>H77</f>
        <v>8151066</v>
      </c>
      <c r="N109" s="110"/>
    </row>
    <row r="110" spans="2:17" x14ac:dyDescent="0.25">
      <c r="B110" s="85"/>
      <c r="C110" s="111"/>
      <c r="D110" s="111" t="s">
        <v>71</v>
      </c>
      <c r="E110" s="71"/>
      <c r="F110" s="71">
        <f>K38+K48+K60</f>
        <v>9278451.7475815397</v>
      </c>
      <c r="G110" s="71"/>
      <c r="H110" s="71"/>
      <c r="I110" s="71"/>
      <c r="J110" s="71"/>
      <c r="K110" s="71">
        <f t="shared" ref="K110:K114" si="26">F110-M110</f>
        <v>9278451.7475815397</v>
      </c>
      <c r="L110" s="71"/>
      <c r="M110" s="71"/>
      <c r="N110" s="110"/>
    </row>
    <row r="111" spans="2:17" x14ac:dyDescent="0.25">
      <c r="B111" s="85"/>
      <c r="C111" s="111"/>
      <c r="D111" s="111" t="s">
        <v>70</v>
      </c>
      <c r="E111" s="71"/>
      <c r="F111" s="71">
        <f>K37+K47+K59</f>
        <v>5836650.9264194444</v>
      </c>
      <c r="G111" s="71"/>
      <c r="H111" s="71"/>
      <c r="I111" s="71"/>
      <c r="J111" s="71"/>
      <c r="K111" s="71">
        <f t="shared" si="26"/>
        <v>2405159.6764194444</v>
      </c>
      <c r="L111" s="71"/>
      <c r="M111" s="71">
        <f>H37+H47+H59</f>
        <v>3431491.25</v>
      </c>
      <c r="N111" s="110"/>
    </row>
    <row r="112" spans="2:17" x14ac:dyDescent="0.25">
      <c r="B112" s="85"/>
      <c r="C112" s="111"/>
      <c r="D112" s="111" t="s">
        <v>67</v>
      </c>
      <c r="E112" s="71"/>
      <c r="F112" s="71">
        <f>AC23</f>
        <v>73957395.509370804</v>
      </c>
      <c r="G112" s="71"/>
      <c r="H112" s="71"/>
      <c r="I112" s="71"/>
      <c r="J112" s="71"/>
      <c r="K112" s="71">
        <f t="shared" si="26"/>
        <v>26324294.609370805</v>
      </c>
      <c r="L112" s="71"/>
      <c r="M112" s="71">
        <f>H33+H34+H35+H43+H44+H45+H55+H56+H57</f>
        <v>47633100.899999999</v>
      </c>
      <c r="N112" s="110"/>
    </row>
    <row r="113" spans="2:28" x14ac:dyDescent="0.25">
      <c r="B113" s="85"/>
      <c r="C113" s="111"/>
      <c r="D113" s="111" t="s">
        <v>165</v>
      </c>
      <c r="E113" s="71">
        <f>AF6</f>
        <v>122311810.06999999</v>
      </c>
      <c r="F113" s="71">
        <f>E113-F109-F110-F111-F112+E114</f>
        <v>22833466.367565878</v>
      </c>
      <c r="G113" s="71"/>
      <c r="H113" s="71"/>
      <c r="I113" s="71"/>
      <c r="J113" s="71"/>
      <c r="K113" s="71">
        <f t="shared" si="26"/>
        <v>22833466.367565878</v>
      </c>
      <c r="L113" s="71"/>
      <c r="M113" s="71"/>
      <c r="N113" s="110"/>
    </row>
    <row r="114" spans="2:28" x14ac:dyDescent="0.25">
      <c r="B114" s="85"/>
      <c r="C114" s="111"/>
      <c r="D114" s="111" t="s">
        <v>140</v>
      </c>
      <c r="E114" s="135">
        <f>AD11</f>
        <v>-1271240.46</v>
      </c>
      <c r="F114" s="71"/>
      <c r="G114" s="71"/>
      <c r="H114" s="71"/>
      <c r="I114" s="71"/>
      <c r="J114" s="71"/>
      <c r="K114" s="71">
        <f t="shared" si="26"/>
        <v>0</v>
      </c>
      <c r="L114" s="71"/>
      <c r="M114" s="71"/>
      <c r="N114" s="110"/>
    </row>
    <row r="115" spans="2:28" x14ac:dyDescent="0.25">
      <c r="B115" s="85"/>
      <c r="C115" s="111"/>
      <c r="D115" s="111" t="s">
        <v>13</v>
      </c>
      <c r="E115" s="71"/>
      <c r="F115" s="71"/>
      <c r="G115" s="71"/>
      <c r="H115" s="71">
        <f>E113-L115</f>
        <v>63096151.919999994</v>
      </c>
      <c r="I115" s="71"/>
      <c r="J115" s="71"/>
      <c r="K115" s="71"/>
      <c r="L115" s="71">
        <f>M109+M111+M112</f>
        <v>59215658.149999999</v>
      </c>
      <c r="M115" s="71"/>
      <c r="N115" s="110"/>
    </row>
    <row r="116" spans="2:28" x14ac:dyDescent="0.25">
      <c r="B116" s="85"/>
      <c r="C116" s="111"/>
      <c r="D116" s="111"/>
      <c r="E116" s="71"/>
      <c r="F116" s="71"/>
      <c r="G116" s="71"/>
      <c r="H116" s="71"/>
      <c r="I116" s="71"/>
      <c r="J116" s="71"/>
      <c r="K116" s="71"/>
      <c r="L116" s="71"/>
      <c r="M116" s="71"/>
      <c r="N116" s="110"/>
    </row>
    <row r="117" spans="2:28" x14ac:dyDescent="0.25">
      <c r="B117" s="85"/>
      <c r="C117" s="111"/>
      <c r="D117" s="111"/>
      <c r="E117" s="71"/>
      <c r="F117" s="71"/>
      <c r="G117" s="71"/>
      <c r="H117" s="71"/>
      <c r="I117" s="71"/>
      <c r="J117" s="71"/>
      <c r="K117" s="71"/>
      <c r="L117" s="71"/>
      <c r="M117" s="71"/>
      <c r="N117" s="110"/>
    </row>
    <row r="118" spans="2:28" x14ac:dyDescent="0.25">
      <c r="B118" s="85"/>
      <c r="C118" s="111" t="s">
        <v>135</v>
      </c>
      <c r="D118" s="111" t="s">
        <v>70</v>
      </c>
      <c r="E118" s="71"/>
      <c r="F118" s="71">
        <f>AE21</f>
        <v>401551.14601750282</v>
      </c>
      <c r="G118" s="71"/>
      <c r="H118" s="71"/>
      <c r="I118" s="71"/>
      <c r="J118" s="71"/>
      <c r="K118" s="71">
        <f>F118-M118</f>
        <v>-504312.60398249706</v>
      </c>
      <c r="L118" s="71"/>
      <c r="M118" s="71">
        <f>H27</f>
        <v>905863.74999999988</v>
      </c>
      <c r="N118" s="110"/>
    </row>
    <row r="119" spans="2:28" x14ac:dyDescent="0.25">
      <c r="B119" s="85"/>
      <c r="C119" s="111"/>
      <c r="D119" s="111" t="s">
        <v>67</v>
      </c>
      <c r="E119" s="71"/>
      <c r="F119" s="71">
        <f>AC21</f>
        <v>10594424.861128896</v>
      </c>
      <c r="G119" s="71"/>
      <c r="H119" s="71"/>
      <c r="I119" s="71"/>
      <c r="J119" s="71"/>
      <c r="K119" s="71">
        <f>F119-M119</f>
        <v>-1662116.1388711035</v>
      </c>
      <c r="L119" s="71"/>
      <c r="M119" s="71">
        <f>H23+H24+H25</f>
        <v>12256541</v>
      </c>
      <c r="N119" s="110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 spans="2:28" x14ac:dyDescent="0.25">
      <c r="B120" s="85"/>
      <c r="C120" s="111"/>
      <c r="D120" s="111" t="s">
        <v>165</v>
      </c>
      <c r="E120" s="71"/>
      <c r="F120" s="71">
        <f>AD7-F118-F119</f>
        <v>3731358.9928536005</v>
      </c>
      <c r="G120" s="71"/>
      <c r="H120" s="71"/>
      <c r="I120" s="71"/>
      <c r="J120" s="71"/>
      <c r="K120" s="71">
        <f>F120-M120</f>
        <v>3731358.9928536005</v>
      </c>
      <c r="L120" s="71"/>
      <c r="M120" s="71"/>
      <c r="N120" s="110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 spans="2:28" x14ac:dyDescent="0.25">
      <c r="B121" s="85"/>
      <c r="C121" s="111"/>
      <c r="D121" s="111" t="s">
        <v>53</v>
      </c>
      <c r="E121" s="71">
        <f>F118+F119+F120</f>
        <v>14727335</v>
      </c>
      <c r="F121" s="71"/>
      <c r="G121" s="71"/>
      <c r="H121" s="71">
        <f>E121-L121</f>
        <v>1564930.25</v>
      </c>
      <c r="I121" s="71"/>
      <c r="J121" s="71"/>
      <c r="K121" s="71"/>
      <c r="L121" s="71">
        <f>M118+M119</f>
        <v>13162404.75</v>
      </c>
      <c r="M121" s="71"/>
      <c r="N121" s="110"/>
      <c r="O121" s="45"/>
      <c r="P121" s="45"/>
      <c r="Q121" s="45"/>
      <c r="R121" s="45"/>
      <c r="S121" s="45"/>
      <c r="T121" s="45"/>
      <c r="U121" s="45"/>
      <c r="V121" s="45"/>
      <c r="W121" s="45"/>
      <c r="X121" s="45"/>
    </row>
    <row r="122" spans="2:28" x14ac:dyDescent="0.25">
      <c r="B122" s="85"/>
      <c r="C122" s="111"/>
      <c r="D122" s="111"/>
      <c r="E122" s="71"/>
      <c r="F122" s="71"/>
      <c r="G122" s="71"/>
      <c r="H122" s="71"/>
      <c r="I122" s="71"/>
      <c r="J122" s="71"/>
      <c r="K122" s="71"/>
      <c r="L122" s="71"/>
      <c r="M122" s="71"/>
      <c r="N122" s="110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2:28" x14ac:dyDescent="0.25">
      <c r="B123" s="85"/>
      <c r="C123" s="111" t="s">
        <v>140</v>
      </c>
      <c r="D123" s="111" t="s">
        <v>147</v>
      </c>
      <c r="E123" s="71">
        <f>AD9</f>
        <v>2428629.9900000002</v>
      </c>
      <c r="F123" s="71">
        <v>2428630</v>
      </c>
      <c r="G123" s="71"/>
      <c r="H123" s="71">
        <f>E123+E114</f>
        <v>1157389.5300000003</v>
      </c>
      <c r="I123" s="71"/>
      <c r="J123" s="71"/>
      <c r="K123" s="71">
        <f>F123</f>
        <v>2428630</v>
      </c>
      <c r="L123" s="71"/>
      <c r="M123" s="71"/>
      <c r="N123" s="110"/>
      <c r="O123" s="45"/>
      <c r="P123" s="45"/>
      <c r="Q123" s="45"/>
      <c r="R123" s="45"/>
      <c r="S123" s="45"/>
      <c r="T123" s="45"/>
      <c r="U123" s="45"/>
      <c r="V123" s="45"/>
      <c r="W123" s="45"/>
      <c r="X123" s="45"/>
    </row>
    <row r="124" spans="2:28" x14ac:dyDescent="0.25">
      <c r="B124" s="85"/>
      <c r="C124" s="111"/>
      <c r="D124" s="111"/>
      <c r="E124" s="71"/>
      <c r="F124" s="71"/>
      <c r="G124" s="71"/>
      <c r="H124" s="71"/>
      <c r="I124" s="71"/>
      <c r="J124" s="71"/>
      <c r="K124" s="71"/>
      <c r="L124" s="71"/>
      <c r="M124" s="71"/>
      <c r="N124" s="110"/>
      <c r="O124" s="45"/>
      <c r="P124" s="45"/>
      <c r="Q124" s="45"/>
      <c r="R124" s="45"/>
      <c r="S124" s="45"/>
      <c r="T124" s="45"/>
      <c r="U124" s="45"/>
      <c r="V124" s="45"/>
      <c r="W124" s="45"/>
      <c r="X124" s="45"/>
    </row>
    <row r="125" spans="2:28" x14ac:dyDescent="0.25">
      <c r="B125" s="85"/>
      <c r="C125" s="111" t="s">
        <v>142</v>
      </c>
      <c r="D125" s="111"/>
      <c r="E125" s="71">
        <f>SUM(E102:E124)</f>
        <v>328954371.01000005</v>
      </c>
      <c r="F125" s="71">
        <f>SUM(F102:F124)</f>
        <v>328954371.01999992</v>
      </c>
      <c r="G125" s="71"/>
      <c r="H125" s="71">
        <f>SUM(H107:H124)</f>
        <v>187616194.35999998</v>
      </c>
      <c r="I125" s="71"/>
      <c r="J125" s="71"/>
      <c r="K125" s="71">
        <f>SUM(K102:K124)</f>
        <v>187616194.37</v>
      </c>
      <c r="L125" s="71">
        <f>SUM(L105:L124)</f>
        <v>141338176.65000001</v>
      </c>
      <c r="M125" s="71">
        <f>SUM(M102:M124)</f>
        <v>141338176.65000001</v>
      </c>
      <c r="N125" s="110"/>
      <c r="Y125" s="45"/>
      <c r="Z125" s="45"/>
      <c r="AA125" s="45"/>
      <c r="AB125" s="45"/>
    </row>
    <row r="126" spans="2:28" x14ac:dyDescent="0.25">
      <c r="B126" s="85"/>
      <c r="C126" s="111" t="s">
        <v>142</v>
      </c>
      <c r="D126" s="111" t="s">
        <v>163</v>
      </c>
      <c r="E126" s="71">
        <f>-E114</f>
        <v>1271240.46</v>
      </c>
      <c r="F126" s="71"/>
      <c r="G126" s="71"/>
      <c r="H126" s="71">
        <f>H125+L125</f>
        <v>328954371.00999999</v>
      </c>
      <c r="I126" s="71"/>
      <c r="J126" s="71"/>
      <c r="K126" s="71">
        <f>K125+L125</f>
        <v>328954371.01999998</v>
      </c>
      <c r="L126" s="71"/>
      <c r="M126" s="71"/>
      <c r="N126" s="110"/>
      <c r="Y126" s="45"/>
      <c r="Z126" s="45"/>
      <c r="AA126" s="45"/>
      <c r="AB126" s="45"/>
    </row>
    <row r="127" spans="2:28" x14ac:dyDescent="0.25">
      <c r="B127" s="85"/>
      <c r="C127" s="111"/>
      <c r="D127" s="71"/>
      <c r="E127" s="71">
        <f>SUM(E125:E126)</f>
        <v>330225611.47000003</v>
      </c>
      <c r="F127" s="71"/>
      <c r="G127" s="111"/>
      <c r="H127" s="83"/>
      <c r="I127" s="83"/>
      <c r="J127" s="83"/>
      <c r="K127" s="83"/>
      <c r="L127" s="71"/>
      <c r="M127" s="71"/>
      <c r="N127" s="110"/>
    </row>
    <row r="128" spans="2:28" x14ac:dyDescent="0.25">
      <c r="B128" s="85"/>
      <c r="C128" s="85" t="s">
        <v>148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110"/>
      <c r="N128" s="85"/>
    </row>
    <row r="133" spans="4:6" x14ac:dyDescent="0.25">
      <c r="E133" s="61"/>
      <c r="F133" s="45"/>
    </row>
    <row r="134" spans="4:6" x14ac:dyDescent="0.25">
      <c r="E134" s="61"/>
      <c r="F134" s="45"/>
    </row>
    <row r="135" spans="4:6" x14ac:dyDescent="0.25">
      <c r="D135" s="45"/>
      <c r="E135" s="45"/>
      <c r="F135" s="45"/>
    </row>
    <row r="136" spans="4:6" x14ac:dyDescent="0.25">
      <c r="D136" s="45"/>
      <c r="E136" s="45"/>
      <c r="F136" s="45"/>
    </row>
    <row r="137" spans="4:6" x14ac:dyDescent="0.25">
      <c r="D137" s="45"/>
      <c r="E137" s="45"/>
      <c r="F137" s="45"/>
    </row>
    <row r="138" spans="4:6" x14ac:dyDescent="0.25">
      <c r="D138" s="45"/>
      <c r="E138" s="45"/>
      <c r="F138" s="45"/>
    </row>
    <row r="139" spans="4:6" x14ac:dyDescent="0.25">
      <c r="D139" s="45"/>
      <c r="E139" s="45"/>
      <c r="F139" s="45"/>
    </row>
  </sheetData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L139"/>
  <sheetViews>
    <sheetView topLeftCell="A97" zoomScaleNormal="100" workbookViewId="0">
      <selection activeCell="F131" sqref="F131"/>
    </sheetView>
  </sheetViews>
  <sheetFormatPr defaultColWidth="9.140625"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4" width="13.28515625" style="24" customWidth="1"/>
    <col min="5" max="5" width="14.5703125" style="24" customWidth="1"/>
    <col min="6" max="6" width="16.42578125" style="24" customWidth="1"/>
    <col min="7" max="7" width="12.7109375" style="24" customWidth="1"/>
    <col min="8" max="10" width="17.85546875" style="25" customWidth="1"/>
    <col min="11" max="11" width="14.5703125" style="24" customWidth="1"/>
    <col min="12" max="12" width="14.85546875" style="24" customWidth="1"/>
    <col min="13" max="13" width="16.28515625" style="24" customWidth="1"/>
    <col min="14" max="14" width="14.5703125" style="24" customWidth="1"/>
    <col min="15" max="15" width="17.42578125" style="24" customWidth="1"/>
    <col min="16" max="16" width="18.7109375" style="24" customWidth="1"/>
    <col min="17" max="17" width="16.140625" style="24" customWidth="1"/>
    <col min="18" max="19" width="19.5703125" style="24" customWidth="1"/>
    <col min="20" max="21" width="19" style="24" customWidth="1"/>
    <col min="22" max="22" width="17.7109375" style="24" customWidth="1"/>
    <col min="23" max="23" width="16.140625" style="24" customWidth="1"/>
    <col min="24" max="24" width="19.85546875" style="24" customWidth="1"/>
    <col min="25" max="26" width="16.140625" style="24" customWidth="1"/>
    <col min="27" max="27" width="14.140625" style="24" customWidth="1"/>
    <col min="28" max="28" width="17.5703125" style="24" bestFit="1" customWidth="1"/>
    <col min="29" max="29" width="16.7109375" style="24" customWidth="1"/>
    <col min="30" max="30" width="15.28515625" style="24" customWidth="1"/>
    <col min="31" max="31" width="15.140625" style="24" customWidth="1"/>
    <col min="32" max="32" width="15.28515625" style="24" customWidth="1"/>
    <col min="33" max="34" width="14.85546875" style="24" bestFit="1" customWidth="1"/>
    <col min="35" max="39" width="14.85546875" style="24" customWidth="1"/>
    <col min="40" max="16384" width="9.140625" style="24"/>
  </cols>
  <sheetData>
    <row r="2" spans="2:37" x14ac:dyDescent="0.25">
      <c r="C2" s="24" t="s">
        <v>0</v>
      </c>
    </row>
    <row r="3" spans="2:37" x14ac:dyDescent="0.25">
      <c r="AA3" s="24" t="s">
        <v>115</v>
      </c>
      <c r="AB3" s="61">
        <f>H18</f>
        <v>141338785</v>
      </c>
    </row>
    <row r="4" spans="2:37" x14ac:dyDescent="0.25">
      <c r="B4" s="26"/>
      <c r="C4" s="26"/>
      <c r="D4" s="26"/>
      <c r="E4" s="26" t="s">
        <v>66</v>
      </c>
      <c r="F4" s="26" t="s">
        <v>75</v>
      </c>
      <c r="G4" s="26" t="s">
        <v>62</v>
      </c>
      <c r="H4" s="26" t="s">
        <v>60</v>
      </c>
      <c r="I4" s="27" t="s">
        <v>149</v>
      </c>
      <c r="J4" s="27" t="s">
        <v>150</v>
      </c>
      <c r="K4" s="66" t="s">
        <v>65</v>
      </c>
      <c r="L4" s="26" t="s">
        <v>54</v>
      </c>
      <c r="M4" s="27" t="s">
        <v>56</v>
      </c>
      <c r="N4" s="27" t="s">
        <v>61</v>
      </c>
      <c r="O4" s="26" t="s">
        <v>81</v>
      </c>
      <c r="P4" s="26" t="s">
        <v>79</v>
      </c>
      <c r="Q4" s="26" t="s">
        <v>80</v>
      </c>
      <c r="R4" s="26" t="s">
        <v>151</v>
      </c>
      <c r="S4" s="26" t="s">
        <v>152</v>
      </c>
      <c r="T4" s="26" t="s">
        <v>153</v>
      </c>
      <c r="U4" s="26" t="s">
        <v>154</v>
      </c>
      <c r="V4" s="26" t="s">
        <v>97</v>
      </c>
      <c r="W4" s="26"/>
      <c r="X4" s="25"/>
      <c r="Y4" s="25"/>
      <c r="Z4" s="25"/>
      <c r="AA4" s="26"/>
      <c r="AB4" s="26" t="s">
        <v>18</v>
      </c>
      <c r="AC4" s="26" t="s">
        <v>98</v>
      </c>
      <c r="AD4" s="26" t="s">
        <v>13</v>
      </c>
      <c r="AE4" s="26" t="s">
        <v>105</v>
      </c>
      <c r="AF4" s="26" t="s">
        <v>106</v>
      </c>
      <c r="AG4" s="26" t="s">
        <v>107</v>
      </c>
    </row>
    <row r="5" spans="2:37" x14ac:dyDescent="0.25">
      <c r="B5" s="26"/>
      <c r="C5" s="26"/>
      <c r="D5" s="26"/>
      <c r="E5" s="26"/>
      <c r="F5" s="26" t="s">
        <v>77</v>
      </c>
      <c r="G5" s="26"/>
      <c r="H5" s="26" t="s">
        <v>76</v>
      </c>
      <c r="I5" s="27"/>
      <c r="J5" s="27"/>
      <c r="K5" s="67" t="s">
        <v>74</v>
      </c>
      <c r="L5" s="26" t="s">
        <v>78</v>
      </c>
      <c r="M5" s="27"/>
      <c r="N5" s="27"/>
      <c r="O5" s="26"/>
      <c r="P5" s="26"/>
      <c r="Q5" s="26"/>
      <c r="R5" s="26"/>
      <c r="S5" s="26"/>
      <c r="T5" s="26"/>
      <c r="U5" s="26"/>
      <c r="V5" s="26" t="s">
        <v>112</v>
      </c>
      <c r="W5" s="26"/>
      <c r="X5" s="25"/>
      <c r="Y5" s="25"/>
      <c r="Z5" s="25"/>
      <c r="AA5" s="26" t="s">
        <v>104</v>
      </c>
      <c r="AB5" s="28">
        <v>157879368.69</v>
      </c>
      <c r="AC5" s="28">
        <v>21289452</v>
      </c>
      <c r="AD5" s="28">
        <f>SUM(AB5:AC5)</f>
        <v>179168820.69</v>
      </c>
      <c r="AE5" s="26"/>
      <c r="AF5" s="26"/>
      <c r="AG5" s="26"/>
    </row>
    <row r="6" spans="2:37" ht="15.75" thickBot="1" x14ac:dyDescent="0.3">
      <c r="B6" s="26"/>
      <c r="C6" s="26"/>
      <c r="D6" s="26"/>
      <c r="E6" s="26" t="s">
        <v>5</v>
      </c>
      <c r="F6" s="26" t="s">
        <v>5</v>
      </c>
      <c r="G6" s="28" t="s">
        <v>5</v>
      </c>
      <c r="H6" s="28" t="s">
        <v>6</v>
      </c>
      <c r="I6" s="28"/>
      <c r="J6" s="28"/>
      <c r="K6" s="68"/>
      <c r="L6" s="28" t="s">
        <v>130</v>
      </c>
      <c r="M6" s="29"/>
      <c r="N6" s="29"/>
      <c r="O6" s="26"/>
      <c r="P6" s="26"/>
      <c r="Q6" s="26"/>
      <c r="R6" s="26"/>
      <c r="S6" s="26"/>
      <c r="T6" s="26"/>
      <c r="U6" s="26"/>
      <c r="V6" s="26"/>
      <c r="W6" s="26"/>
      <c r="X6" s="104"/>
      <c r="Y6" s="25"/>
      <c r="Z6" s="25"/>
      <c r="AA6" s="26" t="s">
        <v>99</v>
      </c>
      <c r="AB6" s="28">
        <v>115235970.64</v>
      </c>
      <c r="AC6" s="28">
        <v>7296345.4699999997</v>
      </c>
      <c r="AD6" s="28">
        <f>SUM(AB6:AC6)</f>
        <v>122532316.11</v>
      </c>
      <c r="AE6" s="26"/>
      <c r="AF6" s="26"/>
      <c r="AG6" s="26"/>
    </row>
    <row r="7" spans="2:37" ht="15.75" thickBot="1" x14ac:dyDescent="0.3">
      <c r="B7" s="26"/>
      <c r="C7" s="26" t="s">
        <v>26</v>
      </c>
      <c r="D7" s="26"/>
      <c r="E7" s="26"/>
      <c r="F7" s="26"/>
      <c r="G7" s="28"/>
      <c r="H7" s="28"/>
      <c r="I7" s="29"/>
      <c r="J7" s="29"/>
      <c r="K7" s="67"/>
      <c r="L7" s="28"/>
      <c r="M7" s="29"/>
      <c r="N7" s="29"/>
      <c r="O7" s="26"/>
      <c r="P7" s="26"/>
      <c r="Q7" s="26"/>
      <c r="R7" s="26"/>
      <c r="S7" s="26"/>
      <c r="T7" s="26"/>
      <c r="U7" s="26"/>
      <c r="V7" s="26"/>
      <c r="W7" s="26"/>
      <c r="X7" s="104"/>
      <c r="Y7" s="108">
        <f>F8*L8</f>
        <v>45475006.5</v>
      </c>
      <c r="Z7" s="25"/>
      <c r="AA7" s="26" t="s">
        <v>100</v>
      </c>
      <c r="AB7" s="28">
        <v>11998785</v>
      </c>
      <c r="AC7" s="28">
        <v>2728550</v>
      </c>
      <c r="AD7" s="28">
        <f>SUM(AB7:AC7)</f>
        <v>14727335</v>
      </c>
      <c r="AE7" s="26"/>
      <c r="AF7" s="26"/>
      <c r="AG7" s="26"/>
    </row>
    <row r="8" spans="2:37" x14ac:dyDescent="0.25">
      <c r="B8" s="26">
        <v>1</v>
      </c>
      <c r="C8" s="26" t="s">
        <v>1</v>
      </c>
      <c r="D8" s="26"/>
      <c r="E8" s="30">
        <f>E23+E33+E43+E55+E67</f>
        <v>10059.91</v>
      </c>
      <c r="F8" s="30">
        <f>F23+F33+F43+F55+F67</f>
        <v>10083.15</v>
      </c>
      <c r="G8" s="28">
        <f>G23+G33+G43+G55+G67</f>
        <v>12904.18</v>
      </c>
      <c r="H8" s="28">
        <v>45474826</v>
      </c>
      <c r="I8" s="29">
        <f>F8*L8</f>
        <v>45475006.5</v>
      </c>
      <c r="J8" s="29">
        <f>I23+I33+I43+I55+I67</f>
        <v>45475006.5</v>
      </c>
      <c r="K8" s="67">
        <f>K23+K33+K81+K43+K55+K67</f>
        <v>89589437.215059921</v>
      </c>
      <c r="L8" s="28">
        <v>4510</v>
      </c>
      <c r="M8" s="29">
        <f t="shared" ref="M8:M16" si="0">G8*L8</f>
        <v>58197851.800000004</v>
      </c>
      <c r="N8" s="29">
        <f>M23+M33+M43+M55+M67</f>
        <v>58197851.799999997</v>
      </c>
      <c r="O8" s="26"/>
      <c r="P8" s="32"/>
      <c r="Q8" s="26"/>
      <c r="R8" s="26"/>
      <c r="S8" s="26"/>
      <c r="T8" s="26"/>
      <c r="U8" s="26"/>
      <c r="V8" s="32">
        <f>K8-H8</f>
        <v>44114611.215059921</v>
      </c>
      <c r="W8" s="26"/>
      <c r="X8" s="57"/>
      <c r="Y8" s="57">
        <f t="shared" ref="Y8:Y17" si="1">F9*L9</f>
        <v>0</v>
      </c>
      <c r="Z8" s="25"/>
      <c r="AA8" s="89" t="s">
        <v>101</v>
      </c>
      <c r="AB8" s="89"/>
      <c r="AC8" s="90">
        <v>9394916</v>
      </c>
      <c r="AD8" s="26"/>
      <c r="AE8" s="26"/>
      <c r="AF8" s="26"/>
      <c r="AG8" s="26"/>
    </row>
    <row r="9" spans="2:37" x14ac:dyDescent="0.25">
      <c r="B9" s="26"/>
      <c r="C9" s="26"/>
      <c r="D9" s="26"/>
      <c r="E9" s="30"/>
      <c r="F9" s="30"/>
      <c r="G9" s="28"/>
      <c r="H9" s="28"/>
      <c r="I9" s="29">
        <f t="shared" ref="I9:I17" si="2">F9*L9</f>
        <v>0</v>
      </c>
      <c r="J9" s="29"/>
      <c r="K9" s="67"/>
      <c r="L9" s="28"/>
      <c r="M9" s="29"/>
      <c r="N9" s="29"/>
      <c r="O9" s="26"/>
      <c r="P9" s="26"/>
      <c r="Q9" s="26"/>
      <c r="R9" s="26"/>
      <c r="S9" s="26"/>
      <c r="T9" s="26"/>
      <c r="U9" s="26"/>
      <c r="V9" s="32"/>
      <c r="W9" s="26"/>
      <c r="X9" s="25"/>
      <c r="Y9" s="57">
        <f t="shared" si="1"/>
        <v>17064322.000000004</v>
      </c>
      <c r="Z9" s="25"/>
      <c r="AA9" s="84" t="s">
        <v>108</v>
      </c>
      <c r="AB9" s="71"/>
      <c r="AC9" s="80"/>
      <c r="AD9" s="71">
        <v>2428629.9900000002</v>
      </c>
      <c r="AE9" s="26"/>
      <c r="AF9" s="26"/>
      <c r="AG9" s="26"/>
    </row>
    <row r="10" spans="2:37" x14ac:dyDescent="0.25">
      <c r="B10" s="26">
        <v>2</v>
      </c>
      <c r="C10" s="26" t="s">
        <v>57</v>
      </c>
      <c r="D10" s="26"/>
      <c r="E10" s="30">
        <f>E24+E34+E44+E56+E68</f>
        <v>4968.6900000000005</v>
      </c>
      <c r="F10" s="102">
        <f>F24+F34+F44+F56+F68</f>
        <v>5004.2000000000007</v>
      </c>
      <c r="G10" s="28">
        <f>G24+G34+G44+G56+G68</f>
        <v>5146.91</v>
      </c>
      <c r="H10" s="101">
        <v>17065004</v>
      </c>
      <c r="I10" s="29">
        <f t="shared" si="2"/>
        <v>17064322.000000004</v>
      </c>
      <c r="J10" s="29">
        <f>I24+I34+I44+I56+I68</f>
        <v>17064322</v>
      </c>
      <c r="K10" s="67">
        <f>K24+K34+K44+K56+K68</f>
        <v>43481253.985494167</v>
      </c>
      <c r="L10" s="28">
        <f>3410</f>
        <v>3410</v>
      </c>
      <c r="M10" s="29">
        <f t="shared" si="0"/>
        <v>17550963.099999998</v>
      </c>
      <c r="N10" s="65">
        <f>M24+M34+M44+M56+M68</f>
        <v>17550963.100000001</v>
      </c>
      <c r="O10" s="26"/>
      <c r="P10" s="26"/>
      <c r="Q10" s="26"/>
      <c r="R10" s="26"/>
      <c r="S10" s="26"/>
      <c r="T10" s="26"/>
      <c r="U10" s="26"/>
      <c r="V10" s="32">
        <f t="shared" ref="V10:V16" si="3">K10-H10</f>
        <v>26416249.985494167</v>
      </c>
      <c r="W10" s="26"/>
      <c r="X10" s="25"/>
      <c r="Y10" s="57">
        <f t="shared" si="1"/>
        <v>0</v>
      </c>
      <c r="Z10" s="25"/>
      <c r="AA10" s="26" t="s">
        <v>13</v>
      </c>
      <c r="AB10" s="26"/>
      <c r="AC10" s="26"/>
      <c r="AD10" s="32">
        <f>SUM(AD5:AD9)</f>
        <v>318857101.79000002</v>
      </c>
      <c r="AE10" s="96">
        <f>AD10*0.21</f>
        <v>66959991.3759</v>
      </c>
      <c r="AF10" s="32">
        <f>V18</f>
        <v>122240901.47827759</v>
      </c>
      <c r="AG10" s="32">
        <f>AD12-AB3</f>
        <v>176247076.33000004</v>
      </c>
    </row>
    <row r="11" spans="2:37" x14ac:dyDescent="0.25">
      <c r="B11" s="26"/>
      <c r="C11" s="26"/>
      <c r="D11" s="26"/>
      <c r="E11" s="30"/>
      <c r="F11" s="30"/>
      <c r="G11" s="28"/>
      <c r="H11" s="28"/>
      <c r="I11" s="29">
        <f t="shared" si="2"/>
        <v>0</v>
      </c>
      <c r="J11" s="29"/>
      <c r="K11" s="67"/>
      <c r="L11" s="28"/>
      <c r="M11" s="29"/>
      <c r="N11" s="65"/>
      <c r="O11" s="26"/>
      <c r="P11" s="26"/>
      <c r="Q11" s="26"/>
      <c r="R11" s="26"/>
      <c r="S11" s="26"/>
      <c r="T11" s="26"/>
      <c r="U11" s="26"/>
      <c r="V11" s="32"/>
      <c r="W11" s="26"/>
      <c r="X11" s="25"/>
      <c r="Y11" s="57">
        <f t="shared" si="1"/>
        <v>46189786.5</v>
      </c>
      <c r="Z11" s="25"/>
      <c r="AA11" s="85" t="s">
        <v>129</v>
      </c>
      <c r="AB11" s="87"/>
      <c r="AC11" s="25"/>
      <c r="AD11" s="88">
        <v>-1271240.46</v>
      </c>
      <c r="AE11" s="57"/>
      <c r="AF11" s="57"/>
      <c r="AG11" s="57"/>
    </row>
    <row r="12" spans="2:37" x14ac:dyDescent="0.25">
      <c r="B12" s="26">
        <v>3</v>
      </c>
      <c r="C12" s="26" t="s">
        <v>2</v>
      </c>
      <c r="D12" s="26"/>
      <c r="E12" s="30">
        <f>E25+E35+E45+E57+E69</f>
        <v>4341.7899999999991</v>
      </c>
      <c r="F12" s="30">
        <f>F25+F35+F45+F57+F69</f>
        <v>4306.74</v>
      </c>
      <c r="G12" s="28">
        <f>G25+G35+G45+G57+G69</f>
        <v>4446.71</v>
      </c>
      <c r="H12" s="28">
        <v>46189894</v>
      </c>
      <c r="I12" s="29">
        <f t="shared" si="2"/>
        <v>46189786.5</v>
      </c>
      <c r="J12" s="29">
        <f>I25+I35+I45+I57+I69</f>
        <v>46189786.5</v>
      </c>
      <c r="K12" s="67">
        <f>K25+K35+K45+K57+K69</f>
        <v>83678988.961756974</v>
      </c>
      <c r="L12" s="28">
        <v>10725</v>
      </c>
      <c r="M12" s="29">
        <f t="shared" si="0"/>
        <v>47690964.75</v>
      </c>
      <c r="N12" s="65">
        <f>M25+M35+M45+M57+M69</f>
        <v>47690964.75</v>
      </c>
      <c r="O12" s="26"/>
      <c r="P12" s="26"/>
      <c r="Q12" s="26"/>
      <c r="R12" s="26"/>
      <c r="S12" s="26"/>
      <c r="T12" s="26"/>
      <c r="U12" s="26"/>
      <c r="V12" s="32">
        <f t="shared" si="3"/>
        <v>37489094.961756974</v>
      </c>
      <c r="W12" s="26"/>
      <c r="X12" s="25"/>
      <c r="Y12" s="57">
        <f t="shared" si="1"/>
        <v>5600126.3999999994</v>
      </c>
      <c r="Z12" s="25"/>
      <c r="AD12" s="91">
        <f>AD10+AD11</f>
        <v>317585861.33000004</v>
      </c>
    </row>
    <row r="13" spans="2:37" x14ac:dyDescent="0.25">
      <c r="B13" s="26">
        <v>4</v>
      </c>
      <c r="C13" s="26" t="s">
        <v>58</v>
      </c>
      <c r="D13" s="26"/>
      <c r="E13" s="30">
        <f>E70</f>
        <v>1766.4</v>
      </c>
      <c r="F13" s="30">
        <f>F70</f>
        <v>1497.36</v>
      </c>
      <c r="G13" s="28">
        <f>G70</f>
        <v>1847</v>
      </c>
      <c r="H13" s="28">
        <v>5600126</v>
      </c>
      <c r="I13" s="29">
        <f>F13*L13</f>
        <v>5600126.3999999994</v>
      </c>
      <c r="J13" s="29">
        <f>I70</f>
        <v>5600126.3999999994</v>
      </c>
      <c r="K13" s="67">
        <f>K70</f>
        <v>5797267.7410820844</v>
      </c>
      <c r="L13" s="28">
        <v>3740</v>
      </c>
      <c r="M13" s="29">
        <f>G13*L13</f>
        <v>6907780</v>
      </c>
      <c r="N13" s="29">
        <f>M70</f>
        <v>6907780</v>
      </c>
      <c r="O13" s="26"/>
      <c r="P13" s="26"/>
      <c r="Q13" s="26"/>
      <c r="R13" s="26"/>
      <c r="S13" s="26"/>
      <c r="T13" s="26"/>
      <c r="U13" s="26"/>
      <c r="V13" s="32">
        <f t="shared" si="3"/>
        <v>197141.74108208437</v>
      </c>
      <c r="W13" s="26"/>
      <c r="X13" s="25"/>
      <c r="Y13" s="57">
        <f t="shared" si="1"/>
        <v>4755231.25</v>
      </c>
      <c r="Z13" s="25"/>
      <c r="AC13" s="86"/>
      <c r="AD13" s="92" t="s">
        <v>111</v>
      </c>
    </row>
    <row r="14" spans="2:37" x14ac:dyDescent="0.25">
      <c r="B14" s="26">
        <v>5</v>
      </c>
      <c r="C14" s="26" t="s">
        <v>59</v>
      </c>
      <c r="D14" s="26"/>
      <c r="E14" s="30">
        <f>E27+E37+E47+E59+E71</f>
        <v>10587.529999999999</v>
      </c>
      <c r="F14" s="30">
        <f>F27+F37+F47+F59+F71</f>
        <v>3458.35</v>
      </c>
      <c r="G14" s="28">
        <f>G27+G37+G47+G59+G71</f>
        <v>3821.81</v>
      </c>
      <c r="H14" s="28">
        <v>4755231</v>
      </c>
      <c r="I14" s="29">
        <f t="shared" si="2"/>
        <v>4755231.25</v>
      </c>
      <c r="J14" s="29">
        <f>I27++I37++I47++I59+I71</f>
        <v>4755231.25</v>
      </c>
      <c r="K14" s="67">
        <f>(K27+K37++K47+K59++K71)</f>
        <v>9130422.3374083377</v>
      </c>
      <c r="L14" s="28">
        <v>1375</v>
      </c>
      <c r="M14" s="29">
        <f t="shared" si="0"/>
        <v>5254988.75</v>
      </c>
      <c r="N14" s="56">
        <f>M27+M37+M47+M59+M71</f>
        <v>5254988.75</v>
      </c>
      <c r="O14" s="26"/>
      <c r="P14" s="26"/>
      <c r="Q14" s="26"/>
      <c r="R14" s="26"/>
      <c r="S14" s="26"/>
      <c r="T14" s="26"/>
      <c r="U14" s="26"/>
      <c r="V14" s="32">
        <f t="shared" si="3"/>
        <v>4375191.3374083377</v>
      </c>
      <c r="W14" s="26"/>
      <c r="X14" s="25"/>
      <c r="Y14" s="57">
        <f t="shared" si="1"/>
        <v>14102638</v>
      </c>
      <c r="Z14" s="25"/>
    </row>
    <row r="15" spans="2:37" x14ac:dyDescent="0.25">
      <c r="B15" s="26">
        <v>6</v>
      </c>
      <c r="C15" s="26" t="s">
        <v>8</v>
      </c>
      <c r="D15" s="26"/>
      <c r="E15" s="30">
        <v>202</v>
      </c>
      <c r="F15" s="30">
        <v>235.24</v>
      </c>
      <c r="G15" s="28">
        <v>235.24</v>
      </c>
      <c r="H15" s="28">
        <v>14102638</v>
      </c>
      <c r="I15" s="29">
        <f t="shared" si="2"/>
        <v>14102638</v>
      </c>
      <c r="J15" s="29">
        <f>I72</f>
        <v>14102638</v>
      </c>
      <c r="K15" s="67">
        <f>K38+K48+K60+K72</f>
        <v>23092864.199169405</v>
      </c>
      <c r="L15" s="28">
        <v>59950</v>
      </c>
      <c r="M15" s="29">
        <f t="shared" si="0"/>
        <v>14102638</v>
      </c>
      <c r="N15" s="65">
        <f>M72</f>
        <v>14102638</v>
      </c>
      <c r="O15" s="26"/>
      <c r="P15" s="26"/>
      <c r="Q15" s="26"/>
      <c r="R15" s="26"/>
      <c r="S15" s="26"/>
      <c r="T15" s="26"/>
      <c r="U15" s="26"/>
      <c r="V15" s="32">
        <f t="shared" si="3"/>
        <v>8990226.1991694048</v>
      </c>
      <c r="W15" s="26"/>
      <c r="X15" s="25"/>
      <c r="Y15" s="57">
        <f t="shared" si="1"/>
        <v>0</v>
      </c>
      <c r="Z15" s="25"/>
    </row>
    <row r="16" spans="2:37" x14ac:dyDescent="0.25">
      <c r="B16" s="26"/>
      <c r="C16" s="26" t="s">
        <v>46</v>
      </c>
      <c r="D16" s="26"/>
      <c r="E16" s="30">
        <v>128.69999999999999</v>
      </c>
      <c r="F16" s="59">
        <v>162.24</v>
      </c>
      <c r="G16" s="28"/>
      <c r="I16" s="29">
        <f t="shared" si="2"/>
        <v>0</v>
      </c>
      <c r="J16" s="29"/>
      <c r="K16" s="67"/>
      <c r="L16" s="28">
        <f t="shared" ref="L16" si="4">H16/F16</f>
        <v>0</v>
      </c>
      <c r="M16" s="29">
        <f t="shared" si="0"/>
        <v>0</v>
      </c>
      <c r="N16" s="29"/>
      <c r="O16" s="26"/>
      <c r="P16" s="26"/>
      <c r="Q16" s="26"/>
      <c r="R16" s="26"/>
      <c r="S16" s="26"/>
      <c r="T16" s="26"/>
      <c r="U16" s="26"/>
      <c r="V16" s="32">
        <f t="shared" si="3"/>
        <v>0</v>
      </c>
      <c r="W16" s="26"/>
      <c r="X16" s="25"/>
      <c r="Y16" s="57">
        <f t="shared" si="1"/>
        <v>8151066</v>
      </c>
      <c r="Z16" s="25"/>
      <c r="AB16" s="26"/>
      <c r="AC16" s="26">
        <v>1</v>
      </c>
      <c r="AD16" s="26">
        <v>2</v>
      </c>
      <c r="AE16" s="26">
        <v>3</v>
      </c>
      <c r="AF16" s="26">
        <v>4</v>
      </c>
      <c r="AG16" s="26">
        <v>5</v>
      </c>
      <c r="AH16" s="26">
        <v>6</v>
      </c>
      <c r="AI16" s="26">
        <v>7</v>
      </c>
      <c r="AJ16" s="26">
        <v>8</v>
      </c>
      <c r="AK16" s="26">
        <v>9</v>
      </c>
    </row>
    <row r="17" spans="2:38" x14ac:dyDescent="0.25">
      <c r="B17" s="26">
        <v>7</v>
      </c>
      <c r="C17" s="26" t="s">
        <v>55</v>
      </c>
      <c r="D17" s="64"/>
      <c r="E17" s="26"/>
      <c r="F17" s="59">
        <v>235.24</v>
      </c>
      <c r="G17" s="28">
        <f>F17</f>
        <v>235.24</v>
      </c>
      <c r="H17" s="106">
        <v>8151066</v>
      </c>
      <c r="I17" s="29">
        <f t="shared" si="2"/>
        <v>8151066</v>
      </c>
      <c r="J17" s="29">
        <f>I77</f>
        <v>8151066</v>
      </c>
      <c r="K17" s="67">
        <f>K77+K78</f>
        <v>8809452.038306715</v>
      </c>
      <c r="L17" s="28">
        <v>34650</v>
      </c>
      <c r="M17" s="29">
        <f>G17*L17</f>
        <v>8151066</v>
      </c>
      <c r="N17" s="65">
        <f>M77</f>
        <v>8151066</v>
      </c>
      <c r="O17" s="26"/>
      <c r="P17" s="26"/>
      <c r="Q17" s="26"/>
      <c r="R17" s="26"/>
      <c r="S17" s="26"/>
      <c r="T17" s="26"/>
      <c r="U17" s="26"/>
      <c r="V17" s="79">
        <f>K17-H17</f>
        <v>658386.03830671497</v>
      </c>
      <c r="W17" s="26"/>
      <c r="X17" s="25"/>
      <c r="Y17" s="57">
        <f t="shared" si="1"/>
        <v>0</v>
      </c>
      <c r="Z17" s="25"/>
      <c r="AB17" s="26"/>
      <c r="AC17" s="26" t="s">
        <v>67</v>
      </c>
      <c r="AD17" s="26" t="s">
        <v>69</v>
      </c>
      <c r="AE17" s="26" t="s">
        <v>70</v>
      </c>
      <c r="AF17" s="26" t="s">
        <v>71</v>
      </c>
      <c r="AG17" s="26" t="s">
        <v>72</v>
      </c>
      <c r="AH17" s="26" t="s">
        <v>53</v>
      </c>
      <c r="AI17" s="26" t="s">
        <v>115</v>
      </c>
      <c r="AJ17" s="55" t="s">
        <v>117</v>
      </c>
      <c r="AK17" s="26" t="s">
        <v>97</v>
      </c>
    </row>
    <row r="18" spans="2:38" x14ac:dyDescent="0.25">
      <c r="B18" s="26"/>
      <c r="C18" s="26"/>
      <c r="D18" s="26"/>
      <c r="E18" s="26"/>
      <c r="F18" s="26"/>
      <c r="G18" s="27"/>
      <c r="H18" s="113">
        <f>SUM(H8:H17)</f>
        <v>141338785</v>
      </c>
      <c r="I18" s="113">
        <f>SUM(I8:I17)</f>
        <v>141338176.65000001</v>
      </c>
      <c r="J18" s="116">
        <f>SUM(J8:J17)</f>
        <v>141338176.65000001</v>
      </c>
      <c r="K18" s="105">
        <f>SUM(K8:K17)</f>
        <v>263579686.47827759</v>
      </c>
      <c r="L18" s="26"/>
      <c r="M18" s="29">
        <f>SUM(M8:M17)</f>
        <v>157856252.40000001</v>
      </c>
      <c r="N18" s="33">
        <f>SUM(N8:N17)</f>
        <v>157856252.40000001</v>
      </c>
      <c r="O18" s="26"/>
      <c r="P18" s="26"/>
      <c r="Q18" s="26"/>
      <c r="R18" s="26"/>
      <c r="S18" s="26"/>
      <c r="T18" s="26"/>
      <c r="U18" s="26"/>
      <c r="V18" s="32">
        <f>SUM(V8:V17)</f>
        <v>122240901.47827759</v>
      </c>
      <c r="W18" s="32"/>
      <c r="X18" s="57"/>
      <c r="Y18" s="57">
        <f>SUM(Y7:Y17)</f>
        <v>141338176.65000001</v>
      </c>
      <c r="Z18" s="25"/>
      <c r="AB18" s="26"/>
      <c r="AC18" s="26" t="s">
        <v>120</v>
      </c>
      <c r="AD18" s="26"/>
      <c r="AE18" s="26"/>
      <c r="AF18" s="26"/>
      <c r="AG18" s="26" t="s">
        <v>121</v>
      </c>
      <c r="AH18" s="24" t="s">
        <v>127</v>
      </c>
      <c r="AI18" s="26" t="s">
        <v>123</v>
      </c>
      <c r="AJ18" s="95" t="s">
        <v>124</v>
      </c>
      <c r="AK18" s="26" t="s">
        <v>125</v>
      </c>
    </row>
    <row r="19" spans="2:38" x14ac:dyDescent="0.25">
      <c r="B19" s="26"/>
      <c r="C19" s="26" t="s">
        <v>17</v>
      </c>
      <c r="D19" s="26"/>
      <c r="E19" s="26"/>
      <c r="F19" s="26"/>
      <c r="G19" s="26"/>
      <c r="H19" s="107"/>
      <c r="I19" s="26"/>
      <c r="J19" s="27"/>
      <c r="K19" s="66"/>
      <c r="L19" s="26"/>
      <c r="M19" s="33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5"/>
      <c r="Y19" s="25"/>
      <c r="Z19" s="25"/>
      <c r="AB19" s="26"/>
      <c r="AC19" s="26" t="s">
        <v>16</v>
      </c>
      <c r="AD19" s="26"/>
      <c r="AE19" s="26"/>
      <c r="AF19" s="26"/>
      <c r="AG19" s="26"/>
      <c r="AH19" s="26" t="s">
        <v>122</v>
      </c>
      <c r="AI19" s="26" t="s">
        <v>128</v>
      </c>
      <c r="AJ19" s="55"/>
      <c r="AK19" s="26"/>
      <c r="AL19" s="25"/>
    </row>
    <row r="20" spans="2:38" ht="6" customHeight="1" x14ac:dyDescent="0.25">
      <c r="B20" s="26"/>
      <c r="C20" s="26"/>
      <c r="D20" s="26"/>
      <c r="E20" s="26"/>
      <c r="F20" s="26"/>
      <c r="G20" s="26"/>
      <c r="H20" s="26"/>
      <c r="I20" s="27"/>
      <c r="J20" s="27"/>
      <c r="K20" s="66"/>
      <c r="L20" s="26"/>
      <c r="M20" s="27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5"/>
      <c r="Y20" s="25"/>
      <c r="Z20" s="25"/>
      <c r="AB20" s="26"/>
      <c r="AC20" s="26"/>
      <c r="AD20" s="26"/>
      <c r="AE20" s="26"/>
      <c r="AF20" s="26"/>
      <c r="AG20" s="26"/>
      <c r="AH20" s="26"/>
      <c r="AI20" s="26"/>
      <c r="AJ20" s="55"/>
      <c r="AK20" s="26"/>
      <c r="AL20" s="25"/>
    </row>
    <row r="21" spans="2:38" x14ac:dyDescent="0.25">
      <c r="B21" s="26"/>
      <c r="C21" s="26" t="s">
        <v>19</v>
      </c>
      <c r="D21" s="26"/>
      <c r="E21" s="34" t="s">
        <v>43</v>
      </c>
      <c r="F21" s="35" t="s">
        <v>44</v>
      </c>
      <c r="G21" s="26"/>
      <c r="H21" s="26"/>
      <c r="I21" s="27"/>
      <c r="J21" s="27"/>
      <c r="K21" s="66"/>
      <c r="L21" s="26"/>
      <c r="M21" s="27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5"/>
      <c r="Y21" s="25"/>
      <c r="Z21" s="25"/>
      <c r="AA21" s="72" t="s">
        <v>96</v>
      </c>
      <c r="AB21" s="26" t="s">
        <v>19</v>
      </c>
      <c r="AC21" s="32">
        <f>SUM(K23:K25)</f>
        <v>10594424.861128896</v>
      </c>
      <c r="AD21" s="26"/>
      <c r="AE21" s="32">
        <f>K27</f>
        <v>401551.14601750282</v>
      </c>
      <c r="AF21" s="26"/>
      <c r="AG21" s="26"/>
      <c r="AH21" s="32">
        <f>SUM(AC21:AG21)</f>
        <v>10995976.007146399</v>
      </c>
      <c r="AI21" s="32">
        <f>H29</f>
        <v>13162404.75</v>
      </c>
      <c r="AJ21" s="96">
        <f>AH21-AI21</f>
        <v>-2166428.7428536005</v>
      </c>
      <c r="AK21" s="32">
        <f>AD7-AI21</f>
        <v>1564930.25</v>
      </c>
      <c r="AL21" s="57"/>
    </row>
    <row r="22" spans="2:38" ht="5.45" customHeight="1" x14ac:dyDescent="0.25">
      <c r="B22" s="26"/>
      <c r="C22" s="26"/>
      <c r="D22" s="26"/>
      <c r="E22" s="36"/>
      <c r="F22" s="37"/>
      <c r="G22" s="26"/>
      <c r="H22" s="26"/>
      <c r="I22" s="27"/>
      <c r="J22" s="27"/>
      <c r="K22" s="66"/>
      <c r="L22" s="26"/>
      <c r="M22" s="27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5"/>
      <c r="Y22" s="25"/>
      <c r="Z22" s="25"/>
      <c r="AA22" s="72"/>
      <c r="AB22" s="26"/>
      <c r="AC22" s="26"/>
      <c r="AD22" s="26"/>
      <c r="AE22" s="26"/>
      <c r="AF22" s="26"/>
      <c r="AG22" s="26"/>
      <c r="AH22" s="26"/>
      <c r="AI22" s="26"/>
      <c r="AJ22" s="55"/>
      <c r="AK22" s="32">
        <f t="shared" ref="AK22" si="5">AD8-AI22</f>
        <v>0</v>
      </c>
      <c r="AL22" s="25"/>
    </row>
    <row r="23" spans="2:38" x14ac:dyDescent="0.25">
      <c r="B23" s="26">
        <v>1</v>
      </c>
      <c r="C23" s="26" t="s">
        <v>14</v>
      </c>
      <c r="D23" s="26"/>
      <c r="E23" s="38">
        <f>F23</f>
        <v>1540.18</v>
      </c>
      <c r="F23" s="30">
        <v>1540.18</v>
      </c>
      <c r="G23" s="39">
        <f>F23</f>
        <v>1540.18</v>
      </c>
      <c r="H23" s="28">
        <f>F23*L23</f>
        <v>6946211.8000000007</v>
      </c>
      <c r="I23" s="29">
        <f>F23*L23</f>
        <v>6946211.8000000007</v>
      </c>
      <c r="J23" s="29"/>
      <c r="K23" s="70">
        <f>(O23+P23+Q23)*G85</f>
        <v>5965134.3350173496</v>
      </c>
      <c r="L23" s="28">
        <v>4510</v>
      </c>
      <c r="M23" s="33">
        <f>G23*L23</f>
        <v>6946211.8000000007</v>
      </c>
      <c r="N23" s="27"/>
      <c r="O23" s="40">
        <f>5882136</f>
        <v>5882136</v>
      </c>
      <c r="P23" s="26"/>
      <c r="Q23" s="77"/>
      <c r="R23" s="77"/>
      <c r="S23" s="77"/>
      <c r="T23" s="121">
        <f>'[1]Rekapitulace stavby'!$BJ$112</f>
        <v>725705.76342601818</v>
      </c>
      <c r="U23" s="77"/>
      <c r="V23" s="77"/>
      <c r="W23" s="77"/>
      <c r="X23" s="78">
        <f>F23*L23</f>
        <v>6946211.8000000007</v>
      </c>
      <c r="Y23" s="78"/>
      <c r="Z23" s="78"/>
      <c r="AA23" s="72" t="s">
        <v>95</v>
      </c>
      <c r="AB23" s="26" t="s">
        <v>68</v>
      </c>
      <c r="AC23" s="32">
        <f>SUM(K33:K35,K43:K45,K55:K57)</f>
        <v>73400783.686832547</v>
      </c>
      <c r="AD23" s="26"/>
      <c r="AE23" s="32">
        <f>SUM(K37+K47+K59)</f>
        <v>5836650.9264194444</v>
      </c>
      <c r="AF23" s="32">
        <f>SUM(K38+K48+K60)</f>
        <v>9073972.3713815399</v>
      </c>
      <c r="AG23" s="32">
        <f>K77+K78</f>
        <v>8809452.038306715</v>
      </c>
      <c r="AH23" s="32">
        <f>SUM(AC23:AG23)+AC25</f>
        <v>98278248.552940235</v>
      </c>
      <c r="AI23" s="32">
        <f>H39+H51+H61</f>
        <v>51064592.149999999</v>
      </c>
      <c r="AJ23" s="96">
        <f>AH23-AI23</f>
        <v>47213656.402940236</v>
      </c>
      <c r="AK23" s="32">
        <f>AD6-AI23</f>
        <v>71467723.960000008</v>
      </c>
      <c r="AL23" s="57"/>
    </row>
    <row r="24" spans="2:38" x14ac:dyDescent="0.25">
      <c r="B24" s="26">
        <v>2</v>
      </c>
      <c r="C24" s="26" t="s">
        <v>15</v>
      </c>
      <c r="D24" s="26"/>
      <c r="E24" s="38">
        <f>F24</f>
        <v>635.12</v>
      </c>
      <c r="F24" s="102">
        <v>635.12</v>
      </c>
      <c r="G24" s="39">
        <v>635</v>
      </c>
      <c r="H24" s="28">
        <f t="shared" ref="H24:H27" si="6">F24*L24</f>
        <v>2165759.2000000002</v>
      </c>
      <c r="I24" s="29">
        <f t="shared" ref="I24:I27" si="7">F24*L24</f>
        <v>2165759.2000000002</v>
      </c>
      <c r="J24" s="29"/>
      <c r="K24" s="70">
        <f>(O24+P24+Q24)*G85</f>
        <v>451372.35375746875</v>
      </c>
      <c r="L24" s="28">
        <v>3410</v>
      </c>
      <c r="M24" s="33">
        <f>G24*L24</f>
        <v>2165350</v>
      </c>
      <c r="N24" s="27"/>
      <c r="O24" s="40">
        <v>445092</v>
      </c>
      <c r="P24" s="26"/>
      <c r="Q24" s="26"/>
      <c r="R24" s="26"/>
      <c r="S24" s="122">
        <f>'[1]Rekapitulace stavby'!$BI$118</f>
        <v>-669369.63818304054</v>
      </c>
      <c r="T24" s="26"/>
      <c r="U24" s="124">
        <f>'[1]Rekapitulace stavby'!$BK$104</f>
        <v>274751.52388089395</v>
      </c>
      <c r="V24" s="26"/>
      <c r="W24" s="26"/>
      <c r="X24" s="78">
        <f t="shared" ref="X24:X28" si="8">F24*L24</f>
        <v>2165759.2000000002</v>
      </c>
      <c r="Y24" s="78"/>
      <c r="Z24" s="78"/>
      <c r="AA24" s="72" t="s">
        <v>94</v>
      </c>
      <c r="AB24" s="26" t="s">
        <v>12</v>
      </c>
      <c r="AC24" s="32">
        <f>K67+K68+K69</f>
        <v>132754471.61434962</v>
      </c>
      <c r="AD24" s="32">
        <f>K70</f>
        <v>5797267.7410820844</v>
      </c>
      <c r="AE24" s="32">
        <f>K71</f>
        <v>2892220.2649713908</v>
      </c>
      <c r="AF24" s="32">
        <f>K72</f>
        <v>14018891.827787863</v>
      </c>
      <c r="AG24" s="26"/>
      <c r="AH24" s="32">
        <f>SUM(AC24:AG24)</f>
        <v>155462851.44819099</v>
      </c>
      <c r="AI24" s="32">
        <f>H73</f>
        <v>68960113.75</v>
      </c>
      <c r="AJ24" s="96">
        <f>AH24-AI24</f>
        <v>86502737.698190987</v>
      </c>
      <c r="AK24" s="32">
        <f>AD5-AI24</f>
        <v>110208706.94</v>
      </c>
      <c r="AL24" s="57"/>
    </row>
    <row r="25" spans="2:38" x14ac:dyDescent="0.25">
      <c r="B25" s="26">
        <v>3</v>
      </c>
      <c r="C25" s="26" t="s">
        <v>16</v>
      </c>
      <c r="D25" s="26"/>
      <c r="E25" s="38">
        <v>309.39999999999998</v>
      </c>
      <c r="F25" s="30">
        <v>293.2</v>
      </c>
      <c r="G25" s="39">
        <f>F25</f>
        <v>293.2</v>
      </c>
      <c r="H25" s="28">
        <f t="shared" si="6"/>
        <v>3144570</v>
      </c>
      <c r="I25" s="29">
        <f t="shared" si="7"/>
        <v>3144570</v>
      </c>
      <c r="J25" s="29"/>
      <c r="K25" s="70">
        <f>(O25+P25+Q25)*G85</f>
        <v>4177918.172354077</v>
      </c>
      <c r="L25" s="28">
        <v>10725</v>
      </c>
      <c r="M25" s="33">
        <f>G25*L25</f>
        <v>3144570</v>
      </c>
      <c r="N25" s="27"/>
      <c r="O25" s="40">
        <v>4119787</v>
      </c>
      <c r="P25" s="26"/>
      <c r="Q25" s="26"/>
      <c r="R25" s="26"/>
      <c r="S25" s="26"/>
      <c r="T25" s="122">
        <f>'[1]Rekapitulace stavby'!$BJ$109</f>
        <v>38738.885547634709</v>
      </c>
      <c r="U25" s="124">
        <f>48815.01+34868.46</f>
        <v>83683.47</v>
      </c>
      <c r="V25" s="26"/>
      <c r="W25" s="26"/>
      <c r="X25" s="78">
        <f t="shared" si="8"/>
        <v>3144570</v>
      </c>
      <c r="Y25" s="78"/>
      <c r="Z25" s="78"/>
      <c r="AA25" s="81" t="s">
        <v>109</v>
      </c>
      <c r="AB25" s="82" t="s">
        <v>110</v>
      </c>
      <c r="AC25" s="83">
        <f>AD9+AD11</f>
        <v>1157389.5300000003</v>
      </c>
      <c r="AD25" s="32"/>
      <c r="AE25" s="32"/>
      <c r="AF25" s="32"/>
      <c r="AG25" s="26"/>
      <c r="AH25" s="32"/>
      <c r="AI25" s="32"/>
      <c r="AJ25" s="96"/>
      <c r="AK25" s="32"/>
      <c r="AL25" s="57"/>
    </row>
    <row r="26" spans="2:38" x14ac:dyDescent="0.25">
      <c r="B26" s="26">
        <v>4</v>
      </c>
      <c r="C26" s="26" t="s">
        <v>41</v>
      </c>
      <c r="D26" s="26"/>
      <c r="E26" s="38">
        <v>0</v>
      </c>
      <c r="F26" s="30">
        <v>0</v>
      </c>
      <c r="G26" s="39"/>
      <c r="H26" s="28"/>
      <c r="I26" s="29">
        <f t="shared" si="7"/>
        <v>0</v>
      </c>
      <c r="J26" s="29"/>
      <c r="K26" s="70"/>
      <c r="L26" s="28">
        <v>3740</v>
      </c>
      <c r="M26" s="33">
        <f>G26*L26</f>
        <v>0</v>
      </c>
      <c r="N26" s="27"/>
      <c r="O26" s="40">
        <f t="shared" ref="O26" si="9">K26</f>
        <v>0</v>
      </c>
      <c r="P26" s="26"/>
      <c r="Q26" s="26"/>
      <c r="R26" s="26"/>
      <c r="S26" s="26"/>
      <c r="T26" s="26"/>
      <c r="U26" s="123"/>
      <c r="V26" s="26"/>
      <c r="W26" s="26"/>
      <c r="X26" s="78">
        <f t="shared" si="8"/>
        <v>0</v>
      </c>
      <c r="Y26" s="78"/>
      <c r="Z26" s="78"/>
      <c r="AB26" s="24" t="s">
        <v>13</v>
      </c>
      <c r="AC26" s="61">
        <f>SUM(AC21:AC25)</f>
        <v>217907069.69231108</v>
      </c>
      <c r="AD26" s="61">
        <f>SUM(AD21:AD25)</f>
        <v>5797267.7410820844</v>
      </c>
      <c r="AE26" s="61">
        <f>SUM(AE21:AE24)</f>
        <v>9130422.3374083377</v>
      </c>
      <c r="AF26" s="61">
        <f>SUM(AF21:AF25)</f>
        <v>23092864.199169405</v>
      </c>
      <c r="AG26" s="61">
        <f>SUM(AG21:AG25)</f>
        <v>8809452.038306715</v>
      </c>
      <c r="AH26" s="61">
        <f>SUM(AC26:AG26)</f>
        <v>264737076.0082776</v>
      </c>
      <c r="AI26" s="61">
        <f>SUM(AI21:AI25)+H77</f>
        <v>141338176.65000001</v>
      </c>
      <c r="AJ26" s="97">
        <f>SUM(AJ21:AJ25)</f>
        <v>131549965.35827762</v>
      </c>
      <c r="AK26" s="61">
        <f>SUM(AK21:AK25)</f>
        <v>183241361.15000001</v>
      </c>
      <c r="AL26" s="61">
        <f>AI26+AK26</f>
        <v>324579537.80000001</v>
      </c>
    </row>
    <row r="27" spans="2:38" x14ac:dyDescent="0.25">
      <c r="B27" s="26">
        <v>5</v>
      </c>
      <c r="C27" s="26" t="s">
        <v>42</v>
      </c>
      <c r="D27" s="26"/>
      <c r="E27" s="38">
        <v>2511</v>
      </c>
      <c r="F27" s="30">
        <v>658.81</v>
      </c>
      <c r="G27" s="39">
        <f>F27</f>
        <v>658.81</v>
      </c>
      <c r="H27" s="28">
        <f t="shared" si="6"/>
        <v>905863.74999999988</v>
      </c>
      <c r="I27" s="29">
        <f t="shared" si="7"/>
        <v>905863.74999999988</v>
      </c>
      <c r="J27" s="29"/>
      <c r="K27" s="70">
        <f>(O27+P27+Q27)*G85</f>
        <v>401551.14601750282</v>
      </c>
      <c r="L27" s="28">
        <v>1375</v>
      </c>
      <c r="M27" s="33">
        <f>G27*L27</f>
        <v>905863.74999999988</v>
      </c>
      <c r="N27" s="27"/>
      <c r="O27" s="40">
        <v>395964</v>
      </c>
      <c r="P27" s="26"/>
      <c r="Q27" s="26"/>
      <c r="R27" s="26"/>
      <c r="S27" s="26"/>
      <c r="T27" s="26"/>
      <c r="U27" s="26"/>
      <c r="V27" s="26"/>
      <c r="W27" s="26"/>
      <c r="X27" s="78">
        <f t="shared" si="8"/>
        <v>905863.74999999988</v>
      </c>
      <c r="Y27" s="25"/>
      <c r="Z27" s="25"/>
      <c r="AB27" s="24" t="s">
        <v>116</v>
      </c>
      <c r="AC27" s="61">
        <f>SUM(K8:K12)+AD9+AD11</f>
        <v>217907069.69231108</v>
      </c>
      <c r="AD27" s="61">
        <f>K13</f>
        <v>5797267.7410820844</v>
      </c>
      <c r="AE27" s="61">
        <f>K14</f>
        <v>9130422.3374083377</v>
      </c>
      <c r="AF27" s="61">
        <f>K15</f>
        <v>23092864.199169405</v>
      </c>
      <c r="AG27" s="61">
        <f>K17</f>
        <v>8809452.038306715</v>
      </c>
      <c r="AH27" s="61">
        <f>K18+AD9+AD11</f>
        <v>264737076.0082776</v>
      </c>
      <c r="AI27" s="61"/>
      <c r="AJ27" s="61"/>
      <c r="AK27" s="61"/>
      <c r="AL27" s="61"/>
    </row>
    <row r="28" spans="2:38" x14ac:dyDescent="0.25">
      <c r="B28" s="26">
        <v>6</v>
      </c>
      <c r="C28" s="26" t="s">
        <v>45</v>
      </c>
      <c r="D28" s="26"/>
      <c r="E28" s="38"/>
      <c r="F28" s="30">
        <v>0</v>
      </c>
      <c r="G28" s="26"/>
      <c r="H28" s="28"/>
      <c r="I28" s="29"/>
      <c r="J28" s="29"/>
      <c r="K28" s="67">
        <v>0</v>
      </c>
      <c r="L28" s="26"/>
      <c r="M28" s="27"/>
      <c r="N28" s="27"/>
      <c r="O28" s="29"/>
      <c r="P28" s="26"/>
      <c r="Q28" s="26"/>
      <c r="R28" s="26"/>
      <c r="S28" s="26"/>
      <c r="T28" s="26"/>
      <c r="U28" s="26"/>
      <c r="V28" s="26"/>
      <c r="W28" s="26"/>
      <c r="X28" s="78">
        <f t="shared" si="8"/>
        <v>0</v>
      </c>
      <c r="Y28" s="78"/>
      <c r="Z28" s="78"/>
      <c r="AH28" s="98">
        <f>AH21+AH23+AH24+AH25</f>
        <v>264737076.00827762</v>
      </c>
      <c r="AI28" s="61"/>
    </row>
    <row r="29" spans="2:38" x14ac:dyDescent="0.25">
      <c r="B29" s="26"/>
      <c r="C29" s="26" t="s">
        <v>132</v>
      </c>
      <c r="D29" s="26"/>
      <c r="E29" s="38"/>
      <c r="F29" s="30"/>
      <c r="G29" s="26"/>
      <c r="H29" s="28">
        <f>SUM(H23:H28)</f>
        <v>13162404.75</v>
      </c>
      <c r="I29" s="29">
        <f>SUM(I23:I28)</f>
        <v>13162404.75</v>
      </c>
      <c r="J29" s="29"/>
      <c r="K29" s="67">
        <f>SUM(K23:K28)</f>
        <v>10995976.007146399</v>
      </c>
      <c r="L29" s="26"/>
      <c r="M29" s="27"/>
      <c r="N29" s="27"/>
      <c r="O29" s="29"/>
      <c r="P29" s="26"/>
      <c r="Q29" s="26"/>
      <c r="R29" s="26"/>
      <c r="S29" s="26"/>
      <c r="T29" s="26"/>
      <c r="U29" s="26"/>
      <c r="V29" s="26"/>
      <c r="W29" s="26"/>
      <c r="X29" s="78">
        <f>SUM(X23:X28)</f>
        <v>13162404.75</v>
      </c>
      <c r="Y29" s="25"/>
      <c r="Z29" s="25"/>
      <c r="AB29" s="24" t="s">
        <v>119</v>
      </c>
      <c r="AI29" s="61"/>
      <c r="AJ29" s="61">
        <f>AB3</f>
        <v>141338785</v>
      </c>
    </row>
    <row r="30" spans="2:38" x14ac:dyDescent="0.25">
      <c r="B30" s="26"/>
      <c r="C30" s="26"/>
      <c r="D30" s="26"/>
      <c r="E30" s="38"/>
      <c r="F30" s="30"/>
      <c r="G30" s="26"/>
      <c r="H30" s="28">
        <f t="shared" ref="H30:H66" si="10">G30*L30</f>
        <v>0</v>
      </c>
      <c r="I30" s="29"/>
      <c r="J30" s="29"/>
      <c r="K30" s="66"/>
      <c r="L30" s="26"/>
      <c r="M30" s="27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5"/>
      <c r="Y30" s="78"/>
      <c r="Z30" s="78"/>
      <c r="AB30" s="24" t="s">
        <v>118</v>
      </c>
      <c r="AJ30" s="97">
        <f>AH26-AI26</f>
        <v>123398899.35827759</v>
      </c>
      <c r="AK30" s="61"/>
    </row>
    <row r="31" spans="2:38" ht="15" customHeight="1" x14ac:dyDescent="0.25">
      <c r="B31" s="26"/>
      <c r="C31" s="26" t="s">
        <v>9</v>
      </c>
      <c r="D31" s="26"/>
      <c r="E31" s="41"/>
      <c r="F31" s="42"/>
      <c r="G31" s="26"/>
      <c r="H31" s="28"/>
      <c r="I31" s="29"/>
      <c r="J31" s="29"/>
      <c r="K31" s="66"/>
      <c r="L31" s="26"/>
      <c r="M31" s="27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5"/>
      <c r="Y31" s="25"/>
      <c r="Z31" s="25"/>
    </row>
    <row r="32" spans="2:38" x14ac:dyDescent="0.25">
      <c r="B32" s="26"/>
      <c r="C32" s="26"/>
      <c r="D32" s="26"/>
      <c r="E32" s="43"/>
      <c r="F32" s="44"/>
      <c r="G32" s="26"/>
      <c r="H32" s="28">
        <f t="shared" si="10"/>
        <v>0</v>
      </c>
      <c r="I32" s="29"/>
      <c r="J32" s="29"/>
      <c r="K32" s="66"/>
      <c r="L32" s="26"/>
      <c r="M32" s="27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5"/>
      <c r="Y32" s="25"/>
      <c r="Z32" s="25"/>
      <c r="AB32" s="24" t="s">
        <v>126</v>
      </c>
      <c r="AJ32" s="61">
        <f>AK26</f>
        <v>183241361.15000001</v>
      </c>
    </row>
    <row r="33" spans="2:36" ht="15" customHeight="1" x14ac:dyDescent="0.25">
      <c r="B33" s="26">
        <v>1</v>
      </c>
      <c r="C33" s="26" t="s">
        <v>14</v>
      </c>
      <c r="D33" s="26"/>
      <c r="E33" s="38">
        <v>1434.85</v>
      </c>
      <c r="F33" s="30">
        <v>1434.85</v>
      </c>
      <c r="G33" s="26">
        <v>1555</v>
      </c>
      <c r="H33" s="28">
        <f>F33*L33</f>
        <v>6471173.5</v>
      </c>
      <c r="I33" s="28">
        <f>F33*L33</f>
        <v>6471173.5</v>
      </c>
      <c r="J33" s="28"/>
      <c r="K33" s="71">
        <f>(O33+P33+Q33)*G91</f>
        <v>7796592.7470695945</v>
      </c>
      <c r="L33" s="28">
        <v>4510</v>
      </c>
      <c r="M33" s="33">
        <f>G33*L33</f>
        <v>7013050</v>
      </c>
      <c r="N33" s="27"/>
      <c r="O33" s="28">
        <v>7535734</v>
      </c>
      <c r="P33" s="28"/>
      <c r="Q33" s="28"/>
      <c r="R33" s="28"/>
      <c r="S33" s="28"/>
      <c r="T33" s="28"/>
      <c r="U33" s="28"/>
      <c r="V33" s="28"/>
      <c r="W33" s="28"/>
      <c r="X33" s="49">
        <f>F33*L33</f>
        <v>6471173.5</v>
      </c>
      <c r="Y33" s="25"/>
      <c r="Z33" s="25"/>
      <c r="AJ33" s="61"/>
    </row>
    <row r="34" spans="2:36" x14ac:dyDescent="0.25">
      <c r="B34" s="26">
        <v>2</v>
      </c>
      <c r="C34" s="26" t="s">
        <v>15</v>
      </c>
      <c r="D34" s="26"/>
      <c r="E34" s="38">
        <v>572.1</v>
      </c>
      <c r="F34" s="102">
        <v>572.1</v>
      </c>
      <c r="G34" s="26">
        <v>597</v>
      </c>
      <c r="H34" s="28">
        <f t="shared" ref="H34:H37" si="11">F34*L34</f>
        <v>1950861</v>
      </c>
      <c r="I34" s="28">
        <f t="shared" ref="I34:I37" si="12">F34*L34</f>
        <v>1950861</v>
      </c>
      <c r="J34" s="28"/>
      <c r="K34" s="71">
        <f>(O34+P34+Q34)*G91</f>
        <v>4956442.8866569698</v>
      </c>
      <c r="L34" s="28">
        <v>3410</v>
      </c>
      <c r="M34" s="33">
        <f>G34*L34</f>
        <v>2035770</v>
      </c>
      <c r="N34" s="27"/>
      <c r="O34" s="28">
        <v>4790610</v>
      </c>
      <c r="P34" s="28"/>
      <c r="Q34" s="28"/>
      <c r="R34" s="28"/>
      <c r="S34" s="28"/>
      <c r="T34" s="28"/>
      <c r="U34" s="28"/>
      <c r="V34" s="28"/>
      <c r="W34" s="28"/>
      <c r="X34" s="49">
        <f t="shared" ref="X34:X37" si="13">F34*L34</f>
        <v>1950861</v>
      </c>
      <c r="Y34" s="49"/>
      <c r="Z34" s="49"/>
      <c r="AJ34" s="61">
        <f>AJ29+AJ32</f>
        <v>324580146.14999998</v>
      </c>
    </row>
    <row r="35" spans="2:36" x14ac:dyDescent="0.25">
      <c r="B35" s="26">
        <v>3</v>
      </c>
      <c r="C35" s="26" t="s">
        <v>16</v>
      </c>
      <c r="D35" s="26"/>
      <c r="E35" s="38">
        <v>454.2</v>
      </c>
      <c r="F35" s="30">
        <v>454.2</v>
      </c>
      <c r="G35" s="26">
        <v>499</v>
      </c>
      <c r="H35" s="28">
        <f t="shared" si="11"/>
        <v>4871295</v>
      </c>
      <c r="I35" s="28">
        <f t="shared" si="12"/>
        <v>4871295</v>
      </c>
      <c r="J35" s="28"/>
      <c r="K35" s="71">
        <f>(O35+P35+Q35)*G91</f>
        <v>4896574.8181570489</v>
      </c>
      <c r="L35" s="28">
        <v>10725</v>
      </c>
      <c r="M35" s="33">
        <f>G35*L35</f>
        <v>5351775</v>
      </c>
      <c r="N35" s="27"/>
      <c r="O35" s="28">
        <v>4732745</v>
      </c>
      <c r="P35" s="28"/>
      <c r="Q35" s="28"/>
      <c r="R35" s="28"/>
      <c r="S35" s="28"/>
      <c r="T35" s="28"/>
      <c r="U35" s="28"/>
      <c r="V35" s="28"/>
      <c r="W35" s="28"/>
      <c r="X35" s="49">
        <f t="shared" si="13"/>
        <v>4871295</v>
      </c>
      <c r="Y35" s="49"/>
      <c r="Z35" s="49"/>
      <c r="AB35" s="26"/>
      <c r="AC35" s="100"/>
      <c r="AD35" s="83"/>
      <c r="AE35" s="26"/>
      <c r="AF35" s="26"/>
      <c r="AJ35" s="61">
        <f>AJ34-AD12</f>
        <v>6994284.8199999332</v>
      </c>
    </row>
    <row r="36" spans="2:36" x14ac:dyDescent="0.25">
      <c r="B36" s="26">
        <v>4</v>
      </c>
      <c r="C36" s="26" t="s">
        <v>41</v>
      </c>
      <c r="D36" s="26"/>
      <c r="E36" s="38">
        <v>0</v>
      </c>
      <c r="F36" s="30">
        <v>0</v>
      </c>
      <c r="G36" s="26"/>
      <c r="H36" s="28"/>
      <c r="I36" s="28">
        <f t="shared" si="12"/>
        <v>0</v>
      </c>
      <c r="J36" s="28"/>
      <c r="K36" s="71">
        <f>(O36+P36+Q36)*G91</f>
        <v>0</v>
      </c>
      <c r="L36" s="28">
        <v>3740</v>
      </c>
      <c r="M36" s="33">
        <f>G36*L36</f>
        <v>0</v>
      </c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49">
        <f t="shared" si="13"/>
        <v>0</v>
      </c>
      <c r="Y36" s="49"/>
      <c r="Z36" s="49"/>
      <c r="AB36" s="26" t="s">
        <v>19</v>
      </c>
      <c r="AC36" s="100"/>
      <c r="AD36" s="83">
        <f>K29</f>
        <v>10995976.007146399</v>
      </c>
      <c r="AE36" s="26"/>
      <c r="AF36" s="26"/>
    </row>
    <row r="37" spans="2:36" x14ac:dyDescent="0.25">
      <c r="B37" s="26">
        <v>5</v>
      </c>
      <c r="C37" s="26" t="s">
        <v>42</v>
      </c>
      <c r="D37" s="26"/>
      <c r="E37" s="38">
        <v>1004.03</v>
      </c>
      <c r="F37" s="30">
        <v>525.99</v>
      </c>
      <c r="G37" s="39">
        <v>546</v>
      </c>
      <c r="H37" s="28">
        <f t="shared" si="11"/>
        <v>723236.25</v>
      </c>
      <c r="I37" s="28">
        <f t="shared" si="12"/>
        <v>723236.25</v>
      </c>
      <c r="J37" s="28"/>
      <c r="K37" s="71">
        <f>(O37+P37+Q37)*G91</f>
        <v>1507998.6871796171</v>
      </c>
      <c r="L37" s="28">
        <v>1375</v>
      </c>
      <c r="M37" s="33">
        <f>G37*L37</f>
        <v>750750</v>
      </c>
      <c r="N37" s="27"/>
      <c r="O37" s="28">
        <v>1124947</v>
      </c>
      <c r="P37" s="28">
        <v>-1076580</v>
      </c>
      <c r="Q37" s="28">
        <v>1409177</v>
      </c>
      <c r="R37" s="28"/>
      <c r="S37" s="28"/>
      <c r="T37" s="28"/>
      <c r="U37" s="28"/>
      <c r="V37" s="28"/>
      <c r="W37" s="28"/>
      <c r="X37" s="49">
        <f t="shared" si="13"/>
        <v>723236.25</v>
      </c>
      <c r="Y37" s="49"/>
      <c r="Z37" s="49"/>
      <c r="AB37" s="26" t="s">
        <v>9</v>
      </c>
      <c r="AC37" s="100"/>
      <c r="AD37" s="83">
        <f>K39</f>
        <v>21922393.414375912</v>
      </c>
      <c r="AE37" s="26"/>
      <c r="AF37" s="26"/>
    </row>
    <row r="38" spans="2:36" x14ac:dyDescent="0.25">
      <c r="B38" s="26">
        <v>6</v>
      </c>
      <c r="C38" s="26" t="s">
        <v>45</v>
      </c>
      <c r="D38" s="26"/>
      <c r="E38" s="38"/>
      <c r="F38" s="30">
        <v>0</v>
      </c>
      <c r="G38" s="26"/>
      <c r="H38" s="28"/>
      <c r="I38" s="28"/>
      <c r="J38" s="28"/>
      <c r="K38" s="71">
        <f>(O38+P38+Q38+Y39)*G91</f>
        <v>2764784.2753126817</v>
      </c>
      <c r="L38" s="26"/>
      <c r="M38" s="27"/>
      <c r="N38" s="27"/>
      <c r="O38" s="28">
        <v>4134999</v>
      </c>
      <c r="P38" s="28">
        <v>-1230563</v>
      </c>
      <c r="Q38" s="28"/>
      <c r="R38" s="28"/>
      <c r="S38" s="28"/>
      <c r="T38" s="28"/>
      <c r="U38" s="28"/>
      <c r="V38" s="28"/>
      <c r="W38" s="28"/>
      <c r="X38" s="49"/>
      <c r="Y38" s="49"/>
      <c r="Z38" s="49"/>
      <c r="AB38" s="26" t="s">
        <v>10</v>
      </c>
      <c r="AC38" s="100"/>
      <c r="AD38" s="83">
        <f>K51</f>
        <v>44833567.019992732</v>
      </c>
      <c r="AE38" s="26"/>
      <c r="AF38" s="26"/>
    </row>
    <row r="39" spans="2:36" x14ac:dyDescent="0.25">
      <c r="B39" s="26"/>
      <c r="C39" s="26" t="s">
        <v>13</v>
      </c>
      <c r="D39" s="26"/>
      <c r="E39" s="38"/>
      <c r="F39" s="30"/>
      <c r="G39" s="26"/>
      <c r="H39" s="28">
        <f>SUM(H33:H38)</f>
        <v>14016565.75</v>
      </c>
      <c r="I39" s="29">
        <f>SUM(I33:I38)</f>
        <v>14016565.75</v>
      </c>
      <c r="J39" s="29"/>
      <c r="K39" s="67">
        <f>SUM(K33:K38)</f>
        <v>21922393.414375912</v>
      </c>
      <c r="L39" s="26"/>
      <c r="M39" s="27"/>
      <c r="N39" s="27"/>
      <c r="O39" s="28"/>
      <c r="P39" s="28"/>
      <c r="Q39" s="28"/>
      <c r="R39" s="28"/>
      <c r="S39" s="28"/>
      <c r="T39" s="28"/>
      <c r="U39" s="28"/>
      <c r="V39" s="28"/>
      <c r="W39" s="28"/>
      <c r="X39" s="49">
        <f>SUM(X33:X38)</f>
        <v>14016565.75</v>
      </c>
      <c r="Y39" s="49">
        <v>-232156</v>
      </c>
      <c r="Z39" s="49" t="s">
        <v>102</v>
      </c>
      <c r="AA39" s="45"/>
      <c r="AB39" s="28" t="s">
        <v>11</v>
      </c>
      <c r="AC39" s="100"/>
      <c r="AD39" s="83">
        <f>K61</f>
        <v>22712836.080264885</v>
      </c>
      <c r="AE39" s="26"/>
      <c r="AF39" s="26"/>
    </row>
    <row r="40" spans="2:36" x14ac:dyDescent="0.25">
      <c r="B40" s="26"/>
      <c r="C40" s="26"/>
      <c r="D40" s="26"/>
      <c r="E40" s="38"/>
      <c r="F40" s="30"/>
      <c r="G40" s="26"/>
      <c r="H40" s="28">
        <f t="shared" si="10"/>
        <v>0</v>
      </c>
      <c r="I40" s="29"/>
      <c r="J40" s="29"/>
      <c r="K40" s="67"/>
      <c r="L40" s="26"/>
      <c r="M40" s="27"/>
      <c r="N40" s="27"/>
      <c r="O40" s="28"/>
      <c r="P40" s="28"/>
      <c r="Q40" s="28"/>
      <c r="R40" s="28"/>
      <c r="S40" s="28"/>
      <c r="T40" s="28"/>
      <c r="U40" s="28"/>
      <c r="V40" s="28"/>
      <c r="W40" s="28"/>
      <c r="X40" s="49"/>
      <c r="Y40" s="49"/>
      <c r="Z40" s="49"/>
      <c r="AA40" s="45"/>
      <c r="AB40" s="28" t="s">
        <v>12</v>
      </c>
      <c r="AC40" s="100"/>
      <c r="AD40" s="83">
        <f>K73</f>
        <v>155462851.44819099</v>
      </c>
      <c r="AE40" s="26"/>
      <c r="AF40" s="26"/>
    </row>
    <row r="41" spans="2:36" ht="15" customHeight="1" x14ac:dyDescent="0.25">
      <c r="B41" s="26"/>
      <c r="C41" s="26" t="s">
        <v>10</v>
      </c>
      <c r="D41" s="26"/>
      <c r="E41" s="43"/>
      <c r="F41" s="44"/>
      <c r="G41" s="26"/>
      <c r="H41" s="28"/>
      <c r="I41" s="29"/>
      <c r="J41" s="29"/>
      <c r="K41" s="67"/>
      <c r="L41" s="26"/>
      <c r="M41" s="27"/>
      <c r="N41" s="27"/>
      <c r="O41" s="28"/>
      <c r="P41" s="28"/>
      <c r="Q41" s="28"/>
      <c r="R41" s="28"/>
      <c r="S41" s="28"/>
      <c r="T41" s="28"/>
      <c r="U41" s="28"/>
      <c r="V41" s="28"/>
      <c r="W41" s="28"/>
      <c r="X41" s="49"/>
      <c r="Y41" s="49"/>
      <c r="Z41" s="49"/>
      <c r="AB41" s="26" t="s">
        <v>72</v>
      </c>
      <c r="AC41" s="100"/>
      <c r="AD41" s="83">
        <f>K79</f>
        <v>8809452.038306715</v>
      </c>
      <c r="AE41" s="26"/>
      <c r="AF41" s="26"/>
    </row>
    <row r="42" spans="2:36" x14ac:dyDescent="0.25">
      <c r="B42" s="26"/>
      <c r="C42" s="26"/>
      <c r="D42" s="26"/>
      <c r="E42" s="43"/>
      <c r="F42" s="44"/>
      <c r="G42" s="26"/>
      <c r="H42" s="28">
        <f t="shared" si="10"/>
        <v>0</v>
      </c>
      <c r="I42" s="29"/>
      <c r="J42" s="29"/>
      <c r="K42" s="67"/>
      <c r="L42" s="26"/>
      <c r="M42" s="27"/>
      <c r="N42" s="27"/>
      <c r="O42" s="28"/>
      <c r="P42" s="28"/>
      <c r="Q42" s="28"/>
      <c r="R42" s="28"/>
      <c r="S42" s="28"/>
      <c r="T42" s="28"/>
      <c r="U42" s="28"/>
      <c r="V42" s="28"/>
      <c r="W42" s="28"/>
      <c r="X42" s="49"/>
      <c r="Y42" s="49"/>
      <c r="Z42" s="49"/>
      <c r="AB42" s="26" t="s">
        <v>13</v>
      </c>
      <c r="AC42" s="100"/>
      <c r="AD42" s="83">
        <f>SUM(AD36:AD41)</f>
        <v>264737076.00827762</v>
      </c>
      <c r="AE42" s="26"/>
      <c r="AF42" s="26"/>
    </row>
    <row r="43" spans="2:36" ht="15" customHeight="1" x14ac:dyDescent="0.25">
      <c r="B43" s="26">
        <v>1</v>
      </c>
      <c r="C43" s="26" t="s">
        <v>14</v>
      </c>
      <c r="D43" s="26"/>
      <c r="E43" s="38">
        <v>2268.2199999999998</v>
      </c>
      <c r="F43" s="30">
        <v>2268.62</v>
      </c>
      <c r="G43" s="26">
        <v>2442</v>
      </c>
      <c r="H43" s="28">
        <f>F43*L43</f>
        <v>10231476.199999999</v>
      </c>
      <c r="I43" s="29">
        <f>F43*L43</f>
        <v>10231476.199999999</v>
      </c>
      <c r="J43" s="29"/>
      <c r="K43" s="67">
        <f>(O43+P43+Q43)*G91</f>
        <v>17851343.02944034</v>
      </c>
      <c r="L43" s="28">
        <v>4510</v>
      </c>
      <c r="M43" s="33">
        <f>G43*L43</f>
        <v>11013420</v>
      </c>
      <c r="N43" s="27"/>
      <c r="O43" s="28">
        <v>17254072</v>
      </c>
      <c r="P43" s="28"/>
      <c r="Q43" s="28"/>
      <c r="R43" s="28"/>
      <c r="S43" s="120">
        <f>'[1]Rekapitulace stavby'!$BP$110</f>
        <v>-231082.62963134804</v>
      </c>
      <c r="T43" s="28"/>
      <c r="U43" s="120">
        <f>'[1]Rekapitulace stavby'!$CK$111</f>
        <v>292475.58997335652</v>
      </c>
      <c r="V43" s="28"/>
      <c r="W43" s="28"/>
      <c r="X43" s="49">
        <f>F43*L43</f>
        <v>10231476.199999999</v>
      </c>
      <c r="Y43" s="49"/>
      <c r="Z43" s="49"/>
    </row>
    <row r="44" spans="2:36" x14ac:dyDescent="0.25">
      <c r="B44" s="26">
        <v>2</v>
      </c>
      <c r="C44" s="26" t="s">
        <v>15</v>
      </c>
      <c r="D44" s="26"/>
      <c r="E44" s="38">
        <v>829.91</v>
      </c>
      <c r="F44" s="30">
        <v>829.91</v>
      </c>
      <c r="G44" s="46">
        <v>829.91</v>
      </c>
      <c r="H44" s="28">
        <f t="shared" ref="H44:H47" si="14">F44*L44</f>
        <v>2829993.1</v>
      </c>
      <c r="I44" s="29">
        <f t="shared" ref="I44:I50" si="15">F44*L44</f>
        <v>2829993.1</v>
      </c>
      <c r="J44" s="29"/>
      <c r="K44" s="67">
        <f>(O44+P44+Q44)*G91</f>
        <v>7033296.3419825034</v>
      </c>
      <c r="L44" s="28">
        <v>3410</v>
      </c>
      <c r="M44" s="33">
        <f>G44*L44</f>
        <v>2829993.1</v>
      </c>
      <c r="N44" s="27"/>
      <c r="O44" s="28">
        <v>6797976</v>
      </c>
      <c r="P44" s="28"/>
      <c r="Q44" s="28"/>
      <c r="R44" s="28"/>
      <c r="S44" s="120">
        <f>'[1]Rekapitulace stavby'!$BP$105</f>
        <v>-775890.07857612637</v>
      </c>
      <c r="T44" s="120">
        <f>'[1]Rekapitulace stavby'!$CJ$99</f>
        <v>37570.958135222703</v>
      </c>
      <c r="U44" s="120">
        <f>'[1]Rekapitulace stavby'!$CK$106</f>
        <v>392519.93818977207</v>
      </c>
      <c r="V44" s="28"/>
      <c r="W44" s="28"/>
      <c r="X44" s="49">
        <f t="shared" ref="X44:X50" si="16">F44*L44</f>
        <v>2829993.1</v>
      </c>
      <c r="Y44" s="49"/>
      <c r="Z44" s="49"/>
    </row>
    <row r="45" spans="2:36" x14ac:dyDescent="0.25">
      <c r="B45" s="26">
        <v>3</v>
      </c>
      <c r="C45" s="26" t="s">
        <v>16</v>
      </c>
      <c r="D45" s="26"/>
      <c r="E45" s="38">
        <v>945.1</v>
      </c>
      <c r="F45" s="30">
        <v>945.1</v>
      </c>
      <c r="G45" s="59">
        <f>788+F50+E49</f>
        <v>944.56999999999994</v>
      </c>
      <c r="H45" s="28">
        <f t="shared" si="14"/>
        <v>10136197.5</v>
      </c>
      <c r="I45" s="29">
        <f t="shared" si="15"/>
        <v>10136197.5</v>
      </c>
      <c r="J45" s="29"/>
      <c r="K45" s="67">
        <f>(O45+P45+Q45)*G91</f>
        <v>12282941.193010502</v>
      </c>
      <c r="L45" s="28">
        <v>10725</v>
      </c>
      <c r="M45" s="33">
        <f>G45*L45</f>
        <v>10130513.25</v>
      </c>
      <c r="N45" s="27"/>
      <c r="O45" s="28">
        <f>11871978</f>
        <v>11871978</v>
      </c>
      <c r="P45" s="28"/>
      <c r="Q45" s="28"/>
      <c r="R45" s="28"/>
      <c r="S45" s="28"/>
      <c r="T45" s="120">
        <f>'[1]Rekapitulace stavby'!$CJ$102</f>
        <v>440493.4979844148</v>
      </c>
      <c r="U45" s="120">
        <f>'[1]Rekapitulace stavby'!$CK$109</f>
        <v>180901.13101818351</v>
      </c>
      <c r="V45" s="28"/>
      <c r="W45" s="28"/>
      <c r="X45" s="49">
        <f t="shared" si="16"/>
        <v>10136197.5</v>
      </c>
      <c r="Y45" s="49"/>
      <c r="Z45" s="49"/>
    </row>
    <row r="46" spans="2:36" x14ac:dyDescent="0.25">
      <c r="B46" s="26">
        <v>4</v>
      </c>
      <c r="C46" s="26" t="s">
        <v>41</v>
      </c>
      <c r="D46" s="26"/>
      <c r="E46" s="38">
        <v>0</v>
      </c>
      <c r="F46" s="30">
        <v>0</v>
      </c>
      <c r="G46" s="26"/>
      <c r="H46" s="28"/>
      <c r="I46" s="29">
        <f t="shared" si="15"/>
        <v>0</v>
      </c>
      <c r="J46" s="29"/>
      <c r="K46" s="67">
        <f t="shared" ref="K46" si="17">(O46+P46+Q46)*G94</f>
        <v>0</v>
      </c>
      <c r="L46" s="28">
        <v>3740</v>
      </c>
      <c r="M46" s="33">
        <f>G46*L46</f>
        <v>0</v>
      </c>
      <c r="N46" s="27"/>
      <c r="O46" s="28"/>
      <c r="P46" s="28"/>
      <c r="Q46" s="28"/>
      <c r="R46" s="28"/>
      <c r="S46" s="28"/>
      <c r="T46" s="28"/>
      <c r="U46" s="28"/>
      <c r="V46" s="28"/>
      <c r="W46" s="28"/>
      <c r="X46" s="49">
        <f t="shared" si="16"/>
        <v>0</v>
      </c>
      <c r="Y46" s="49"/>
      <c r="Z46" s="49"/>
    </row>
    <row r="47" spans="2:36" x14ac:dyDescent="0.25">
      <c r="B47" s="26">
        <v>5</v>
      </c>
      <c r="C47" s="26" t="s">
        <v>42</v>
      </c>
      <c r="D47" s="26"/>
      <c r="E47" s="38">
        <v>1958.3</v>
      </c>
      <c r="F47" s="30">
        <v>1476.37</v>
      </c>
      <c r="G47" s="26">
        <v>1311</v>
      </c>
      <c r="H47" s="28">
        <f t="shared" si="14"/>
        <v>2030008.7499999998</v>
      </c>
      <c r="I47" s="29">
        <f t="shared" si="15"/>
        <v>2030008.7499999998</v>
      </c>
      <c r="J47" s="29"/>
      <c r="K47" s="67">
        <f>(O47+P47+Q47)*G91</f>
        <v>2772808.7588396044</v>
      </c>
      <c r="L47" s="28">
        <v>1375</v>
      </c>
      <c r="M47" s="33">
        <f>G47*L47</f>
        <v>1802625</v>
      </c>
      <c r="N47" s="27"/>
      <c r="O47" s="28">
        <v>1126831</v>
      </c>
      <c r="P47" s="28">
        <v>-1073525</v>
      </c>
      <c r="Q47" s="28">
        <v>2626730</v>
      </c>
      <c r="R47" s="28"/>
      <c r="S47" s="28"/>
      <c r="T47" s="28"/>
      <c r="U47" s="28"/>
      <c r="V47" s="28"/>
      <c r="W47" s="28"/>
      <c r="X47" s="49">
        <f t="shared" si="16"/>
        <v>2030008.7499999998</v>
      </c>
      <c r="Y47" s="49"/>
      <c r="Z47" s="49"/>
    </row>
    <row r="48" spans="2:36" x14ac:dyDescent="0.25">
      <c r="B48" s="26">
        <v>6</v>
      </c>
      <c r="C48" s="26" t="s">
        <v>45</v>
      </c>
      <c r="D48" s="26"/>
      <c r="E48" s="38">
        <v>0</v>
      </c>
      <c r="F48" s="30">
        <v>0</v>
      </c>
      <c r="G48" s="26"/>
      <c r="H48" s="28"/>
      <c r="I48" s="29">
        <f t="shared" si="15"/>
        <v>0</v>
      </c>
      <c r="J48" s="29"/>
      <c r="K48" s="67">
        <f>(O48+P48+Q48+Y49)*G91</f>
        <v>3735788.1667197789</v>
      </c>
      <c r="L48" s="26"/>
      <c r="M48" s="27"/>
      <c r="N48" s="27"/>
      <c r="O48" s="28">
        <v>6995538</v>
      </c>
      <c r="P48" s="28">
        <v>-3154901</v>
      </c>
      <c r="Q48" s="28"/>
      <c r="R48" s="28"/>
      <c r="S48" s="28"/>
      <c r="T48" s="120">
        <f>27445.8162+177033.56</f>
        <v>204479.3762</v>
      </c>
      <c r="U48" s="28"/>
      <c r="V48" s="28"/>
      <c r="W48" s="28"/>
      <c r="X48" s="49">
        <f t="shared" si="16"/>
        <v>0</v>
      </c>
      <c r="Y48" s="49"/>
      <c r="Z48" s="49"/>
    </row>
    <row r="49" spans="1:28" x14ac:dyDescent="0.25">
      <c r="B49" s="26"/>
      <c r="C49" s="26" t="s">
        <v>113</v>
      </c>
      <c r="D49" s="26"/>
      <c r="E49" s="38">
        <f>-129.7</f>
        <v>-129.69999999999999</v>
      </c>
      <c r="F49" s="30">
        <v>0</v>
      </c>
      <c r="G49" s="26"/>
      <c r="H49" s="28"/>
      <c r="I49" s="29">
        <f t="shared" si="15"/>
        <v>0</v>
      </c>
      <c r="J49" s="29"/>
      <c r="K49" s="125">
        <f>AD11</f>
        <v>-1271240.46</v>
      </c>
      <c r="L49" s="26"/>
      <c r="M49" s="27"/>
      <c r="N49" s="27"/>
      <c r="O49" s="28"/>
      <c r="P49" s="28"/>
      <c r="Q49" s="28"/>
      <c r="R49" s="28"/>
      <c r="S49" s="120">
        <f>'[1]Rekapitulace stavby'!$BP$95</f>
        <v>-1306750.262721238</v>
      </c>
      <c r="T49" s="28"/>
      <c r="U49" s="28"/>
      <c r="V49" s="28"/>
      <c r="W49" s="28"/>
      <c r="X49" s="49">
        <f t="shared" si="16"/>
        <v>0</v>
      </c>
      <c r="Y49" s="49">
        <v>-229841</v>
      </c>
      <c r="Z49" s="49" t="s">
        <v>102</v>
      </c>
      <c r="AA49" s="45"/>
      <c r="AB49" s="45"/>
    </row>
    <row r="50" spans="1:28" x14ac:dyDescent="0.25">
      <c r="B50" s="26"/>
      <c r="C50" s="26" t="s">
        <v>114</v>
      </c>
      <c r="D50" s="26"/>
      <c r="E50" s="38">
        <v>0</v>
      </c>
      <c r="F50" s="30">
        <v>286.27</v>
      </c>
      <c r="G50" s="26"/>
      <c r="H50" s="28"/>
      <c r="I50" s="29">
        <f t="shared" si="15"/>
        <v>0</v>
      </c>
      <c r="J50" s="29"/>
      <c r="K50" s="67">
        <f>AD9</f>
        <v>2428629.9900000002</v>
      </c>
      <c r="L50" s="26"/>
      <c r="M50" s="27"/>
      <c r="N50" s="27"/>
      <c r="O50" s="28"/>
      <c r="P50" s="28"/>
      <c r="Q50" s="28"/>
      <c r="R50" s="28"/>
      <c r="S50" s="28"/>
      <c r="T50" s="28"/>
      <c r="U50" s="28"/>
      <c r="V50" s="28"/>
      <c r="W50" s="28"/>
      <c r="X50" s="49">
        <f t="shared" si="16"/>
        <v>0</v>
      </c>
      <c r="Y50" s="49"/>
      <c r="Z50" s="49"/>
    </row>
    <row r="51" spans="1:28" x14ac:dyDescent="0.25">
      <c r="B51" s="26"/>
      <c r="C51" s="99" t="s">
        <v>13</v>
      </c>
      <c r="D51" s="26"/>
      <c r="E51" s="47"/>
      <c r="F51" s="26"/>
      <c r="G51" s="26"/>
      <c r="H51" s="28">
        <f>SUM(H43:H50)</f>
        <v>25227675.549999997</v>
      </c>
      <c r="I51" s="29">
        <f>SUM(I43:I50)</f>
        <v>25227675.549999997</v>
      </c>
      <c r="J51" s="29"/>
      <c r="K51" s="67">
        <f>SUM(K43:K50)</f>
        <v>44833567.019992732</v>
      </c>
      <c r="L51" s="26"/>
      <c r="M51" s="27"/>
      <c r="N51" s="27"/>
      <c r="O51" s="28"/>
      <c r="P51" s="28"/>
      <c r="Q51" s="28"/>
      <c r="R51" s="28"/>
      <c r="S51" s="28"/>
      <c r="T51" s="28"/>
      <c r="U51" s="28"/>
      <c r="V51" s="28"/>
      <c r="W51" s="28"/>
      <c r="X51" s="49">
        <f>SUM(X43:X50)</f>
        <v>25227675.549999997</v>
      </c>
      <c r="Y51" s="49"/>
      <c r="Z51" s="49"/>
    </row>
    <row r="52" spans="1:28" x14ac:dyDescent="0.25">
      <c r="B52" s="26"/>
      <c r="C52" s="93"/>
      <c r="D52" s="26"/>
      <c r="E52" s="47"/>
      <c r="F52" s="26"/>
      <c r="G52" s="26"/>
      <c r="H52" s="28">
        <f t="shared" si="10"/>
        <v>0</v>
      </c>
      <c r="I52" s="29"/>
      <c r="J52" s="29"/>
      <c r="K52" s="67"/>
      <c r="L52" s="26"/>
      <c r="M52" s="27"/>
      <c r="N52" s="27"/>
      <c r="O52" s="28"/>
      <c r="P52" s="28"/>
      <c r="Q52" s="28"/>
      <c r="R52" s="28"/>
      <c r="S52" s="28"/>
      <c r="T52" s="28"/>
      <c r="U52" s="28"/>
      <c r="V52" s="28"/>
      <c r="W52" s="28"/>
      <c r="X52" s="49"/>
      <c r="Y52" s="49"/>
      <c r="Z52" s="49"/>
    </row>
    <row r="53" spans="1:28" ht="15" customHeight="1" x14ac:dyDescent="0.25">
      <c r="B53" s="26"/>
      <c r="C53" s="26" t="s">
        <v>11</v>
      </c>
      <c r="D53" s="26"/>
      <c r="E53" s="47"/>
      <c r="F53" s="26"/>
      <c r="G53" s="26"/>
      <c r="H53" s="28"/>
      <c r="I53" s="29"/>
      <c r="J53" s="29"/>
      <c r="K53" s="67"/>
      <c r="L53" s="26"/>
      <c r="M53" s="27"/>
      <c r="N53" s="27"/>
      <c r="O53" s="28"/>
      <c r="P53" s="28"/>
      <c r="Q53" s="28"/>
      <c r="R53" s="28"/>
      <c r="S53" s="28"/>
      <c r="T53" s="28"/>
      <c r="U53" s="28"/>
      <c r="V53" s="28"/>
      <c r="W53" s="28"/>
      <c r="X53" s="49"/>
      <c r="Y53" s="49"/>
      <c r="Z53" s="49"/>
    </row>
    <row r="54" spans="1:28" x14ac:dyDescent="0.25">
      <c r="B54" s="26"/>
      <c r="C54" s="26"/>
      <c r="D54" s="26"/>
      <c r="E54" s="47"/>
      <c r="F54" s="26"/>
      <c r="G54" s="26"/>
      <c r="H54" s="28">
        <f t="shared" si="10"/>
        <v>0</v>
      </c>
      <c r="I54" s="29"/>
      <c r="J54" s="29"/>
      <c r="K54" s="67"/>
      <c r="L54" s="26"/>
      <c r="M54" s="27"/>
      <c r="N54" s="27"/>
      <c r="O54" s="28"/>
      <c r="P54" s="28"/>
      <c r="Q54" s="28"/>
      <c r="R54" s="28"/>
      <c r="S54" s="28"/>
      <c r="T54" s="28"/>
      <c r="U54" s="28"/>
      <c r="V54" s="28"/>
      <c r="W54" s="28"/>
      <c r="X54" s="49"/>
      <c r="Y54" s="49"/>
      <c r="Z54" s="49"/>
    </row>
    <row r="55" spans="1:28" ht="15" customHeight="1" x14ac:dyDescent="0.25">
      <c r="B55" s="26">
        <v>1</v>
      </c>
      <c r="C55" s="26" t="s">
        <v>14</v>
      </c>
      <c r="D55" s="26"/>
      <c r="E55" s="38">
        <v>1059.8399999999999</v>
      </c>
      <c r="F55" s="30">
        <v>1059.8399999999999</v>
      </c>
      <c r="G55" s="26">
        <v>1732</v>
      </c>
      <c r="H55" s="28">
        <f>F55*L55</f>
        <v>4779878.3999999994</v>
      </c>
      <c r="I55" s="29">
        <f>F55*L55</f>
        <v>4779878.3999999994</v>
      </c>
      <c r="J55" s="29"/>
      <c r="K55" s="67">
        <f>(O55+P55+Q55)*G91</f>
        <v>8892081.6640000734</v>
      </c>
      <c r="L55" s="28">
        <v>4510</v>
      </c>
      <c r="M55" s="33">
        <f>G55*L55</f>
        <v>7811320</v>
      </c>
      <c r="N55" s="27"/>
      <c r="O55" s="28">
        <v>8594570</v>
      </c>
      <c r="P55" s="28"/>
      <c r="Q55" s="28"/>
      <c r="R55" s="28"/>
      <c r="S55" s="28"/>
      <c r="T55" s="28"/>
      <c r="U55" s="28"/>
      <c r="V55" s="28"/>
      <c r="W55" s="28"/>
      <c r="X55" s="49">
        <f>F55*L55</f>
        <v>4779878.3999999994</v>
      </c>
      <c r="Y55" s="49"/>
      <c r="Z55" s="49"/>
    </row>
    <row r="56" spans="1:28" x14ac:dyDescent="0.25">
      <c r="B56" s="26">
        <v>2</v>
      </c>
      <c r="C56" s="26" t="s">
        <v>15</v>
      </c>
      <c r="D56" s="26"/>
      <c r="E56" s="38">
        <v>676.57</v>
      </c>
      <c r="F56" s="30">
        <v>676.57</v>
      </c>
      <c r="G56" s="26">
        <v>683</v>
      </c>
      <c r="H56" s="28">
        <f t="shared" ref="H56:H59" si="18">F56*L56</f>
        <v>2307103.7000000002</v>
      </c>
      <c r="I56" s="29">
        <f t="shared" ref="I56:I59" si="19">F56*L56</f>
        <v>2307103.7000000002</v>
      </c>
      <c r="J56" s="29"/>
      <c r="K56" s="67">
        <f>(O56+P56+Q56)*G91</f>
        <v>5453648.4112228891</v>
      </c>
      <c r="L56" s="28">
        <v>3410</v>
      </c>
      <c r="M56" s="33">
        <f>G56*L56</f>
        <v>2329030</v>
      </c>
      <c r="N56" s="27"/>
      <c r="O56" s="28">
        <v>5271180</v>
      </c>
      <c r="P56" s="28"/>
      <c r="Q56" s="28"/>
      <c r="R56" s="28"/>
      <c r="S56" s="120">
        <f>'[1]Rekapitulace stavby'!$BM$107</f>
        <v>-646951.17595540208</v>
      </c>
      <c r="T56" s="28"/>
      <c r="U56" s="120">
        <f>'[1]Rekapitulace stavby'!$BO$108</f>
        <v>367356.71959321626</v>
      </c>
      <c r="V56" s="28"/>
      <c r="W56" s="28"/>
      <c r="X56" s="49">
        <f t="shared" ref="X56:X59" si="20">F56*L56</f>
        <v>2307103.7000000002</v>
      </c>
      <c r="Y56" s="49"/>
      <c r="Z56" s="49"/>
    </row>
    <row r="57" spans="1:28" x14ac:dyDescent="0.25">
      <c r="B57" s="26">
        <v>3</v>
      </c>
      <c r="C57" s="26" t="s">
        <v>16</v>
      </c>
      <c r="D57" s="26"/>
      <c r="E57" s="38">
        <v>378.1</v>
      </c>
      <c r="F57" s="30">
        <v>378.1</v>
      </c>
      <c r="G57" s="26">
        <v>443</v>
      </c>
      <c r="H57" s="28">
        <f t="shared" si="18"/>
        <v>4055122.5000000005</v>
      </c>
      <c r="I57" s="29">
        <f t="shared" si="19"/>
        <v>4055122.5000000005</v>
      </c>
      <c r="J57" s="29"/>
      <c r="K57" s="67">
        <f>(O57+P57+Q57)*G91</f>
        <v>4237862.5952926213</v>
      </c>
      <c r="L57" s="28">
        <v>10725</v>
      </c>
      <c r="M57" s="33">
        <f>G57*L57</f>
        <v>4751175</v>
      </c>
      <c r="N57" s="27"/>
      <c r="O57" s="28">
        <v>4096072</v>
      </c>
      <c r="P57" s="28"/>
      <c r="Q57" s="28"/>
      <c r="R57" s="28"/>
      <c r="S57" s="28"/>
      <c r="T57" s="28"/>
      <c r="U57" s="120">
        <f>'[1]Rekapitulace stavby'!$BO$115</f>
        <v>45707.871689444211</v>
      </c>
      <c r="V57" s="28"/>
      <c r="W57" s="28"/>
      <c r="X57" s="49">
        <f t="shared" si="20"/>
        <v>4055122.5000000005</v>
      </c>
      <c r="Y57" s="49"/>
      <c r="Z57" s="49"/>
    </row>
    <row r="58" spans="1:28" x14ac:dyDescent="0.25">
      <c r="B58" s="26">
        <v>4</v>
      </c>
      <c r="C58" s="26" t="s">
        <v>37</v>
      </c>
      <c r="D58" s="26"/>
      <c r="E58" s="38">
        <v>0</v>
      </c>
      <c r="F58" s="30">
        <v>0</v>
      </c>
      <c r="G58" s="26"/>
      <c r="H58" s="28"/>
      <c r="I58" s="29">
        <f t="shared" si="19"/>
        <v>0</v>
      </c>
      <c r="J58" s="29"/>
      <c r="K58" s="67">
        <f>(O58+P58+Q58)*G91</f>
        <v>0</v>
      </c>
      <c r="L58" s="28">
        <v>3740</v>
      </c>
      <c r="M58" s="27"/>
      <c r="N58" s="27"/>
      <c r="O58" s="28"/>
      <c r="P58" s="28"/>
      <c r="Q58" s="28"/>
      <c r="R58" s="28"/>
      <c r="S58" s="28"/>
      <c r="T58" s="28"/>
      <c r="U58" s="28"/>
      <c r="V58" s="28"/>
      <c r="W58" s="28"/>
      <c r="X58" s="49">
        <f t="shared" si="20"/>
        <v>0</v>
      </c>
      <c r="Y58" s="49"/>
      <c r="Z58" s="49"/>
    </row>
    <row r="59" spans="1:28" x14ac:dyDescent="0.25">
      <c r="B59" s="26">
        <v>5</v>
      </c>
      <c r="C59" s="26" t="s">
        <v>31</v>
      </c>
      <c r="D59" s="26"/>
      <c r="E59" s="38">
        <v>514.20000000000005</v>
      </c>
      <c r="F59" s="30">
        <v>493.27</v>
      </c>
      <c r="G59" s="26">
        <v>490</v>
      </c>
      <c r="H59" s="28">
        <f t="shared" si="18"/>
        <v>678246.25</v>
      </c>
      <c r="I59" s="29">
        <f t="shared" si="19"/>
        <v>678246.25</v>
      </c>
      <c r="J59" s="29"/>
      <c r="K59" s="67">
        <f>(O59+P59+Q59)*G91</f>
        <v>1555843.4804002228</v>
      </c>
      <c r="L59" s="28">
        <v>1375</v>
      </c>
      <c r="M59" s="33">
        <f>G59*L59</f>
        <v>673750</v>
      </c>
      <c r="N59" s="27"/>
      <c r="O59" s="28">
        <v>357962</v>
      </c>
      <c r="P59" s="28">
        <v>-324962</v>
      </c>
      <c r="Q59" s="28">
        <v>1470788</v>
      </c>
      <c r="R59" s="28"/>
      <c r="S59" s="28"/>
      <c r="T59" s="28"/>
      <c r="U59" s="28"/>
      <c r="V59" s="28"/>
      <c r="W59" s="28"/>
      <c r="X59" s="49">
        <f t="shared" si="20"/>
        <v>678246.25</v>
      </c>
      <c r="Y59" s="49"/>
      <c r="Z59" s="49"/>
    </row>
    <row r="60" spans="1:28" x14ac:dyDescent="0.25">
      <c r="B60" s="26">
        <v>6</v>
      </c>
      <c r="C60" s="26" t="s">
        <v>30</v>
      </c>
      <c r="D60" s="26"/>
      <c r="E60" s="30"/>
      <c r="F60" s="30"/>
      <c r="G60" s="26"/>
      <c r="H60" s="28"/>
      <c r="I60" s="28"/>
      <c r="J60" s="28"/>
      <c r="K60" s="71">
        <f>(O60+P60+Q60+Y61)*G91</f>
        <v>2573399.9293490797</v>
      </c>
      <c r="L60" s="26"/>
      <c r="M60" s="26"/>
      <c r="N60" s="26"/>
      <c r="O60" s="28">
        <v>4090511</v>
      </c>
      <c r="P60" s="28">
        <v>-1378788</v>
      </c>
      <c r="Q60" s="28"/>
      <c r="R60" s="28"/>
      <c r="S60" s="28"/>
      <c r="T60" s="28"/>
      <c r="U60" s="28"/>
      <c r="V60" s="28"/>
      <c r="W60" s="28"/>
      <c r="X60" s="49"/>
      <c r="Y60" s="49"/>
      <c r="Z60" s="49"/>
    </row>
    <row r="61" spans="1:28" x14ac:dyDescent="0.25">
      <c r="B61" s="26"/>
      <c r="C61" s="26" t="s">
        <v>13</v>
      </c>
      <c r="D61" s="26"/>
      <c r="E61" s="30"/>
      <c r="F61" s="30"/>
      <c r="G61" s="26"/>
      <c r="H61" s="28">
        <f>SUM(H55:H60)</f>
        <v>11820350.85</v>
      </c>
      <c r="I61" s="28">
        <f>SUM(I55:I60)</f>
        <v>11820350.85</v>
      </c>
      <c r="J61" s="28"/>
      <c r="K61" s="71">
        <f>SUM(K55:K60)</f>
        <v>22712836.080264885</v>
      </c>
      <c r="L61" s="26"/>
      <c r="M61" s="26"/>
      <c r="N61" s="26"/>
      <c r="O61" s="28"/>
      <c r="P61" s="28"/>
      <c r="Q61" s="28"/>
      <c r="R61" s="28"/>
      <c r="S61" s="28"/>
      <c r="T61" s="28"/>
      <c r="U61" s="28"/>
      <c r="V61" s="28"/>
      <c r="W61" s="28"/>
      <c r="X61" s="49">
        <f>SUM(X55:X60)</f>
        <v>11820350.85</v>
      </c>
      <c r="Y61" s="49">
        <v>-224424</v>
      </c>
      <c r="Z61" s="49" t="s">
        <v>102</v>
      </c>
      <c r="AA61" s="45"/>
      <c r="AB61" s="45"/>
    </row>
    <row r="62" spans="1:28" x14ac:dyDescent="0.25">
      <c r="A62" s="25"/>
      <c r="B62" s="25"/>
      <c r="C62" s="25"/>
      <c r="D62" s="48"/>
      <c r="E62" s="50"/>
      <c r="F62" s="50"/>
      <c r="G62" s="25"/>
      <c r="H62" s="73"/>
      <c r="I62" s="73"/>
      <c r="J62" s="73"/>
      <c r="K62" s="25"/>
      <c r="L62" s="25"/>
      <c r="M62" s="25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5"/>
      <c r="AB62" s="45"/>
    </row>
    <row r="63" spans="1:28" x14ac:dyDescent="0.25">
      <c r="A63" s="25"/>
      <c r="B63" s="25"/>
      <c r="C63" s="25"/>
      <c r="D63" s="48"/>
      <c r="E63" s="50"/>
      <c r="F63" s="50"/>
      <c r="G63" s="25"/>
      <c r="H63" s="49"/>
      <c r="I63" s="49"/>
      <c r="J63" s="49"/>
      <c r="K63" s="25"/>
      <c r="L63" s="25"/>
      <c r="M63" s="25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8" x14ac:dyDescent="0.25">
      <c r="A64" s="25"/>
      <c r="B64" s="51"/>
      <c r="C64" s="51"/>
      <c r="D64" s="52"/>
      <c r="E64" s="53"/>
      <c r="F64" s="53"/>
      <c r="G64" s="25"/>
      <c r="H64" s="73"/>
      <c r="I64" s="73"/>
      <c r="J64" s="73"/>
      <c r="K64" s="51"/>
      <c r="L64" s="51"/>
      <c r="M64" s="51"/>
      <c r="N64" s="54"/>
      <c r="O64" s="54"/>
      <c r="P64" s="54"/>
      <c r="Q64" s="49"/>
      <c r="R64" s="49"/>
      <c r="S64" s="49"/>
      <c r="T64" s="49"/>
      <c r="U64" s="49"/>
      <c r="V64" s="49"/>
      <c r="W64" s="49"/>
      <c r="X64" s="49"/>
      <c r="Y64" s="49"/>
    </row>
    <row r="65" spans="1:26" s="25" customFormat="1" ht="15" customHeight="1" x14ac:dyDescent="0.25">
      <c r="A65" s="24"/>
      <c r="B65" s="26"/>
      <c r="C65" s="26" t="s">
        <v>12</v>
      </c>
      <c r="D65" s="74"/>
      <c r="E65" s="42" t="s">
        <v>43</v>
      </c>
      <c r="F65" s="42" t="s">
        <v>44</v>
      </c>
      <c r="G65" s="26"/>
      <c r="H65" s="28"/>
      <c r="I65" s="28"/>
      <c r="J65" s="28"/>
      <c r="K65" s="71"/>
      <c r="L65" s="26"/>
      <c r="M65" s="26"/>
      <c r="N65" s="26"/>
      <c r="O65" s="28"/>
      <c r="P65" s="28"/>
      <c r="Q65" s="28"/>
      <c r="R65" s="28"/>
      <c r="S65" s="28"/>
      <c r="T65" s="28"/>
      <c r="U65" s="28"/>
      <c r="V65" s="28"/>
      <c r="W65" s="28"/>
      <c r="X65" s="49"/>
      <c r="Y65" s="49"/>
    </row>
    <row r="66" spans="1:26" x14ac:dyDescent="0.25">
      <c r="B66" s="26"/>
      <c r="C66" s="26"/>
      <c r="D66" s="55"/>
      <c r="E66" s="30"/>
      <c r="F66" s="30"/>
      <c r="G66" s="26"/>
      <c r="H66" s="28">
        <f t="shared" si="10"/>
        <v>0</v>
      </c>
      <c r="I66" s="28"/>
      <c r="J66" s="28"/>
      <c r="K66" s="71"/>
      <c r="L66" s="26"/>
      <c r="M66" s="26"/>
      <c r="N66" s="26"/>
      <c r="O66" s="28"/>
      <c r="P66" s="28"/>
      <c r="Q66" s="28"/>
      <c r="R66" s="28"/>
      <c r="S66" s="28"/>
      <c r="T66" s="28"/>
      <c r="U66" s="28"/>
      <c r="V66" s="28"/>
      <c r="W66" s="28"/>
      <c r="X66" s="49"/>
      <c r="Y66" s="49"/>
      <c r="Z66" s="49"/>
    </row>
    <row r="67" spans="1:26" ht="15" customHeight="1" x14ac:dyDescent="0.25">
      <c r="B67" s="26">
        <v>1</v>
      </c>
      <c r="C67" s="26" t="s">
        <v>14</v>
      </c>
      <c r="D67" s="26"/>
      <c r="E67" s="30">
        <v>3756.82</v>
      </c>
      <c r="F67" s="30">
        <v>3779.66</v>
      </c>
      <c r="G67" s="26">
        <v>5635</v>
      </c>
      <c r="H67" s="28">
        <f>F67*L67</f>
        <v>17046266.599999998</v>
      </c>
      <c r="I67" s="28">
        <f>F67*L67</f>
        <v>17046266.599999998</v>
      </c>
      <c r="J67" s="28"/>
      <c r="K67" s="71">
        <f>(O67+P67+Q67)*G94</f>
        <v>49084285.439532563</v>
      </c>
      <c r="L67" s="28">
        <v>4510</v>
      </c>
      <c r="M67" s="32">
        <f t="shared" ref="M67:M76" si="21">G67*L67</f>
        <v>25413850</v>
      </c>
      <c r="N67" s="26"/>
      <c r="O67" s="28">
        <v>47476316</v>
      </c>
      <c r="P67" s="28"/>
      <c r="Q67" s="28"/>
      <c r="R67" s="28">
        <f>-67248-17305.2-68500</f>
        <v>-153053.20000000001</v>
      </c>
      <c r="S67" s="28">
        <v>-1802096.21</v>
      </c>
      <c r="T67" s="28">
        <f>1267099.19+301776.24+932636.31+556403.52+3391981.75+42865.41+278062.01+612270.6+891712.36</f>
        <v>8274807.3899999997</v>
      </c>
      <c r="U67" s="28">
        <f>404593.46</f>
        <v>404593.46</v>
      </c>
      <c r="V67" s="28"/>
      <c r="W67" s="28"/>
      <c r="X67" s="49">
        <f>F67*L67</f>
        <v>17046266.599999998</v>
      </c>
      <c r="Y67" s="49"/>
      <c r="Z67" s="49"/>
    </row>
    <row r="68" spans="1:26" x14ac:dyDescent="0.25">
      <c r="B68" s="26">
        <v>2</v>
      </c>
      <c r="C68" s="26" t="s">
        <v>15</v>
      </c>
      <c r="D68" s="26"/>
      <c r="E68" s="30">
        <v>2254.9899999999998</v>
      </c>
      <c r="F68" s="30">
        <v>2290.5</v>
      </c>
      <c r="G68" s="26">
        <v>2402</v>
      </c>
      <c r="H68" s="28">
        <f t="shared" ref="H68:H72" si="22">F68*L68</f>
        <v>7810605</v>
      </c>
      <c r="I68" s="28">
        <f t="shared" ref="I68:I72" si="23">F68*L68</f>
        <v>7810605</v>
      </c>
      <c r="J68" s="28"/>
      <c r="K68" s="71">
        <f>(O68+P68+Q68)*G94</f>
        <v>25586493.991874333</v>
      </c>
      <c r="L68" s="28">
        <v>3410</v>
      </c>
      <c r="M68" s="32">
        <f t="shared" si="21"/>
        <v>8190820</v>
      </c>
      <c r="N68" s="26"/>
      <c r="O68" s="28">
        <v>24748297</v>
      </c>
      <c r="P68" s="28"/>
      <c r="Q68" s="28"/>
      <c r="R68" s="28"/>
      <c r="S68" s="28">
        <f>-10890.3-1543492.06</f>
        <v>-1554382.36</v>
      </c>
      <c r="T68" s="28">
        <f>254804.86+315882.99+3794.96+12093.8</f>
        <v>586576.61</v>
      </c>
      <c r="U68" s="28">
        <f>246265.38</f>
        <v>246265.38</v>
      </c>
      <c r="V68" s="28"/>
      <c r="W68" s="28"/>
      <c r="X68" s="49">
        <f t="shared" ref="X68:X72" si="24">F68*L68</f>
        <v>7810605</v>
      </c>
      <c r="Y68" s="49"/>
      <c r="Z68" s="49"/>
    </row>
    <row r="69" spans="1:26" x14ac:dyDescent="0.25">
      <c r="B69" s="26">
        <v>3</v>
      </c>
      <c r="C69" s="26" t="s">
        <v>16</v>
      </c>
      <c r="D69" s="26"/>
      <c r="E69" s="30">
        <v>2254.9899999999998</v>
      </c>
      <c r="F69" s="30">
        <v>2236.14</v>
      </c>
      <c r="G69" s="26">
        <v>2266.94</v>
      </c>
      <c r="H69" s="28">
        <f t="shared" si="22"/>
        <v>23982601.5</v>
      </c>
      <c r="I69" s="28">
        <f t="shared" si="23"/>
        <v>23982601.5</v>
      </c>
      <c r="J69" s="28"/>
      <c r="K69" s="71">
        <f>(O69+P69+Q69)*G94</f>
        <v>58083692.182942718</v>
      </c>
      <c r="L69" s="28">
        <v>10725</v>
      </c>
      <c r="M69" s="32">
        <f t="shared" si="21"/>
        <v>24312931.5</v>
      </c>
      <c r="N69" s="26"/>
      <c r="O69" s="28">
        <v>55970136</v>
      </c>
      <c r="P69" s="28">
        <f>-(537738+507682)</f>
        <v>-1045420</v>
      </c>
      <c r="Q69" s="28">
        <f>730683+135768+389741</f>
        <v>1256192</v>
      </c>
      <c r="R69" s="28"/>
      <c r="S69" s="28"/>
      <c r="T69" s="28">
        <f>14990.06+112760.87+443212.21+179160+580017.48+143546.28</f>
        <v>1473686.9000000001</v>
      </c>
      <c r="U69" s="28"/>
      <c r="V69" s="28"/>
      <c r="W69" s="28"/>
      <c r="X69" s="49">
        <f t="shared" si="24"/>
        <v>23982601.5</v>
      </c>
      <c r="Y69" s="49"/>
      <c r="Z69" s="49"/>
    </row>
    <row r="70" spans="1:26" x14ac:dyDescent="0.25">
      <c r="B70" s="26">
        <v>4</v>
      </c>
      <c r="C70" s="26" t="s">
        <v>37</v>
      </c>
      <c r="D70" s="55"/>
      <c r="E70" s="30">
        <v>1766.4</v>
      </c>
      <c r="F70" s="30">
        <v>1497.36</v>
      </c>
      <c r="G70" s="26">
        <v>1847</v>
      </c>
      <c r="H70" s="28">
        <f>F70*L70</f>
        <v>5600126.3999999994</v>
      </c>
      <c r="I70" s="28">
        <f t="shared" si="23"/>
        <v>5600126.3999999994</v>
      </c>
      <c r="J70" s="28"/>
      <c r="K70" s="71">
        <f>(O70+P70+Q70)*G94</f>
        <v>5797267.7410820844</v>
      </c>
      <c r="L70" s="28">
        <v>3740</v>
      </c>
      <c r="M70" s="32">
        <f>G70*L70</f>
        <v>6907780</v>
      </c>
      <c r="N70" s="26"/>
      <c r="O70" s="28"/>
      <c r="P70" s="28">
        <v>-2143248</v>
      </c>
      <c r="Q70" s="28">
        <v>7750601</v>
      </c>
      <c r="R70" s="28"/>
      <c r="S70" s="28"/>
      <c r="T70" s="28"/>
      <c r="U70" s="28"/>
      <c r="V70" s="28"/>
      <c r="W70" s="28"/>
      <c r="X70" s="49">
        <f t="shared" si="24"/>
        <v>5600126.3999999994</v>
      </c>
      <c r="Y70" s="49"/>
      <c r="Z70" s="49"/>
    </row>
    <row r="71" spans="1:26" x14ac:dyDescent="0.25">
      <c r="B71" s="26">
        <v>5</v>
      </c>
      <c r="C71" s="26" t="s">
        <v>31</v>
      </c>
      <c r="D71" s="55"/>
      <c r="E71" s="30">
        <v>4600</v>
      </c>
      <c r="F71" s="30">
        <v>303.91000000000003</v>
      </c>
      <c r="G71" s="39">
        <v>816</v>
      </c>
      <c r="H71" s="28">
        <f t="shared" si="22"/>
        <v>417876.25000000006</v>
      </c>
      <c r="I71" s="28">
        <f t="shared" si="23"/>
        <v>417876.25000000006</v>
      </c>
      <c r="J71" s="28"/>
      <c r="K71" s="71">
        <f>(O71+P71+Q71)*G94</f>
        <v>2892220.2649713908</v>
      </c>
      <c r="L71" s="31">
        <v>1375</v>
      </c>
      <c r="M71" s="75">
        <f t="shared" si="21"/>
        <v>1122000</v>
      </c>
      <c r="N71" s="26"/>
      <c r="O71" s="28">
        <v>2797473</v>
      </c>
      <c r="P71" s="28"/>
      <c r="Q71" s="28"/>
      <c r="R71" s="28"/>
      <c r="S71" s="28">
        <f>-50054.9-160126.1</f>
        <v>-210181</v>
      </c>
      <c r="T71" s="28">
        <f>694855.43</f>
        <v>694855.43</v>
      </c>
      <c r="U71" s="28">
        <f>2549923.18</f>
        <v>2549923.1800000002</v>
      </c>
      <c r="V71" s="28"/>
      <c r="W71" s="28"/>
      <c r="X71" s="49">
        <f t="shared" si="24"/>
        <v>417876.25000000006</v>
      </c>
      <c r="Y71" s="49"/>
      <c r="Z71" s="49"/>
    </row>
    <row r="72" spans="1:26" x14ac:dyDescent="0.25">
      <c r="B72" s="26">
        <v>6</v>
      </c>
      <c r="C72" s="26" t="s">
        <v>30</v>
      </c>
      <c r="D72" s="55"/>
      <c r="E72" s="59">
        <v>201.6</v>
      </c>
      <c r="F72" s="30">
        <v>235.24</v>
      </c>
      <c r="G72" s="26">
        <v>235.24</v>
      </c>
      <c r="H72" s="28">
        <f t="shared" si="22"/>
        <v>14102638</v>
      </c>
      <c r="I72" s="28">
        <f t="shared" si="23"/>
        <v>14102638</v>
      </c>
      <c r="J72" s="28"/>
      <c r="K72" s="71">
        <f>(O72+P72+Q72)*G94</f>
        <v>14018891.827787863</v>
      </c>
      <c r="L72" s="28">
        <v>59950</v>
      </c>
      <c r="M72" s="32">
        <f>G72*L72</f>
        <v>14102638</v>
      </c>
      <c r="N72" s="26"/>
      <c r="O72" s="28">
        <v>10859995</v>
      </c>
      <c r="P72" s="28"/>
      <c r="Q72" s="28">
        <v>2699647</v>
      </c>
      <c r="R72" s="28"/>
      <c r="S72" s="28"/>
      <c r="T72" s="28">
        <f>147632.24+171535+92615.7+162166+203944.73</f>
        <v>777893.66999999993</v>
      </c>
      <c r="U72" s="28"/>
      <c r="V72" s="28"/>
      <c r="W72" s="28"/>
      <c r="X72" s="49">
        <f t="shared" si="24"/>
        <v>14102638</v>
      </c>
      <c r="Y72" s="49"/>
      <c r="Z72" s="49"/>
    </row>
    <row r="73" spans="1:26" x14ac:dyDescent="0.25">
      <c r="B73" s="26"/>
      <c r="C73" s="26" t="s">
        <v>13</v>
      </c>
      <c r="D73" s="55"/>
      <c r="E73" s="30"/>
      <c r="F73" s="63"/>
      <c r="G73" s="26"/>
      <c r="H73" s="28">
        <f>SUM(H67:H72)</f>
        <v>68960113.75</v>
      </c>
      <c r="I73" s="28">
        <f>SUM(I67:I72)</f>
        <v>68960113.75</v>
      </c>
      <c r="J73" s="28"/>
      <c r="K73" s="71">
        <f>SUM(K67:K72)</f>
        <v>155462851.44819099</v>
      </c>
      <c r="L73" s="28"/>
      <c r="M73" s="32">
        <f t="shared" si="21"/>
        <v>0</v>
      </c>
      <c r="N73" s="26"/>
      <c r="O73" s="28"/>
      <c r="P73" s="28"/>
      <c r="Q73" s="28"/>
      <c r="R73" s="28">
        <f>SUM(R67:R72)</f>
        <v>-153053.20000000001</v>
      </c>
      <c r="S73" s="28">
        <f t="shared" ref="S73:U73" si="25">SUM(S67:S72)</f>
        <v>-3566659.5700000003</v>
      </c>
      <c r="T73" s="28">
        <f t="shared" si="25"/>
        <v>11807820</v>
      </c>
      <c r="U73" s="28">
        <f t="shared" si="25"/>
        <v>3200782.0200000005</v>
      </c>
      <c r="V73" s="119">
        <f>SUM(R73:U73)</f>
        <v>11288889.25</v>
      </c>
      <c r="W73" s="28"/>
      <c r="X73" s="49">
        <f>SUM(X67:X72)</f>
        <v>68960113.75</v>
      </c>
      <c r="Y73" s="49"/>
      <c r="Z73" s="49"/>
    </row>
    <row r="74" spans="1:26" x14ac:dyDescent="0.25">
      <c r="B74" s="25"/>
      <c r="C74" s="25"/>
      <c r="D74" s="48"/>
      <c r="E74" s="50"/>
      <c r="F74" s="94"/>
      <c r="G74" s="25"/>
      <c r="H74" s="49"/>
      <c r="I74" s="49"/>
      <c r="J74" s="49"/>
      <c r="K74" s="49"/>
      <c r="L74" s="57"/>
      <c r="M74" s="25"/>
      <c r="N74" s="49"/>
      <c r="O74" s="49"/>
      <c r="P74" s="49"/>
      <c r="Q74" s="49"/>
      <c r="R74" s="49">
        <f>R73*S86</f>
        <v>-157122.27319408808</v>
      </c>
      <c r="S74" s="49">
        <f>S73*S86</f>
        <v>-3661482.8004108947</v>
      </c>
      <c r="T74" s="49">
        <f>T73*S86</f>
        <v>12121742.765695961</v>
      </c>
      <c r="U74" s="49">
        <f>U73*S86</f>
        <v>3285878.0279090223</v>
      </c>
      <c r="V74" s="118">
        <f>SUM(R74:U74)</f>
        <v>11589015.720000001</v>
      </c>
      <c r="W74" s="49"/>
      <c r="X74" s="49"/>
      <c r="Y74" s="49"/>
      <c r="Z74" s="49"/>
    </row>
    <row r="75" spans="1:26" x14ac:dyDescent="0.25">
      <c r="B75" s="25"/>
      <c r="C75" s="25"/>
      <c r="D75" s="48"/>
      <c r="E75" s="50"/>
      <c r="F75" s="50"/>
      <c r="G75" s="25"/>
      <c r="H75" s="49"/>
      <c r="I75" s="49"/>
      <c r="J75" s="49"/>
      <c r="K75" s="49"/>
      <c r="L75" s="57"/>
      <c r="M75" s="25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6" x14ac:dyDescent="0.25">
      <c r="B76" s="26">
        <v>7</v>
      </c>
      <c r="C76" s="26" t="s">
        <v>35</v>
      </c>
      <c r="D76" s="58"/>
      <c r="E76" s="59"/>
      <c r="F76" s="59">
        <v>110</v>
      </c>
      <c r="G76" s="26"/>
      <c r="H76" s="28"/>
      <c r="I76" s="28"/>
      <c r="J76" s="28"/>
      <c r="K76" s="71">
        <f>(O76+P76+Q76)*G102</f>
        <v>0</v>
      </c>
      <c r="L76" s="28"/>
      <c r="M76" s="32">
        <f t="shared" si="21"/>
        <v>0</v>
      </c>
      <c r="N76" s="26"/>
      <c r="O76" s="28"/>
      <c r="P76" s="28"/>
      <c r="Q76" s="28"/>
      <c r="R76" s="28"/>
      <c r="S76" s="28"/>
      <c r="T76" s="28"/>
      <c r="U76" s="28"/>
      <c r="V76" s="28"/>
      <c r="W76" s="28"/>
      <c r="X76" s="49"/>
      <c r="Y76" s="49"/>
    </row>
    <row r="77" spans="1:26" x14ac:dyDescent="0.25">
      <c r="B77" s="26"/>
      <c r="C77" s="26" t="s">
        <v>34</v>
      </c>
      <c r="D77" s="58"/>
      <c r="E77" s="59"/>
      <c r="F77" s="59">
        <v>235.24</v>
      </c>
      <c r="G77" s="26">
        <v>235.24</v>
      </c>
      <c r="H77" s="28">
        <f>H17</f>
        <v>8151066</v>
      </c>
      <c r="I77" s="28">
        <f>G77*L77</f>
        <v>8151066</v>
      </c>
      <c r="J77" s="28"/>
      <c r="K77" s="71">
        <f>(O77+P77+Q77)*G91</f>
        <v>8099269.7269305093</v>
      </c>
      <c r="L77" s="28">
        <v>34650</v>
      </c>
      <c r="M77" s="32">
        <f>G77*L77</f>
        <v>8151066</v>
      </c>
      <c r="N77" s="26"/>
      <c r="O77" s="28"/>
      <c r="P77" s="28"/>
      <c r="Q77" s="28">
        <v>7828284</v>
      </c>
      <c r="R77" s="28"/>
      <c r="S77" s="28"/>
      <c r="T77" s="120">
        <f>'[1]Rekapitulace stavby'!$CL$99</f>
        <v>48613.016474171054</v>
      </c>
      <c r="U77" s="120">
        <f>'[1]Rekapitulace stavby'!$CM$118</f>
        <v>276540.00428144966</v>
      </c>
      <c r="V77" s="28"/>
      <c r="W77" s="28"/>
      <c r="X77" s="49">
        <f>G77*L77</f>
        <v>8151066</v>
      </c>
      <c r="Y77" s="49"/>
      <c r="Z77" s="49"/>
    </row>
    <row r="78" spans="1:26" x14ac:dyDescent="0.25">
      <c r="B78" s="26"/>
      <c r="C78" s="26" t="s">
        <v>103</v>
      </c>
      <c r="D78" s="26"/>
      <c r="E78" s="26"/>
      <c r="F78" s="26"/>
      <c r="G78" s="26"/>
      <c r="H78" s="28"/>
      <c r="I78" s="28"/>
      <c r="J78" s="28"/>
      <c r="K78" s="71">
        <f>-(Y39+Y49+Y61)*G91</f>
        <v>710182.31137620553</v>
      </c>
      <c r="L78" s="26"/>
      <c r="M78" s="26"/>
      <c r="N78" s="26"/>
      <c r="O78" s="28"/>
      <c r="P78" s="28"/>
      <c r="Q78" s="28"/>
      <c r="R78" s="28"/>
      <c r="S78" s="28"/>
      <c r="T78" s="28"/>
      <c r="U78" s="28"/>
      <c r="V78" s="28"/>
      <c r="W78" s="28"/>
      <c r="X78" s="49"/>
      <c r="Y78" s="49"/>
      <c r="Z78" s="49"/>
    </row>
    <row r="79" spans="1:26" ht="15.75" thickBot="1" x14ac:dyDescent="0.3">
      <c r="B79" s="26"/>
      <c r="C79" s="26" t="s">
        <v>13</v>
      </c>
      <c r="D79" s="26"/>
      <c r="E79" s="26"/>
      <c r="F79" s="26"/>
      <c r="G79" s="26"/>
      <c r="H79" s="112"/>
      <c r="I79" s="28"/>
      <c r="J79" s="117"/>
      <c r="K79" s="115">
        <f>SUM(K77:K78)</f>
        <v>8809452.038306715</v>
      </c>
      <c r="L79" s="26"/>
      <c r="M79" s="26"/>
      <c r="N79" s="26"/>
      <c r="O79" s="28"/>
      <c r="P79" s="28"/>
      <c r="Q79" s="28"/>
      <c r="R79" s="28"/>
      <c r="S79" s="28"/>
      <c r="T79" s="28"/>
      <c r="U79" s="28"/>
      <c r="V79" s="28"/>
      <c r="W79" s="28"/>
      <c r="X79" s="49"/>
      <c r="Y79" s="49"/>
      <c r="Z79" s="49"/>
    </row>
    <row r="80" spans="1:26" ht="15.75" thickBot="1" x14ac:dyDescent="0.3">
      <c r="C80" s="24" t="s">
        <v>116</v>
      </c>
      <c r="H80" s="114">
        <f>H29+H39+H51+H61+H73+H77</f>
        <v>141338176.65000001</v>
      </c>
      <c r="I80" s="32">
        <f>I29+I39+I51+I61+I73+I77</f>
        <v>141338176.65000001</v>
      </c>
      <c r="J80" s="57"/>
      <c r="X80" s="103">
        <f>X29+X39+X51+X61+X73+X77</f>
        <v>141338176.65000001</v>
      </c>
      <c r="Y80" s="49"/>
      <c r="Z80" s="49"/>
    </row>
    <row r="81" spans="3:24" x14ac:dyDescent="0.25">
      <c r="U81" s="103">
        <f>T23+S24+T25+U24+S43+S44+T44+U43+T45+S49+S56+U56+U57+T77+U77+T48+U25+U44+U45</f>
        <v>-220506.03867337739</v>
      </c>
    </row>
    <row r="83" spans="3:24" x14ac:dyDescent="0.25">
      <c r="C83" s="24" t="s">
        <v>63</v>
      </c>
      <c r="D83" s="45"/>
      <c r="E83" s="45" t="s">
        <v>63</v>
      </c>
      <c r="F83" s="45" t="s">
        <v>93</v>
      </c>
      <c r="G83" s="45"/>
      <c r="H83" s="49"/>
      <c r="I83" s="49"/>
      <c r="J83" s="49"/>
      <c r="K83" s="45"/>
      <c r="L83" s="24" t="s">
        <v>131</v>
      </c>
    </row>
    <row r="84" spans="3:24" ht="15.75" thickBot="1" x14ac:dyDescent="0.3">
      <c r="C84" s="45" t="s">
        <v>19</v>
      </c>
      <c r="E84" s="45">
        <v>166950</v>
      </c>
      <c r="F84" s="45">
        <f>11998785-E84</f>
        <v>11831835</v>
      </c>
      <c r="G84" s="60">
        <f>E84/F84</f>
        <v>1.4110237338502439E-2</v>
      </c>
      <c r="H84" s="49"/>
      <c r="I84" s="49"/>
      <c r="J84" s="49"/>
      <c r="K84" s="45"/>
      <c r="M84" s="45">
        <v>730683</v>
      </c>
      <c r="N84" s="45">
        <v>-537378</v>
      </c>
      <c r="X84" s="103">
        <f>X23+X33+X43+X55+X67</f>
        <v>45475006.5</v>
      </c>
    </row>
    <row r="85" spans="3:24" ht="15.75" thickBot="1" x14ac:dyDescent="0.3">
      <c r="C85" s="45" t="s">
        <v>73</v>
      </c>
      <c r="E85" s="45"/>
      <c r="F85" s="45"/>
      <c r="G85" s="76">
        <f>G84+1</f>
        <v>1.0141102373385025</v>
      </c>
      <c r="H85" s="49"/>
      <c r="I85" s="49"/>
      <c r="J85" s="49"/>
      <c r="K85" s="45"/>
      <c r="M85" s="45">
        <v>135798</v>
      </c>
      <c r="N85" s="45">
        <v>-507682</v>
      </c>
      <c r="R85" s="24" t="s">
        <v>63</v>
      </c>
      <c r="S85" s="24">
        <v>300126.46999999997</v>
      </c>
    </row>
    <row r="86" spans="3:24" x14ac:dyDescent="0.25">
      <c r="C86" s="45"/>
      <c r="E86" s="45"/>
      <c r="F86" s="45"/>
      <c r="G86" s="60"/>
      <c r="H86" s="49"/>
      <c r="I86" s="49"/>
      <c r="J86" s="49"/>
      <c r="K86" s="45"/>
      <c r="M86" s="45">
        <v>389741.5</v>
      </c>
      <c r="N86" s="45"/>
      <c r="R86" s="24" t="s">
        <v>12</v>
      </c>
      <c r="S86" s="24">
        <f>11589015.72/11288889.25</f>
        <v>1.0265860053503493</v>
      </c>
    </row>
    <row r="87" spans="3:24" x14ac:dyDescent="0.25">
      <c r="C87" s="45" t="s">
        <v>9</v>
      </c>
      <c r="E87" s="45">
        <v>1035246</v>
      </c>
      <c r="F87" s="45">
        <v>27625981</v>
      </c>
      <c r="G87" s="60">
        <f>E87/F87</f>
        <v>3.7473637587747563E-2</v>
      </c>
      <c r="H87" s="49"/>
      <c r="I87" s="49"/>
      <c r="J87" s="49"/>
      <c r="K87" s="45"/>
      <c r="L87" s="24" t="s">
        <v>13</v>
      </c>
      <c r="M87" s="45">
        <f>SUM(M84:M86)</f>
        <v>1256222.5</v>
      </c>
      <c r="N87" s="45">
        <f>SUM(N84:N86)</f>
        <v>-1045060</v>
      </c>
      <c r="O87" s="61"/>
    </row>
    <row r="88" spans="3:24" x14ac:dyDescent="0.25">
      <c r="C88" s="45" t="s">
        <v>10</v>
      </c>
      <c r="E88" s="45">
        <v>1781276</v>
      </c>
      <c r="F88" s="45">
        <v>59394724</v>
      </c>
      <c r="G88" s="60">
        <f>E88/F88</f>
        <v>2.9990475248272894E-2</v>
      </c>
      <c r="H88" s="49"/>
      <c r="I88" s="49"/>
      <c r="J88" s="49"/>
      <c r="K88" s="45"/>
      <c r="M88" s="45"/>
      <c r="N88" s="45"/>
    </row>
    <row r="89" spans="3:24" x14ac:dyDescent="0.25">
      <c r="C89" s="45" t="s">
        <v>11</v>
      </c>
      <c r="E89" s="45">
        <v>1026601</v>
      </c>
      <c r="F89" s="45">
        <v>28215265</v>
      </c>
      <c r="G89" s="60">
        <f>E89/F89</f>
        <v>3.6384595359993964E-2</v>
      </c>
      <c r="H89" s="49"/>
      <c r="I89" s="49"/>
      <c r="J89" s="49"/>
      <c r="K89" s="45"/>
    </row>
    <row r="90" spans="3:24" ht="15.75" thickBot="1" x14ac:dyDescent="0.3">
      <c r="C90" s="45" t="s">
        <v>64</v>
      </c>
      <c r="E90" s="45">
        <f>SUM(E87:E89)</f>
        <v>3843123</v>
      </c>
      <c r="F90" s="45">
        <f>SUM(F87:F89)-E90</f>
        <v>111392847</v>
      </c>
      <c r="G90" s="60">
        <f>SUM(G87:G89)/3</f>
        <v>3.4616236065338139E-2</v>
      </c>
      <c r="H90" s="49"/>
      <c r="I90" s="49"/>
      <c r="J90" s="49"/>
      <c r="K90" s="45"/>
    </row>
    <row r="91" spans="3:24" ht="15.75" thickBot="1" x14ac:dyDescent="0.3">
      <c r="C91" s="45" t="s">
        <v>73</v>
      </c>
      <c r="E91" s="45"/>
      <c r="F91" s="45"/>
      <c r="G91" s="76">
        <f>G90+1</f>
        <v>1.0346162360653381</v>
      </c>
      <c r="H91" s="49"/>
      <c r="I91" s="49"/>
      <c r="J91" s="49"/>
      <c r="K91" s="45"/>
    </row>
    <row r="92" spans="3:24" x14ac:dyDescent="0.25">
      <c r="C92" s="45"/>
      <c r="E92" s="45"/>
      <c r="F92" s="45"/>
      <c r="G92" s="60"/>
      <c r="H92" s="49"/>
      <c r="I92" s="49"/>
      <c r="J92" s="49"/>
      <c r="K92" s="45"/>
    </row>
    <row r="93" spans="3:24" ht="15.75" thickBot="1" x14ac:dyDescent="0.3">
      <c r="C93" s="45" t="s">
        <v>12</v>
      </c>
      <c r="E93" s="45">
        <v>5172026</v>
      </c>
      <c r="F93" s="45">
        <f>157879369-E93</f>
        <v>152707343</v>
      </c>
      <c r="G93" s="60">
        <f>E93/F93</f>
        <v>3.386887557856337E-2</v>
      </c>
      <c r="H93" s="49"/>
      <c r="I93" s="49"/>
      <c r="J93" s="49"/>
      <c r="K93" s="45"/>
    </row>
    <row r="94" spans="3:24" ht="15.75" thickBot="1" x14ac:dyDescent="0.3">
      <c r="C94" s="45" t="s">
        <v>73</v>
      </c>
      <c r="E94" s="45"/>
      <c r="F94" s="45"/>
      <c r="G94" s="76">
        <f>1+G93</f>
        <v>1.0338688755785634</v>
      </c>
      <c r="H94" s="49"/>
      <c r="I94" s="49"/>
      <c r="J94" s="49"/>
      <c r="K94" s="45"/>
    </row>
    <row r="95" spans="3:24" x14ac:dyDescent="0.25">
      <c r="D95" s="45"/>
      <c r="E95" s="45"/>
      <c r="F95" s="45"/>
      <c r="G95" s="45"/>
      <c r="H95" s="49"/>
      <c r="I95" s="49"/>
      <c r="J95" s="49"/>
      <c r="K95" s="45"/>
    </row>
    <row r="96" spans="3:24" x14ac:dyDescent="0.25">
      <c r="D96" s="45"/>
      <c r="E96" s="45"/>
      <c r="F96" s="45"/>
    </row>
    <row r="98" spans="2:14" x14ac:dyDescent="0.25">
      <c r="B98" s="85"/>
      <c r="C98" s="85"/>
      <c r="D98" s="109"/>
      <c r="E98" s="109"/>
      <c r="F98" s="85"/>
      <c r="G98" s="85"/>
      <c r="H98" s="87"/>
      <c r="I98" s="87"/>
      <c r="J98" s="87"/>
      <c r="K98" s="85"/>
      <c r="L98" s="85"/>
      <c r="M98" s="85"/>
      <c r="N98" s="85"/>
    </row>
    <row r="99" spans="2:14" x14ac:dyDescent="0.25">
      <c r="B99" s="110"/>
      <c r="C99" s="110"/>
      <c r="D99" s="110"/>
      <c r="E99" s="110"/>
      <c r="F99" s="110"/>
      <c r="G99" s="85"/>
      <c r="H99" s="87"/>
      <c r="I99" s="87"/>
      <c r="J99" s="87"/>
      <c r="K99" s="85"/>
      <c r="L99" s="85"/>
      <c r="M99" s="85"/>
      <c r="N99" s="85"/>
    </row>
    <row r="100" spans="2:14" x14ac:dyDescent="0.25">
      <c r="B100" s="85"/>
      <c r="C100" s="111"/>
      <c r="D100" s="111" t="s">
        <v>136</v>
      </c>
      <c r="E100" s="111"/>
      <c r="F100" s="111" t="s">
        <v>138</v>
      </c>
      <c r="G100" s="111" t="s">
        <v>139</v>
      </c>
      <c r="H100" s="111" t="s">
        <v>145</v>
      </c>
      <c r="I100" s="111"/>
      <c r="J100" s="111"/>
      <c r="K100" s="111" t="s">
        <v>146</v>
      </c>
      <c r="L100" s="111" t="s">
        <v>144</v>
      </c>
      <c r="M100" s="111" t="s">
        <v>143</v>
      </c>
      <c r="N100" s="85"/>
    </row>
    <row r="101" spans="2:14" x14ac:dyDescent="0.25">
      <c r="B101" s="85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85"/>
    </row>
    <row r="102" spans="2:14" x14ac:dyDescent="0.25">
      <c r="B102" s="85"/>
      <c r="C102" s="111" t="s">
        <v>133</v>
      </c>
      <c r="D102" s="111" t="s">
        <v>71</v>
      </c>
      <c r="E102" s="71"/>
      <c r="F102" s="71">
        <f>K72</f>
        <v>14018891.827787863</v>
      </c>
      <c r="G102" s="71"/>
      <c r="H102" s="71"/>
      <c r="I102" s="71"/>
      <c r="J102" s="71"/>
      <c r="K102" s="71">
        <f>F102-M102</f>
        <v>-83746.172212136909</v>
      </c>
      <c r="L102" s="71"/>
      <c r="M102" s="71">
        <f>H72</f>
        <v>14102638</v>
      </c>
      <c r="N102" s="110"/>
    </row>
    <row r="103" spans="2:14" x14ac:dyDescent="0.25">
      <c r="B103" s="85"/>
      <c r="C103" s="111"/>
      <c r="D103" s="111" t="s">
        <v>70</v>
      </c>
      <c r="E103" s="71"/>
      <c r="F103" s="71">
        <f>K71</f>
        <v>2892220.2649713908</v>
      </c>
      <c r="G103" s="71"/>
      <c r="H103" s="71"/>
      <c r="I103" s="71"/>
      <c r="J103" s="71"/>
      <c r="K103" s="71">
        <f t="shared" ref="K103:K106" si="26">F103-M103</f>
        <v>2474344.0149713908</v>
      </c>
      <c r="L103" s="71"/>
      <c r="M103" s="71">
        <f>H71</f>
        <v>417876.25000000006</v>
      </c>
      <c r="N103" s="110"/>
    </row>
    <row r="104" spans="2:14" x14ac:dyDescent="0.25">
      <c r="B104" s="85"/>
      <c r="C104" s="111"/>
      <c r="D104" s="111" t="s">
        <v>69</v>
      </c>
      <c r="E104" s="71"/>
      <c r="F104" s="71">
        <f>K70</f>
        <v>5797267.7410820844</v>
      </c>
      <c r="G104" s="71"/>
      <c r="H104" s="71"/>
      <c r="I104" s="71"/>
      <c r="J104" s="71"/>
      <c r="K104" s="71">
        <f t="shared" si="26"/>
        <v>197141.34108208492</v>
      </c>
      <c r="L104" s="71"/>
      <c r="M104" s="71">
        <f>H70</f>
        <v>5600126.3999999994</v>
      </c>
      <c r="N104" s="110"/>
    </row>
    <row r="105" spans="2:14" x14ac:dyDescent="0.25">
      <c r="B105" s="85"/>
      <c r="C105" s="111"/>
      <c r="D105" s="111" t="s">
        <v>67</v>
      </c>
      <c r="E105" s="71"/>
      <c r="F105" s="71">
        <f>AC24</f>
        <v>132754471.61434962</v>
      </c>
      <c r="G105" s="71"/>
      <c r="H105" s="71"/>
      <c r="I105" s="71"/>
      <c r="J105" s="71"/>
      <c r="K105" s="71">
        <f t="shared" si="26"/>
        <v>83914998.514349625</v>
      </c>
      <c r="L105" s="71"/>
      <c r="M105" s="71">
        <f>H67+H68+H69</f>
        <v>48839473.099999994</v>
      </c>
      <c r="N105" s="110"/>
    </row>
    <row r="106" spans="2:14" x14ac:dyDescent="0.25">
      <c r="B106" s="85"/>
      <c r="C106" s="111"/>
      <c r="D106" s="111" t="s">
        <v>139</v>
      </c>
      <c r="E106" s="71"/>
      <c r="F106" s="71">
        <f>E107-F102-F103-F104-F105</f>
        <v>23705969.241809025</v>
      </c>
      <c r="G106" s="71"/>
      <c r="H106" s="71"/>
      <c r="I106" s="71"/>
      <c r="J106" s="71"/>
      <c r="K106" s="71">
        <f t="shared" si="26"/>
        <v>23705969.241809025</v>
      </c>
      <c r="L106" s="71"/>
      <c r="M106" s="71"/>
      <c r="N106" s="110"/>
    </row>
    <row r="107" spans="2:14" x14ac:dyDescent="0.25">
      <c r="B107" s="85"/>
      <c r="C107" s="111"/>
      <c r="D107" s="111" t="s">
        <v>13</v>
      </c>
      <c r="E107" s="71">
        <f>AD5</f>
        <v>179168820.69</v>
      </c>
      <c r="F107" s="71"/>
      <c r="G107" s="71"/>
      <c r="H107" s="71">
        <f>E107-L107</f>
        <v>110208706.94</v>
      </c>
      <c r="I107" s="71"/>
      <c r="J107" s="71"/>
      <c r="K107" s="71"/>
      <c r="L107" s="71">
        <f>M102+M103+M104+M105</f>
        <v>68960113.75</v>
      </c>
      <c r="M107" s="71"/>
      <c r="N107" s="110"/>
    </row>
    <row r="108" spans="2:14" x14ac:dyDescent="0.25">
      <c r="B108" s="85"/>
      <c r="C108" s="111"/>
      <c r="D108" s="111"/>
      <c r="E108" s="71"/>
      <c r="F108" s="71"/>
      <c r="G108" s="71"/>
      <c r="H108" s="71"/>
      <c r="I108" s="71"/>
      <c r="J108" s="71"/>
      <c r="K108" s="71"/>
      <c r="L108" s="71"/>
      <c r="M108" s="71"/>
      <c r="N108" s="110"/>
    </row>
    <row r="109" spans="2:14" x14ac:dyDescent="0.25">
      <c r="B109" s="85"/>
      <c r="C109" s="111" t="s">
        <v>134</v>
      </c>
      <c r="D109" s="111" t="s">
        <v>72</v>
      </c>
      <c r="E109" s="71"/>
      <c r="F109" s="71">
        <f>AG23</f>
        <v>8809452.038306715</v>
      </c>
      <c r="G109" s="71"/>
      <c r="H109" s="71"/>
      <c r="I109" s="71"/>
      <c r="J109" s="71"/>
      <c r="K109" s="71">
        <f>F109-M109</f>
        <v>658386.03830671497</v>
      </c>
      <c r="L109" s="71"/>
      <c r="M109" s="71">
        <f>H77</f>
        <v>8151066</v>
      </c>
      <c r="N109" s="110"/>
    </row>
    <row r="110" spans="2:14" x14ac:dyDescent="0.25">
      <c r="B110" s="85"/>
      <c r="C110" s="111"/>
      <c r="D110" s="111" t="s">
        <v>71</v>
      </c>
      <c r="E110" s="71"/>
      <c r="F110" s="71">
        <f>K38+K48+K60</f>
        <v>9073972.3713815399</v>
      </c>
      <c r="G110" s="71"/>
      <c r="H110" s="71"/>
      <c r="I110" s="71"/>
      <c r="J110" s="71"/>
      <c r="K110" s="71">
        <f t="shared" ref="K110:K114" si="27">F110-M110</f>
        <v>9073972.3713815399</v>
      </c>
      <c r="L110" s="71"/>
      <c r="M110" s="71"/>
      <c r="N110" s="110"/>
    </row>
    <row r="111" spans="2:14" x14ac:dyDescent="0.25">
      <c r="B111" s="85"/>
      <c r="C111" s="111"/>
      <c r="D111" s="111" t="s">
        <v>70</v>
      </c>
      <c r="E111" s="71"/>
      <c r="F111" s="71">
        <f>K37+K47+K59</f>
        <v>5836650.9264194444</v>
      </c>
      <c r="G111" s="71"/>
      <c r="H111" s="71"/>
      <c r="I111" s="71"/>
      <c r="J111" s="71"/>
      <c r="K111" s="71">
        <f t="shared" si="27"/>
        <v>2405159.6764194444</v>
      </c>
      <c r="L111" s="71"/>
      <c r="M111" s="71">
        <f>H37+H47+H59</f>
        <v>3431491.25</v>
      </c>
      <c r="N111" s="110"/>
    </row>
    <row r="112" spans="2:14" x14ac:dyDescent="0.25">
      <c r="B112" s="85"/>
      <c r="C112" s="111"/>
      <c r="D112" s="111" t="s">
        <v>67</v>
      </c>
      <c r="E112" s="71"/>
      <c r="F112" s="71">
        <f>AC23</f>
        <v>73400783.686832547</v>
      </c>
      <c r="G112" s="71"/>
      <c r="H112" s="71"/>
      <c r="I112" s="71"/>
      <c r="J112" s="71"/>
      <c r="K112" s="71">
        <f t="shared" si="27"/>
        <v>25767682.786832549</v>
      </c>
      <c r="L112" s="71"/>
      <c r="M112" s="71">
        <f>H33+H34+H35+H43+H44+H45+H55+H56+H57</f>
        <v>47633100.899999999</v>
      </c>
      <c r="N112" s="110"/>
    </row>
    <row r="113" spans="2:28" x14ac:dyDescent="0.25">
      <c r="B113" s="85"/>
      <c r="C113" s="111"/>
      <c r="D113" s="111" t="s">
        <v>139</v>
      </c>
      <c r="E113" s="71">
        <f>AD6</f>
        <v>122532316.11</v>
      </c>
      <c r="F113" s="71">
        <f>E113-F109-F110-F111-F112+E114</f>
        <v>24140216.627059765</v>
      </c>
      <c r="G113" s="71"/>
      <c r="H113" s="71"/>
      <c r="I113" s="71"/>
      <c r="J113" s="71"/>
      <c r="K113" s="71">
        <f t="shared" si="27"/>
        <v>24140216.627059765</v>
      </c>
      <c r="L113" s="71"/>
      <c r="M113" s="71"/>
      <c r="N113" s="110"/>
    </row>
    <row r="114" spans="2:28" x14ac:dyDescent="0.25">
      <c r="B114" s="85"/>
      <c r="C114" s="111"/>
      <c r="D114" s="111" t="s">
        <v>140</v>
      </c>
      <c r="E114" s="71">
        <f>AD11</f>
        <v>-1271240.46</v>
      </c>
      <c r="F114" s="71"/>
      <c r="G114" s="71"/>
      <c r="H114" s="71"/>
      <c r="I114" s="71"/>
      <c r="J114" s="71"/>
      <c r="K114" s="71">
        <f t="shared" si="27"/>
        <v>0</v>
      </c>
      <c r="L114" s="71"/>
      <c r="M114" s="71"/>
      <c r="N114" s="110" t="s">
        <v>141</v>
      </c>
    </row>
    <row r="115" spans="2:28" x14ac:dyDescent="0.25">
      <c r="B115" s="85"/>
      <c r="C115" s="111"/>
      <c r="D115" s="111" t="s">
        <v>13</v>
      </c>
      <c r="E115" s="71"/>
      <c r="F115" s="71"/>
      <c r="G115" s="71"/>
      <c r="H115" s="71">
        <f>E113-L115</f>
        <v>63316657.960000001</v>
      </c>
      <c r="I115" s="71"/>
      <c r="J115" s="71"/>
      <c r="K115" s="71"/>
      <c r="L115" s="71">
        <f>M109+M111+M112</f>
        <v>59215658.149999999</v>
      </c>
      <c r="M115" s="71"/>
      <c r="N115" s="110"/>
    </row>
    <row r="116" spans="2:28" x14ac:dyDescent="0.25">
      <c r="B116" s="85"/>
      <c r="C116" s="111"/>
      <c r="D116" s="111"/>
      <c r="E116" s="71"/>
      <c r="F116" s="71"/>
      <c r="G116" s="71"/>
      <c r="H116" s="71"/>
      <c r="I116" s="71"/>
      <c r="J116" s="71"/>
      <c r="K116" s="71"/>
      <c r="L116" s="71"/>
      <c r="M116" s="71"/>
      <c r="N116" s="110"/>
    </row>
    <row r="117" spans="2:28" x14ac:dyDescent="0.25">
      <c r="B117" s="85"/>
      <c r="C117" s="111"/>
      <c r="D117" s="111"/>
      <c r="E117" s="71"/>
      <c r="F117" s="71"/>
      <c r="G117" s="71"/>
      <c r="H117" s="71"/>
      <c r="I117" s="71"/>
      <c r="J117" s="71"/>
      <c r="K117" s="71"/>
      <c r="L117" s="71"/>
      <c r="M117" s="71"/>
      <c r="N117" s="110"/>
    </row>
    <row r="118" spans="2:28" x14ac:dyDescent="0.25">
      <c r="B118" s="85"/>
      <c r="C118" s="111" t="s">
        <v>135</v>
      </c>
      <c r="D118" s="111" t="s">
        <v>70</v>
      </c>
      <c r="E118" s="71"/>
      <c r="F118" s="71">
        <f>AE21</f>
        <v>401551.14601750282</v>
      </c>
      <c r="G118" s="71"/>
      <c r="H118" s="71"/>
      <c r="I118" s="71"/>
      <c r="J118" s="71"/>
      <c r="K118" s="71">
        <f>F118-M118</f>
        <v>-504312.60398249706</v>
      </c>
      <c r="L118" s="71"/>
      <c r="M118" s="71">
        <f>H27</f>
        <v>905863.74999999988</v>
      </c>
      <c r="N118" s="110"/>
    </row>
    <row r="119" spans="2:28" x14ac:dyDescent="0.25">
      <c r="B119" s="85"/>
      <c r="C119" s="111"/>
      <c r="D119" s="111" t="s">
        <v>67</v>
      </c>
      <c r="E119" s="71"/>
      <c r="F119" s="71">
        <f>AC21</f>
        <v>10594424.861128896</v>
      </c>
      <c r="G119" s="71"/>
      <c r="H119" s="71"/>
      <c r="I119" s="71"/>
      <c r="J119" s="71"/>
      <c r="K119" s="71">
        <f>F119-M119</f>
        <v>-1662116.1388711035</v>
      </c>
      <c r="L119" s="71"/>
      <c r="M119" s="71">
        <f>H23+H24+H25</f>
        <v>12256541</v>
      </c>
      <c r="N119" s="110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 spans="2:28" x14ac:dyDescent="0.25">
      <c r="B120" s="85"/>
      <c r="C120" s="111"/>
      <c r="D120" s="111" t="s">
        <v>139</v>
      </c>
      <c r="E120" s="71"/>
      <c r="F120" s="71">
        <f>AD7-F118-F119</f>
        <v>3731358.9928536005</v>
      </c>
      <c r="G120" s="71"/>
      <c r="H120" s="71"/>
      <c r="I120" s="71"/>
      <c r="J120" s="71"/>
      <c r="K120" s="71">
        <f>F120-M120</f>
        <v>3731358.9928536005</v>
      </c>
      <c r="L120" s="71"/>
      <c r="M120" s="71"/>
      <c r="N120" s="110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 spans="2:28" x14ac:dyDescent="0.25">
      <c r="B121" s="85"/>
      <c r="C121" s="111"/>
      <c r="D121" s="111" t="s">
        <v>53</v>
      </c>
      <c r="E121" s="71">
        <f>F118+F119+F120</f>
        <v>14727335</v>
      </c>
      <c r="F121" s="71"/>
      <c r="G121" s="71"/>
      <c r="H121" s="71">
        <f>E121-L121</f>
        <v>1564930.25</v>
      </c>
      <c r="I121" s="71"/>
      <c r="J121" s="71"/>
      <c r="K121" s="71"/>
      <c r="L121" s="71">
        <f>M118+M119</f>
        <v>13162404.75</v>
      </c>
      <c r="M121" s="71"/>
      <c r="N121" s="110"/>
      <c r="O121" s="45"/>
      <c r="P121" s="45"/>
      <c r="Q121" s="45"/>
      <c r="R121" s="45"/>
      <c r="S121" s="45"/>
      <c r="T121" s="45"/>
      <c r="U121" s="45"/>
      <c r="V121" s="45"/>
      <c r="W121" s="45"/>
      <c r="X121" s="45"/>
    </row>
    <row r="122" spans="2:28" x14ac:dyDescent="0.25">
      <c r="B122" s="85"/>
      <c r="C122" s="111"/>
      <c r="D122" s="111"/>
      <c r="E122" s="71"/>
      <c r="F122" s="71"/>
      <c r="G122" s="71"/>
      <c r="H122" s="71"/>
      <c r="I122" s="71"/>
      <c r="J122" s="71"/>
      <c r="K122" s="71"/>
      <c r="L122" s="71"/>
      <c r="M122" s="71"/>
      <c r="N122" s="110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2:28" x14ac:dyDescent="0.25">
      <c r="B123" s="85"/>
      <c r="C123" s="111" t="s">
        <v>140</v>
      </c>
      <c r="D123" s="111" t="s">
        <v>147</v>
      </c>
      <c r="E123" s="71">
        <f>AD9</f>
        <v>2428629.9900000002</v>
      </c>
      <c r="F123" s="71">
        <v>2428630</v>
      </c>
      <c r="G123" s="71"/>
      <c r="H123" s="71">
        <f>E123+E114</f>
        <v>1157389.5300000003</v>
      </c>
      <c r="I123" s="71"/>
      <c r="J123" s="71"/>
      <c r="K123" s="71">
        <f>F123</f>
        <v>2428630</v>
      </c>
      <c r="L123" s="71"/>
      <c r="M123" s="71"/>
      <c r="N123" s="110"/>
      <c r="O123" s="45"/>
      <c r="P123" s="45"/>
      <c r="Q123" s="45"/>
      <c r="R123" s="45"/>
      <c r="S123" s="45"/>
      <c r="T123" s="45"/>
      <c r="U123" s="45"/>
      <c r="V123" s="45"/>
      <c r="W123" s="45"/>
      <c r="X123" s="45"/>
    </row>
    <row r="124" spans="2:28" x14ac:dyDescent="0.25">
      <c r="B124" s="85"/>
      <c r="C124" s="111"/>
      <c r="D124" s="111"/>
      <c r="E124" s="71"/>
      <c r="F124" s="71"/>
      <c r="G124" s="71"/>
      <c r="H124" s="71"/>
      <c r="I124" s="71"/>
      <c r="J124" s="71"/>
      <c r="K124" s="71"/>
      <c r="L124" s="71"/>
      <c r="M124" s="71"/>
      <c r="N124" s="110"/>
      <c r="O124" s="45"/>
      <c r="P124" s="45"/>
      <c r="Q124" s="45"/>
      <c r="R124" s="45"/>
      <c r="S124" s="45"/>
      <c r="T124" s="45"/>
      <c r="U124" s="45"/>
      <c r="V124" s="45"/>
      <c r="W124" s="45"/>
      <c r="X124" s="45"/>
    </row>
    <row r="125" spans="2:28" x14ac:dyDescent="0.25">
      <c r="B125" s="85"/>
      <c r="C125" s="111" t="s">
        <v>142</v>
      </c>
      <c r="D125" s="111"/>
      <c r="E125" s="71">
        <f>SUM(E102:E124)</f>
        <v>317585861.33000004</v>
      </c>
      <c r="F125" s="71">
        <f>SUM(F102:F124)</f>
        <v>317585861.33999997</v>
      </c>
      <c r="G125" s="71"/>
      <c r="H125" s="71">
        <f>SUM(H107:H124)</f>
        <v>176247684.68000001</v>
      </c>
      <c r="I125" s="71"/>
      <c r="J125" s="71"/>
      <c r="K125" s="71">
        <f>SUM(K102:K124)</f>
        <v>176247684.68999997</v>
      </c>
      <c r="L125" s="71">
        <f>SUM(L105:L124)</f>
        <v>141338176.65000001</v>
      </c>
      <c r="M125" s="71">
        <f>SUM(M102:M124)</f>
        <v>141338176.65000001</v>
      </c>
      <c r="N125" s="110"/>
      <c r="Y125" s="45"/>
      <c r="Z125" s="45"/>
      <c r="AA125" s="45"/>
      <c r="AB125" s="45"/>
    </row>
    <row r="126" spans="2:28" x14ac:dyDescent="0.25">
      <c r="B126" s="85"/>
      <c r="C126" s="111" t="s">
        <v>142</v>
      </c>
      <c r="D126" s="111"/>
      <c r="E126" s="71"/>
      <c r="F126" s="71"/>
      <c r="G126" s="71"/>
      <c r="H126" s="71">
        <f>H125+L125</f>
        <v>317585861.33000004</v>
      </c>
      <c r="I126" s="71"/>
      <c r="J126" s="71"/>
      <c r="K126" s="71">
        <f>K125+L125</f>
        <v>317585861.33999997</v>
      </c>
      <c r="L126" s="71"/>
      <c r="M126" s="71"/>
      <c r="N126" s="110"/>
      <c r="Y126" s="45"/>
      <c r="Z126" s="45"/>
      <c r="AA126" s="45"/>
      <c r="AB126" s="45"/>
    </row>
    <row r="127" spans="2:28" x14ac:dyDescent="0.25">
      <c r="B127" s="85"/>
      <c r="C127" s="85"/>
      <c r="D127" s="110"/>
      <c r="E127" s="110"/>
      <c r="F127" s="110"/>
      <c r="G127" s="85"/>
      <c r="H127" s="88"/>
      <c r="I127" s="88"/>
      <c r="J127" s="88"/>
      <c r="K127" s="109"/>
      <c r="L127" s="110"/>
      <c r="M127" s="110"/>
      <c r="N127" s="110"/>
    </row>
    <row r="128" spans="2:28" x14ac:dyDescent="0.25">
      <c r="B128" s="85"/>
      <c r="C128" s="85" t="s">
        <v>148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110"/>
      <c r="N128" s="85"/>
    </row>
    <row r="133" spans="4:6" x14ac:dyDescent="0.25">
      <c r="E133" s="61"/>
      <c r="F133" s="45"/>
    </row>
    <row r="134" spans="4:6" x14ac:dyDescent="0.25">
      <c r="E134" s="61"/>
      <c r="F134" s="45"/>
    </row>
    <row r="135" spans="4:6" x14ac:dyDescent="0.25">
      <c r="D135" s="45"/>
      <c r="E135" s="45"/>
      <c r="F135" s="45"/>
    </row>
    <row r="136" spans="4:6" x14ac:dyDescent="0.25">
      <c r="D136" s="45"/>
      <c r="E136" s="45"/>
      <c r="F136" s="45"/>
    </row>
    <row r="137" spans="4:6" x14ac:dyDescent="0.25">
      <c r="D137" s="45"/>
      <c r="E137" s="45"/>
      <c r="F137" s="45"/>
    </row>
    <row r="138" spans="4:6" x14ac:dyDescent="0.25">
      <c r="D138" s="45"/>
      <c r="E138" s="45"/>
      <c r="F138" s="45"/>
    </row>
    <row r="139" spans="4:6" x14ac:dyDescent="0.25">
      <c r="D139" s="45"/>
      <c r="E139" s="45"/>
      <c r="F139" s="45"/>
    </row>
  </sheetData>
  <pageMargins left="0.70866141732283472" right="0.70866141732283472" top="0.78740157480314965" bottom="0.78740157480314965" header="0.31496062992125984" footer="0.31496062992125984"/>
  <pageSetup paperSize="8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H139"/>
  <sheetViews>
    <sheetView topLeftCell="C42" workbookViewId="0">
      <selection activeCell="J24" sqref="J24"/>
    </sheetView>
  </sheetViews>
  <sheetFormatPr defaultColWidth="9.140625"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4" width="13.28515625" style="24" customWidth="1"/>
    <col min="5" max="5" width="14.5703125" style="24" customWidth="1"/>
    <col min="6" max="6" width="16.42578125" style="24" customWidth="1"/>
    <col min="7" max="7" width="12.7109375" style="24" customWidth="1"/>
    <col min="8" max="10" width="17.85546875" style="25" customWidth="1"/>
    <col min="11" max="11" width="14.5703125" style="24" customWidth="1"/>
    <col min="12" max="12" width="14.85546875" style="24" customWidth="1"/>
    <col min="13" max="13" width="16.28515625" style="24" customWidth="1"/>
    <col min="14" max="14" width="14.5703125" style="24" customWidth="1"/>
    <col min="15" max="15" width="14" style="24" customWidth="1"/>
    <col min="16" max="16" width="18.7109375" style="24" customWidth="1"/>
    <col min="17" max="19" width="16.140625" style="24" customWidth="1"/>
    <col min="20" max="20" width="19.85546875" style="24" customWidth="1"/>
    <col min="21" max="22" width="16.140625" style="24" customWidth="1"/>
    <col min="23" max="23" width="14.140625" style="24" customWidth="1"/>
    <col min="24" max="24" width="17.5703125" style="24" bestFit="1" customWidth="1"/>
    <col min="25" max="25" width="16.7109375" style="24" customWidth="1"/>
    <col min="26" max="26" width="15.28515625" style="24" customWidth="1"/>
    <col min="27" max="27" width="15.140625" style="24" customWidth="1"/>
    <col min="28" max="28" width="15.28515625" style="24" customWidth="1"/>
    <col min="29" max="30" width="14.85546875" style="24" bestFit="1" customWidth="1"/>
    <col min="31" max="35" width="14.85546875" style="24" customWidth="1"/>
    <col min="36" max="16384" width="9.140625" style="24"/>
  </cols>
  <sheetData>
    <row r="2" spans="2:33" x14ac:dyDescent="0.25">
      <c r="C2" s="24" t="s">
        <v>0</v>
      </c>
    </row>
    <row r="3" spans="2:33" x14ac:dyDescent="0.25">
      <c r="W3" s="24" t="s">
        <v>115</v>
      </c>
      <c r="X3" s="61">
        <f>H18</f>
        <v>141338785</v>
      </c>
    </row>
    <row r="4" spans="2:33" x14ac:dyDescent="0.25">
      <c r="B4" s="26"/>
      <c r="C4" s="26"/>
      <c r="D4" s="26"/>
      <c r="E4" s="26" t="s">
        <v>66</v>
      </c>
      <c r="F4" s="26" t="s">
        <v>75</v>
      </c>
      <c r="G4" s="26" t="s">
        <v>62</v>
      </c>
      <c r="H4" s="26" t="s">
        <v>60</v>
      </c>
      <c r="I4" s="27" t="s">
        <v>149</v>
      </c>
      <c r="J4" s="27" t="s">
        <v>150</v>
      </c>
      <c r="K4" s="66" t="s">
        <v>65</v>
      </c>
      <c r="L4" s="26" t="s">
        <v>54</v>
      </c>
      <c r="M4" s="27" t="s">
        <v>56</v>
      </c>
      <c r="N4" s="27" t="s">
        <v>61</v>
      </c>
      <c r="O4" s="26" t="s">
        <v>81</v>
      </c>
      <c r="P4" s="26" t="s">
        <v>79</v>
      </c>
      <c r="Q4" s="26" t="s">
        <v>80</v>
      </c>
      <c r="R4" s="26" t="s">
        <v>97</v>
      </c>
      <c r="S4" s="26"/>
      <c r="T4" s="25"/>
      <c r="U4" s="25"/>
      <c r="V4" s="25"/>
      <c r="W4" s="26"/>
      <c r="X4" s="26" t="s">
        <v>18</v>
      </c>
      <c r="Y4" s="26" t="s">
        <v>98</v>
      </c>
      <c r="Z4" s="26" t="s">
        <v>13</v>
      </c>
      <c r="AA4" s="26" t="s">
        <v>105</v>
      </c>
      <c r="AB4" s="26" t="s">
        <v>106</v>
      </c>
      <c r="AC4" s="26" t="s">
        <v>107</v>
      </c>
    </row>
    <row r="5" spans="2:33" x14ac:dyDescent="0.25">
      <c r="B5" s="26"/>
      <c r="C5" s="26"/>
      <c r="D5" s="26"/>
      <c r="E5" s="26"/>
      <c r="F5" s="26" t="s">
        <v>77</v>
      </c>
      <c r="G5" s="26"/>
      <c r="H5" s="26" t="s">
        <v>76</v>
      </c>
      <c r="I5" s="27"/>
      <c r="J5" s="27"/>
      <c r="K5" s="67" t="s">
        <v>74</v>
      </c>
      <c r="L5" s="26" t="s">
        <v>78</v>
      </c>
      <c r="M5" s="27"/>
      <c r="N5" s="27"/>
      <c r="O5" s="26"/>
      <c r="P5" s="26"/>
      <c r="Q5" s="26"/>
      <c r="R5" s="26" t="s">
        <v>112</v>
      </c>
      <c r="S5" s="26"/>
      <c r="T5" s="25"/>
      <c r="U5" s="25"/>
      <c r="V5" s="25"/>
      <c r="W5" s="26" t="s">
        <v>104</v>
      </c>
      <c r="X5" s="28">
        <v>157879368.69</v>
      </c>
      <c r="Y5" s="28">
        <v>21289452</v>
      </c>
      <c r="Z5" s="28">
        <f>SUM(X5:Y5)</f>
        <v>179168820.69</v>
      </c>
      <c r="AA5" s="26"/>
      <c r="AB5" s="26"/>
      <c r="AC5" s="26"/>
    </row>
    <row r="6" spans="2:33" ht="15.75" thickBot="1" x14ac:dyDescent="0.3">
      <c r="B6" s="26"/>
      <c r="C6" s="26"/>
      <c r="D6" s="26"/>
      <c r="E6" s="26" t="s">
        <v>5</v>
      </c>
      <c r="F6" s="26" t="s">
        <v>5</v>
      </c>
      <c r="G6" s="28" t="s">
        <v>5</v>
      </c>
      <c r="H6" s="28" t="s">
        <v>6</v>
      </c>
      <c r="I6" s="28"/>
      <c r="J6" s="28"/>
      <c r="K6" s="68"/>
      <c r="L6" s="28" t="s">
        <v>130</v>
      </c>
      <c r="M6" s="29"/>
      <c r="N6" s="29"/>
      <c r="O6" s="26"/>
      <c r="P6" s="26"/>
      <c r="Q6" s="26"/>
      <c r="R6" s="26"/>
      <c r="S6" s="26"/>
      <c r="T6" s="104"/>
      <c r="U6" s="25"/>
      <c r="V6" s="25"/>
      <c r="W6" s="26" t="s">
        <v>99</v>
      </c>
      <c r="X6" s="28">
        <v>115235970.64</v>
      </c>
      <c r="Y6" s="28">
        <v>7296345.4699999997</v>
      </c>
      <c r="Z6" s="28">
        <f>SUM(X6:Y6)</f>
        <v>122532316.11</v>
      </c>
      <c r="AA6" s="26"/>
      <c r="AB6" s="26"/>
      <c r="AC6" s="26"/>
    </row>
    <row r="7" spans="2:33" ht="15.75" thickBot="1" x14ac:dyDescent="0.3">
      <c r="B7" s="26"/>
      <c r="C7" s="26" t="s">
        <v>26</v>
      </c>
      <c r="D7" s="26"/>
      <c r="E7" s="26"/>
      <c r="F7" s="26"/>
      <c r="G7" s="28"/>
      <c r="H7" s="28"/>
      <c r="I7" s="29"/>
      <c r="J7" s="29"/>
      <c r="K7" s="67"/>
      <c r="L7" s="28"/>
      <c r="M7" s="29"/>
      <c r="N7" s="29"/>
      <c r="O7" s="26"/>
      <c r="P7" s="26"/>
      <c r="Q7" s="26"/>
      <c r="R7" s="26"/>
      <c r="S7" s="26"/>
      <c r="T7" s="104"/>
      <c r="U7" s="108">
        <f>F8*L8</f>
        <v>45475006.5</v>
      </c>
      <c r="V7" s="25"/>
      <c r="W7" s="26" t="s">
        <v>100</v>
      </c>
      <c r="X7" s="28">
        <v>11998785</v>
      </c>
      <c r="Y7" s="28">
        <v>2728550</v>
      </c>
      <c r="Z7" s="28">
        <f>SUM(X7:Y7)</f>
        <v>14727335</v>
      </c>
      <c r="AA7" s="26"/>
      <c r="AB7" s="26"/>
      <c r="AC7" s="26"/>
    </row>
    <row r="8" spans="2:33" x14ac:dyDescent="0.25">
      <c r="B8" s="26">
        <v>1</v>
      </c>
      <c r="C8" s="26" t="s">
        <v>1</v>
      </c>
      <c r="D8" s="26"/>
      <c r="E8" s="30">
        <f>E23+E33+E43+E55+E67</f>
        <v>10059.91</v>
      </c>
      <c r="F8" s="30">
        <f>F23+F33+F43+F55+F67</f>
        <v>10083.15</v>
      </c>
      <c r="G8" s="28">
        <f>G23+G33+G43+G55+G67</f>
        <v>12904.18</v>
      </c>
      <c r="H8" s="28">
        <v>45474826</v>
      </c>
      <c r="I8" s="29">
        <f>F8*L8</f>
        <v>45475006.5</v>
      </c>
      <c r="J8" s="29">
        <f>I23+I33+I43+I55+I67</f>
        <v>45475006.5</v>
      </c>
      <c r="K8" s="67">
        <f>K23+K33+K81+K43+K55+K67</f>
        <v>89589437.215059921</v>
      </c>
      <c r="L8" s="28">
        <v>4510</v>
      </c>
      <c r="M8" s="29">
        <f t="shared" ref="M8:M16" si="0">G8*L8</f>
        <v>58197851.800000004</v>
      </c>
      <c r="N8" s="29">
        <f>M23+M33+M43+M55+M67</f>
        <v>58197851.799999997</v>
      </c>
      <c r="O8" s="26"/>
      <c r="P8" s="32"/>
      <c r="Q8" s="26"/>
      <c r="R8" s="32">
        <f>K8-H8</f>
        <v>44114611.215059921</v>
      </c>
      <c r="S8" s="26"/>
      <c r="T8" s="57"/>
      <c r="U8" s="57">
        <f t="shared" ref="U8:U10" si="1">F9*L9</f>
        <v>0</v>
      </c>
      <c r="V8" s="25"/>
      <c r="W8" s="89" t="s">
        <v>101</v>
      </c>
      <c r="X8" s="89"/>
      <c r="Y8" s="90">
        <v>9394916</v>
      </c>
      <c r="Z8" s="26"/>
      <c r="AA8" s="26"/>
      <c r="AB8" s="26"/>
      <c r="AC8" s="26"/>
    </row>
    <row r="9" spans="2:33" x14ac:dyDescent="0.25">
      <c r="B9" s="26"/>
      <c r="C9" s="26"/>
      <c r="D9" s="26"/>
      <c r="E9" s="30"/>
      <c r="F9" s="30"/>
      <c r="G9" s="28"/>
      <c r="H9" s="28"/>
      <c r="I9" s="29">
        <f t="shared" ref="I9:I17" si="2">F9*L9</f>
        <v>0</v>
      </c>
      <c r="J9" s="29"/>
      <c r="K9" s="67"/>
      <c r="L9" s="28"/>
      <c r="M9" s="29"/>
      <c r="N9" s="29"/>
      <c r="O9" s="26"/>
      <c r="P9" s="26"/>
      <c r="Q9" s="26"/>
      <c r="R9" s="32"/>
      <c r="S9" s="26"/>
      <c r="T9" s="25"/>
      <c r="U9" s="57">
        <f t="shared" si="1"/>
        <v>17064322.000000004</v>
      </c>
      <c r="V9" s="25"/>
      <c r="W9" s="84" t="s">
        <v>108</v>
      </c>
      <c r="X9" s="71"/>
      <c r="Y9" s="80"/>
      <c r="Z9" s="71">
        <v>2428629.9900000002</v>
      </c>
      <c r="AA9" s="26"/>
      <c r="AB9" s="26"/>
      <c r="AC9" s="26"/>
    </row>
    <row r="10" spans="2:33" x14ac:dyDescent="0.25">
      <c r="B10" s="26">
        <v>2</v>
      </c>
      <c r="C10" s="26" t="s">
        <v>57</v>
      </c>
      <c r="D10" s="26"/>
      <c r="E10" s="30">
        <f>E24+E34+E44+E56+E68</f>
        <v>4968.6900000000005</v>
      </c>
      <c r="F10" s="102">
        <f>F24+F34+F44+F56+F68</f>
        <v>5004.2000000000007</v>
      </c>
      <c r="G10" s="28">
        <f>G24+G34+G44+G56+G68</f>
        <v>5146.91</v>
      </c>
      <c r="H10" s="101">
        <v>17065004</v>
      </c>
      <c r="I10" s="29">
        <f t="shared" si="2"/>
        <v>17064322.000000004</v>
      </c>
      <c r="J10" s="29">
        <f>I24+I34+I44+I56+I68</f>
        <v>17064322</v>
      </c>
      <c r="K10" s="67">
        <f>K24+K34+K44+K56+K68</f>
        <v>43481253.985494167</v>
      </c>
      <c r="L10" s="28">
        <f>3410</f>
        <v>3410</v>
      </c>
      <c r="M10" s="29">
        <f t="shared" si="0"/>
        <v>17550963.099999998</v>
      </c>
      <c r="N10" s="65">
        <f>M24+M34+M44+M56+M68</f>
        <v>17550963.100000001</v>
      </c>
      <c r="O10" s="26"/>
      <c r="P10" s="26"/>
      <c r="Q10" s="26"/>
      <c r="R10" s="32">
        <f t="shared" ref="R10:R16" si="3">K10-H10</f>
        <v>26416249.985494167</v>
      </c>
      <c r="S10" s="26"/>
      <c r="T10" s="25"/>
      <c r="U10" s="57">
        <f t="shared" si="1"/>
        <v>0</v>
      </c>
      <c r="V10" s="25"/>
      <c r="W10" s="26" t="s">
        <v>13</v>
      </c>
      <c r="X10" s="26"/>
      <c r="Y10" s="26"/>
      <c r="Z10" s="32">
        <f>SUM(Z5:Z9)</f>
        <v>318857101.79000002</v>
      </c>
      <c r="AA10" s="96">
        <f>Z10*0.21</f>
        <v>66959991.3759</v>
      </c>
      <c r="AB10" s="32">
        <f>R18</f>
        <v>122240901.47827759</v>
      </c>
      <c r="AC10" s="32">
        <f>Z12-X3</f>
        <v>176247076.33000004</v>
      </c>
    </row>
    <row r="11" spans="2:33" x14ac:dyDescent="0.25">
      <c r="B11" s="26"/>
      <c r="C11" s="26"/>
      <c r="D11" s="26"/>
      <c r="E11" s="30"/>
      <c r="F11" s="30"/>
      <c r="G11" s="28"/>
      <c r="H11" s="28"/>
      <c r="I11" s="29">
        <f t="shared" si="2"/>
        <v>0</v>
      </c>
      <c r="J11" s="29"/>
      <c r="K11" s="67"/>
      <c r="L11" s="28"/>
      <c r="M11" s="29"/>
      <c r="N11" s="65"/>
      <c r="O11" s="26"/>
      <c r="P11" s="26"/>
      <c r="Q11" s="26"/>
      <c r="R11" s="32"/>
      <c r="S11" s="26"/>
      <c r="T11" s="25"/>
      <c r="U11" s="57">
        <f t="shared" ref="U11:U17" si="4">F12*L12</f>
        <v>46189786.5</v>
      </c>
      <c r="V11" s="25"/>
      <c r="W11" s="85" t="s">
        <v>129</v>
      </c>
      <c r="X11" s="87"/>
      <c r="Y11" s="25"/>
      <c r="Z11" s="88">
        <v>-1271240.46</v>
      </c>
      <c r="AA11" s="57"/>
      <c r="AB11" s="57"/>
      <c r="AC11" s="57"/>
    </row>
    <row r="12" spans="2:33" x14ac:dyDescent="0.25">
      <c r="B12" s="26">
        <v>3</v>
      </c>
      <c r="C12" s="26" t="s">
        <v>2</v>
      </c>
      <c r="D12" s="26"/>
      <c r="E12" s="30">
        <f>E25+E35+E45+E57+E69</f>
        <v>4341.7899999999991</v>
      </c>
      <c r="F12" s="30">
        <f>F25+F35+F45+F57+F69</f>
        <v>4306.74</v>
      </c>
      <c r="G12" s="28">
        <f>G25+G35+G45+G57+G69</f>
        <v>4446.71</v>
      </c>
      <c r="H12" s="28">
        <v>46189894</v>
      </c>
      <c r="I12" s="29">
        <f t="shared" si="2"/>
        <v>46189786.5</v>
      </c>
      <c r="J12" s="29">
        <f>I25+I35+I45+I57+I69</f>
        <v>46189786.5</v>
      </c>
      <c r="K12" s="67">
        <f>K25+K35+K45+K57+K69</f>
        <v>83678988.961756974</v>
      </c>
      <c r="L12" s="28">
        <v>10725</v>
      </c>
      <c r="M12" s="29">
        <f t="shared" si="0"/>
        <v>47690964.75</v>
      </c>
      <c r="N12" s="65">
        <f>M25+M35+M45+M57+M69</f>
        <v>47690964.75</v>
      </c>
      <c r="O12" s="26"/>
      <c r="P12" s="26"/>
      <c r="Q12" s="26"/>
      <c r="R12" s="32">
        <f t="shared" si="3"/>
        <v>37489094.961756974</v>
      </c>
      <c r="S12" s="26"/>
      <c r="T12" s="25"/>
      <c r="U12" s="57">
        <f t="shared" si="4"/>
        <v>5600126.3999999994</v>
      </c>
      <c r="V12" s="25"/>
      <c r="Z12" s="91">
        <f>Z10+Z11</f>
        <v>317585861.33000004</v>
      </c>
    </row>
    <row r="13" spans="2:33" x14ac:dyDescent="0.25">
      <c r="B13" s="26">
        <v>4</v>
      </c>
      <c r="C13" s="26" t="s">
        <v>58</v>
      </c>
      <c r="D13" s="26"/>
      <c r="E13" s="30">
        <f>E70</f>
        <v>1766.4</v>
      </c>
      <c r="F13" s="30">
        <f>F70</f>
        <v>1497.36</v>
      </c>
      <c r="G13" s="28">
        <f>G70</f>
        <v>1847</v>
      </c>
      <c r="H13" s="28">
        <v>5600126</v>
      </c>
      <c r="I13" s="29">
        <f>F13*L13</f>
        <v>5600126.3999999994</v>
      </c>
      <c r="J13" s="29">
        <f>I70</f>
        <v>5600126.3999999994</v>
      </c>
      <c r="K13" s="67">
        <f>K70</f>
        <v>5797267.7410820844</v>
      </c>
      <c r="L13" s="28">
        <v>3740</v>
      </c>
      <c r="M13" s="29">
        <f>G13*L13</f>
        <v>6907780</v>
      </c>
      <c r="N13" s="29">
        <f>M70</f>
        <v>6907780</v>
      </c>
      <c r="O13" s="26"/>
      <c r="P13" s="26"/>
      <c r="Q13" s="26"/>
      <c r="R13" s="32">
        <f t="shared" si="3"/>
        <v>197141.74108208437</v>
      </c>
      <c r="S13" s="26"/>
      <c r="T13" s="25"/>
      <c r="U13" s="57">
        <f t="shared" si="4"/>
        <v>4755231.25</v>
      </c>
      <c r="V13" s="25"/>
      <c r="Y13" s="86"/>
      <c r="Z13" s="92" t="s">
        <v>111</v>
      </c>
    </row>
    <row r="14" spans="2:33" x14ac:dyDescent="0.25">
      <c r="B14" s="26">
        <v>5</v>
      </c>
      <c r="C14" s="26" t="s">
        <v>59</v>
      </c>
      <c r="D14" s="26"/>
      <c r="E14" s="30">
        <f>E27+E37+E47+E59+E71</f>
        <v>10587.529999999999</v>
      </c>
      <c r="F14" s="30">
        <f>F27+F37+F47+F59+F71</f>
        <v>3458.35</v>
      </c>
      <c r="G14" s="28">
        <f>G27+G37+G47+G59+G71</f>
        <v>3821.81</v>
      </c>
      <c r="H14" s="28">
        <v>4755231</v>
      </c>
      <c r="I14" s="29">
        <f t="shared" si="2"/>
        <v>4755231.25</v>
      </c>
      <c r="J14" s="29">
        <f>I27++I37++I47++I59+I71</f>
        <v>4755231.25</v>
      </c>
      <c r="K14" s="67">
        <f>(K27+K37++K47+K59++K71)</f>
        <v>9130422.3374083377</v>
      </c>
      <c r="L14" s="28">
        <v>1375</v>
      </c>
      <c r="M14" s="29">
        <f t="shared" si="0"/>
        <v>5254988.75</v>
      </c>
      <c r="N14" s="56">
        <f>M27+M37+M47+M59+M71</f>
        <v>5254988.75</v>
      </c>
      <c r="O14" s="26"/>
      <c r="P14" s="26"/>
      <c r="Q14" s="26"/>
      <c r="R14" s="32">
        <f t="shared" si="3"/>
        <v>4375191.3374083377</v>
      </c>
      <c r="S14" s="26"/>
      <c r="T14" s="25"/>
      <c r="U14" s="57">
        <f t="shared" si="4"/>
        <v>14102638</v>
      </c>
      <c r="V14" s="25"/>
    </row>
    <row r="15" spans="2:33" x14ac:dyDescent="0.25">
      <c r="B15" s="26">
        <v>6</v>
      </c>
      <c r="C15" s="26" t="s">
        <v>8</v>
      </c>
      <c r="D15" s="26"/>
      <c r="E15" s="30">
        <v>202</v>
      </c>
      <c r="F15" s="30">
        <v>235.24</v>
      </c>
      <c r="G15" s="28">
        <v>235.24</v>
      </c>
      <c r="H15" s="28">
        <v>14102638</v>
      </c>
      <c r="I15" s="29">
        <f t="shared" si="2"/>
        <v>14102638</v>
      </c>
      <c r="J15" s="29">
        <f>I72</f>
        <v>14102638</v>
      </c>
      <c r="K15" s="67">
        <f>K38+K48+K60+K72</f>
        <v>23092864.199169405</v>
      </c>
      <c r="L15" s="28">
        <v>59950</v>
      </c>
      <c r="M15" s="29">
        <f t="shared" si="0"/>
        <v>14102638</v>
      </c>
      <c r="N15" s="65">
        <f>M72</f>
        <v>14102638</v>
      </c>
      <c r="O15" s="26"/>
      <c r="P15" s="26"/>
      <c r="Q15" s="26"/>
      <c r="R15" s="32">
        <f t="shared" si="3"/>
        <v>8990226.1991694048</v>
      </c>
      <c r="S15" s="26"/>
      <c r="T15" s="25"/>
      <c r="U15" s="57">
        <f t="shared" si="4"/>
        <v>0</v>
      </c>
      <c r="V15" s="25"/>
    </row>
    <row r="16" spans="2:33" x14ac:dyDescent="0.25">
      <c r="B16" s="26"/>
      <c r="C16" s="26" t="s">
        <v>46</v>
      </c>
      <c r="D16" s="26"/>
      <c r="E16" s="30">
        <v>128.69999999999999</v>
      </c>
      <c r="F16" s="59">
        <v>162.24</v>
      </c>
      <c r="G16" s="28"/>
      <c r="I16" s="29">
        <f t="shared" si="2"/>
        <v>0</v>
      </c>
      <c r="J16" s="29"/>
      <c r="K16" s="67"/>
      <c r="L16" s="28">
        <f t="shared" ref="L16" si="5">H16/F16</f>
        <v>0</v>
      </c>
      <c r="M16" s="29">
        <f t="shared" si="0"/>
        <v>0</v>
      </c>
      <c r="N16" s="29"/>
      <c r="O16" s="26"/>
      <c r="P16" s="26"/>
      <c r="Q16" s="26"/>
      <c r="R16" s="32">
        <f t="shared" si="3"/>
        <v>0</v>
      </c>
      <c r="S16" s="26"/>
      <c r="T16" s="25"/>
      <c r="U16" s="57">
        <f t="shared" si="4"/>
        <v>8151066</v>
      </c>
      <c r="V16" s="25"/>
      <c r="X16" s="26"/>
      <c r="Y16" s="26">
        <v>1</v>
      </c>
      <c r="Z16" s="26">
        <v>2</v>
      </c>
      <c r="AA16" s="26">
        <v>3</v>
      </c>
      <c r="AB16" s="26">
        <v>4</v>
      </c>
      <c r="AC16" s="26">
        <v>5</v>
      </c>
      <c r="AD16" s="26">
        <v>6</v>
      </c>
      <c r="AE16" s="26">
        <v>7</v>
      </c>
      <c r="AF16" s="26">
        <v>8</v>
      </c>
      <c r="AG16" s="26">
        <v>9</v>
      </c>
    </row>
    <row r="17" spans="2:34" x14ac:dyDescent="0.25">
      <c r="B17" s="26">
        <v>7</v>
      </c>
      <c r="C17" s="26" t="s">
        <v>55</v>
      </c>
      <c r="D17" s="64"/>
      <c r="E17" s="26"/>
      <c r="F17" s="59">
        <v>235.24</v>
      </c>
      <c r="G17" s="28">
        <f>F17</f>
        <v>235.24</v>
      </c>
      <c r="H17" s="106">
        <v>8151066</v>
      </c>
      <c r="I17" s="29">
        <f t="shared" si="2"/>
        <v>8151066</v>
      </c>
      <c r="J17" s="29">
        <f>I77</f>
        <v>8151066</v>
      </c>
      <c r="K17" s="67">
        <f>K77+K78</f>
        <v>8809452.038306715</v>
      </c>
      <c r="L17" s="28">
        <v>34650</v>
      </c>
      <c r="M17" s="29">
        <f>G17*L17</f>
        <v>8151066</v>
      </c>
      <c r="N17" s="65">
        <f>M77</f>
        <v>8151066</v>
      </c>
      <c r="O17" s="26"/>
      <c r="P17" s="26"/>
      <c r="Q17" s="26"/>
      <c r="R17" s="79">
        <f>K17-H17</f>
        <v>658386.03830671497</v>
      </c>
      <c r="S17" s="26"/>
      <c r="T17" s="25"/>
      <c r="U17" s="57">
        <f t="shared" si="4"/>
        <v>0</v>
      </c>
      <c r="V17" s="25"/>
      <c r="X17" s="26"/>
      <c r="Y17" s="26" t="s">
        <v>67</v>
      </c>
      <c r="Z17" s="26" t="s">
        <v>69</v>
      </c>
      <c r="AA17" s="26" t="s">
        <v>70</v>
      </c>
      <c r="AB17" s="26" t="s">
        <v>71</v>
      </c>
      <c r="AC17" s="26" t="s">
        <v>72</v>
      </c>
      <c r="AD17" s="26" t="s">
        <v>53</v>
      </c>
      <c r="AE17" s="26" t="s">
        <v>115</v>
      </c>
      <c r="AF17" s="55" t="s">
        <v>117</v>
      </c>
      <c r="AG17" s="26" t="s">
        <v>97</v>
      </c>
    </row>
    <row r="18" spans="2:34" x14ac:dyDescent="0.25">
      <c r="B18" s="26"/>
      <c r="C18" s="26"/>
      <c r="D18" s="26"/>
      <c r="E18" s="26"/>
      <c r="F18" s="26"/>
      <c r="G18" s="27"/>
      <c r="H18" s="113">
        <f>SUM(H8:H17)</f>
        <v>141338785</v>
      </c>
      <c r="I18" s="113">
        <f>SUM(I8:I17)</f>
        <v>141338176.65000001</v>
      </c>
      <c r="J18" s="116">
        <f>SUM(J8:J17)</f>
        <v>141338176.65000001</v>
      </c>
      <c r="K18" s="105">
        <f>SUM(K8:K17)</f>
        <v>263579686.47827759</v>
      </c>
      <c r="L18" s="26"/>
      <c r="M18" s="29">
        <f>SUM(M8:M17)</f>
        <v>157856252.40000001</v>
      </c>
      <c r="N18" s="33">
        <f>SUM(N8:N17)</f>
        <v>157856252.40000001</v>
      </c>
      <c r="O18" s="26"/>
      <c r="P18" s="26"/>
      <c r="Q18" s="26"/>
      <c r="R18" s="32">
        <f>SUM(R8:R17)</f>
        <v>122240901.47827759</v>
      </c>
      <c r="S18" s="32"/>
      <c r="T18" s="57"/>
      <c r="U18" s="57">
        <f>SUM(U7:U17)</f>
        <v>141338176.65000001</v>
      </c>
      <c r="V18" s="25"/>
      <c r="X18" s="26"/>
      <c r="Y18" s="26" t="s">
        <v>120</v>
      </c>
      <c r="Z18" s="26"/>
      <c r="AA18" s="26"/>
      <c r="AB18" s="26"/>
      <c r="AC18" s="26" t="s">
        <v>121</v>
      </c>
      <c r="AD18" s="24" t="s">
        <v>127</v>
      </c>
      <c r="AE18" s="26" t="s">
        <v>123</v>
      </c>
      <c r="AF18" s="95" t="s">
        <v>124</v>
      </c>
      <c r="AG18" s="26" t="s">
        <v>125</v>
      </c>
    </row>
    <row r="19" spans="2:34" x14ac:dyDescent="0.25">
      <c r="B19" s="26"/>
      <c r="C19" s="26" t="s">
        <v>17</v>
      </c>
      <c r="D19" s="26"/>
      <c r="E19" s="26"/>
      <c r="F19" s="26"/>
      <c r="G19" s="26"/>
      <c r="H19" s="107"/>
      <c r="I19" s="26"/>
      <c r="J19" s="27"/>
      <c r="K19" s="66"/>
      <c r="L19" s="26"/>
      <c r="M19" s="33"/>
      <c r="N19" s="27"/>
      <c r="O19" s="26"/>
      <c r="P19" s="26"/>
      <c r="Q19" s="26"/>
      <c r="R19" s="26"/>
      <c r="S19" s="26"/>
      <c r="T19" s="25"/>
      <c r="U19" s="25"/>
      <c r="V19" s="25"/>
      <c r="X19" s="26"/>
      <c r="Y19" s="26" t="s">
        <v>16</v>
      </c>
      <c r="Z19" s="26"/>
      <c r="AA19" s="26"/>
      <c r="AB19" s="26"/>
      <c r="AC19" s="26"/>
      <c r="AD19" s="26" t="s">
        <v>122</v>
      </c>
      <c r="AE19" s="26" t="s">
        <v>128</v>
      </c>
      <c r="AF19" s="55"/>
      <c r="AG19" s="26"/>
      <c r="AH19" s="25"/>
    </row>
    <row r="20" spans="2:34" ht="6" customHeight="1" x14ac:dyDescent="0.25">
      <c r="B20" s="26"/>
      <c r="C20" s="26"/>
      <c r="D20" s="26"/>
      <c r="E20" s="26"/>
      <c r="F20" s="26"/>
      <c r="G20" s="26"/>
      <c r="H20" s="26"/>
      <c r="I20" s="27"/>
      <c r="J20" s="27"/>
      <c r="K20" s="66"/>
      <c r="L20" s="26"/>
      <c r="M20" s="27"/>
      <c r="N20" s="27"/>
      <c r="O20" s="26"/>
      <c r="P20" s="26"/>
      <c r="Q20" s="26"/>
      <c r="R20" s="26"/>
      <c r="S20" s="26"/>
      <c r="T20" s="25"/>
      <c r="U20" s="25"/>
      <c r="V20" s="25"/>
      <c r="X20" s="26"/>
      <c r="Y20" s="26"/>
      <c r="Z20" s="26"/>
      <c r="AA20" s="26"/>
      <c r="AB20" s="26"/>
      <c r="AC20" s="26"/>
      <c r="AD20" s="26"/>
      <c r="AE20" s="26"/>
      <c r="AF20" s="55"/>
      <c r="AG20" s="26"/>
      <c r="AH20" s="25"/>
    </row>
    <row r="21" spans="2:34" x14ac:dyDescent="0.25">
      <c r="B21" s="26"/>
      <c r="C21" s="26" t="s">
        <v>19</v>
      </c>
      <c r="D21" s="26"/>
      <c r="E21" s="34" t="s">
        <v>43</v>
      </c>
      <c r="F21" s="35" t="s">
        <v>44</v>
      </c>
      <c r="G21" s="26"/>
      <c r="H21" s="26"/>
      <c r="I21" s="27"/>
      <c r="J21" s="27"/>
      <c r="K21" s="66"/>
      <c r="L21" s="26"/>
      <c r="M21" s="27"/>
      <c r="N21" s="27"/>
      <c r="O21" s="26"/>
      <c r="P21" s="26"/>
      <c r="Q21" s="26"/>
      <c r="R21" s="26"/>
      <c r="S21" s="26"/>
      <c r="T21" s="25"/>
      <c r="U21" s="25"/>
      <c r="V21" s="25"/>
      <c r="W21" s="72" t="s">
        <v>96</v>
      </c>
      <c r="X21" s="26" t="s">
        <v>19</v>
      </c>
      <c r="Y21" s="32">
        <f>SUM(K23:K25)</f>
        <v>10594424.861128896</v>
      </c>
      <c r="Z21" s="26"/>
      <c r="AA21" s="32">
        <f>K27</f>
        <v>401551.14601750282</v>
      </c>
      <c r="AB21" s="26"/>
      <c r="AC21" s="26"/>
      <c r="AD21" s="32">
        <f>SUM(Y21:AC21)</f>
        <v>10995976.007146399</v>
      </c>
      <c r="AE21" s="32">
        <f>H29</f>
        <v>13162404.75</v>
      </c>
      <c r="AF21" s="96">
        <f>AD21-AE21</f>
        <v>-2166428.7428536005</v>
      </c>
      <c r="AG21" s="32">
        <f>Z7-AE21</f>
        <v>1564930.25</v>
      </c>
      <c r="AH21" s="57"/>
    </row>
    <row r="22" spans="2:34" ht="5.45" customHeight="1" x14ac:dyDescent="0.25">
      <c r="B22" s="26"/>
      <c r="C22" s="26"/>
      <c r="D22" s="26"/>
      <c r="E22" s="36"/>
      <c r="F22" s="37"/>
      <c r="G22" s="26"/>
      <c r="H22" s="26"/>
      <c r="I22" s="27"/>
      <c r="J22" s="27"/>
      <c r="K22" s="66"/>
      <c r="L22" s="26"/>
      <c r="M22" s="27"/>
      <c r="N22" s="27"/>
      <c r="O22" s="26"/>
      <c r="P22" s="26"/>
      <c r="Q22" s="26"/>
      <c r="R22" s="26"/>
      <c r="S22" s="26"/>
      <c r="T22" s="25"/>
      <c r="U22" s="25"/>
      <c r="V22" s="25"/>
      <c r="W22" s="72"/>
      <c r="X22" s="26"/>
      <c r="Y22" s="26"/>
      <c r="Z22" s="26"/>
      <c r="AA22" s="26"/>
      <c r="AB22" s="26"/>
      <c r="AC22" s="26"/>
      <c r="AD22" s="26"/>
      <c r="AE22" s="26"/>
      <c r="AF22" s="55"/>
      <c r="AG22" s="32">
        <f t="shared" ref="AG22" si="6">Z8-AE22</f>
        <v>0</v>
      </c>
      <c r="AH22" s="25"/>
    </row>
    <row r="23" spans="2:34" x14ac:dyDescent="0.25">
      <c r="B23" s="26">
        <v>1</v>
      </c>
      <c r="C23" s="26" t="s">
        <v>14</v>
      </c>
      <c r="D23" s="26"/>
      <c r="E23" s="38">
        <f>F23</f>
        <v>1540.18</v>
      </c>
      <c r="F23" s="30">
        <v>1540.18</v>
      </c>
      <c r="G23" s="39">
        <f>F23</f>
        <v>1540.18</v>
      </c>
      <c r="H23" s="28">
        <f>F23*L23</f>
        <v>6946211.8000000007</v>
      </c>
      <c r="I23" s="29">
        <f>F23*L23</f>
        <v>6946211.8000000007</v>
      </c>
      <c r="J23" s="29"/>
      <c r="K23" s="70">
        <f>(O23+P23+Q23)*G85</f>
        <v>5965134.3350173496</v>
      </c>
      <c r="L23" s="28">
        <v>4510</v>
      </c>
      <c r="M23" s="33">
        <f>G23*L23</f>
        <v>6946211.8000000007</v>
      </c>
      <c r="N23" s="27"/>
      <c r="O23" s="40">
        <f>5882136</f>
        <v>5882136</v>
      </c>
      <c r="P23" s="26"/>
      <c r="Q23" s="77"/>
      <c r="R23" s="77"/>
      <c r="S23" s="77"/>
      <c r="T23" s="78">
        <f>F23*L23</f>
        <v>6946211.8000000007</v>
      </c>
      <c r="U23" s="78"/>
      <c r="V23" s="78"/>
      <c r="W23" s="72" t="s">
        <v>95</v>
      </c>
      <c r="X23" s="26" t="s">
        <v>68</v>
      </c>
      <c r="Y23" s="32">
        <f>SUM(K33:K35,K43:K45,K55:K57)</f>
        <v>73400783.686832547</v>
      </c>
      <c r="Z23" s="26"/>
      <c r="AA23" s="32">
        <f>SUM(K37+K47+K59)</f>
        <v>5836650.9264194444</v>
      </c>
      <c r="AB23" s="32">
        <f>SUM(K38+K48+K60)</f>
        <v>9073972.3713815399</v>
      </c>
      <c r="AC23" s="32">
        <f>K77+K78</f>
        <v>8809452.038306715</v>
      </c>
      <c r="AD23" s="32">
        <f>SUM(Y23:AC23)+Y25</f>
        <v>98278248.552940235</v>
      </c>
      <c r="AE23" s="32">
        <f>H39+H51+H61</f>
        <v>51064592.149999999</v>
      </c>
      <c r="AF23" s="96">
        <f>AD23-AE23</f>
        <v>47213656.402940236</v>
      </c>
      <c r="AG23" s="32">
        <f>Z6-AE23</f>
        <v>71467723.960000008</v>
      </c>
      <c r="AH23" s="57"/>
    </row>
    <row r="24" spans="2:34" x14ac:dyDescent="0.25">
      <c r="B24" s="26">
        <v>2</v>
      </c>
      <c r="C24" s="26" t="s">
        <v>15</v>
      </c>
      <c r="D24" s="26"/>
      <c r="E24" s="38">
        <f>F24</f>
        <v>635.12</v>
      </c>
      <c r="F24" s="102">
        <v>635.12</v>
      </c>
      <c r="G24" s="39">
        <v>635</v>
      </c>
      <c r="H24" s="28">
        <f t="shared" ref="H24:H27" si="7">F24*L24</f>
        <v>2165759.2000000002</v>
      </c>
      <c r="I24" s="29">
        <f t="shared" ref="I24:I27" si="8">F24*L24</f>
        <v>2165759.2000000002</v>
      </c>
      <c r="J24" s="29"/>
      <c r="K24" s="70">
        <f>(O24+P24+Q24)*G85</f>
        <v>451372.35375746875</v>
      </c>
      <c r="L24" s="28">
        <v>3410</v>
      </c>
      <c r="M24" s="33">
        <f>G24*L24</f>
        <v>2165350</v>
      </c>
      <c r="N24" s="27"/>
      <c r="O24" s="40">
        <v>445092</v>
      </c>
      <c r="P24" s="26"/>
      <c r="Q24" s="26"/>
      <c r="R24" s="26"/>
      <c r="S24" s="26"/>
      <c r="T24" s="78">
        <f t="shared" ref="T24:T28" si="9">F24*L24</f>
        <v>2165759.2000000002</v>
      </c>
      <c r="U24" s="78"/>
      <c r="V24" s="78"/>
      <c r="W24" s="72" t="s">
        <v>94</v>
      </c>
      <c r="X24" s="26" t="s">
        <v>12</v>
      </c>
      <c r="Y24" s="32">
        <f>K67+K68+K69</f>
        <v>132754471.61434962</v>
      </c>
      <c r="Z24" s="32">
        <f>K70</f>
        <v>5797267.7410820844</v>
      </c>
      <c r="AA24" s="32">
        <f>K71</f>
        <v>2892220.2649713908</v>
      </c>
      <c r="AB24" s="32">
        <f>K72</f>
        <v>14018891.827787863</v>
      </c>
      <c r="AC24" s="26"/>
      <c r="AD24" s="32">
        <f>SUM(Y24:AC24)</f>
        <v>155462851.44819099</v>
      </c>
      <c r="AE24" s="32">
        <f>H73</f>
        <v>68960113.75</v>
      </c>
      <c r="AF24" s="96">
        <f>AD24-AE24</f>
        <v>86502737.698190987</v>
      </c>
      <c r="AG24" s="32">
        <f>Z5-AE24</f>
        <v>110208706.94</v>
      </c>
      <c r="AH24" s="57"/>
    </row>
    <row r="25" spans="2:34" x14ac:dyDescent="0.25">
      <c r="B25" s="26">
        <v>3</v>
      </c>
      <c r="C25" s="26" t="s">
        <v>16</v>
      </c>
      <c r="D25" s="26"/>
      <c r="E25" s="38">
        <v>309.39999999999998</v>
      </c>
      <c r="F25" s="30">
        <v>293.2</v>
      </c>
      <c r="G25" s="39">
        <f>F25</f>
        <v>293.2</v>
      </c>
      <c r="H25" s="28">
        <f t="shared" si="7"/>
        <v>3144570</v>
      </c>
      <c r="I25" s="29">
        <f t="shared" si="8"/>
        <v>3144570</v>
      </c>
      <c r="J25" s="29"/>
      <c r="K25" s="70">
        <f>(O25+P25+Q25)*G85</f>
        <v>4177918.172354077</v>
      </c>
      <c r="L25" s="28">
        <v>10725</v>
      </c>
      <c r="M25" s="33">
        <f>G25*L25</f>
        <v>3144570</v>
      </c>
      <c r="N25" s="27"/>
      <c r="O25" s="40">
        <v>4119787</v>
      </c>
      <c r="P25" s="26"/>
      <c r="Q25" s="26"/>
      <c r="R25" s="26"/>
      <c r="S25" s="26"/>
      <c r="T25" s="78">
        <f t="shared" si="9"/>
        <v>3144570</v>
      </c>
      <c r="U25" s="78"/>
      <c r="V25" s="78"/>
      <c r="W25" s="81" t="s">
        <v>109</v>
      </c>
      <c r="X25" s="82" t="s">
        <v>110</v>
      </c>
      <c r="Y25" s="83">
        <f>Z9+Z11</f>
        <v>1157389.5300000003</v>
      </c>
      <c r="Z25" s="32"/>
      <c r="AA25" s="32"/>
      <c r="AB25" s="32"/>
      <c r="AC25" s="26"/>
      <c r="AD25" s="32"/>
      <c r="AE25" s="32"/>
      <c r="AF25" s="96"/>
      <c r="AG25" s="32"/>
      <c r="AH25" s="57"/>
    </row>
    <row r="26" spans="2:34" x14ac:dyDescent="0.25">
      <c r="B26" s="26">
        <v>4</v>
      </c>
      <c r="C26" s="26" t="s">
        <v>41</v>
      </c>
      <c r="D26" s="26"/>
      <c r="E26" s="38">
        <v>0</v>
      </c>
      <c r="F26" s="30">
        <v>0</v>
      </c>
      <c r="G26" s="39"/>
      <c r="H26" s="28"/>
      <c r="I26" s="29">
        <f t="shared" si="8"/>
        <v>0</v>
      </c>
      <c r="J26" s="29"/>
      <c r="K26" s="70"/>
      <c r="L26" s="28">
        <v>3740</v>
      </c>
      <c r="M26" s="33">
        <f>G26*L26</f>
        <v>0</v>
      </c>
      <c r="N26" s="27"/>
      <c r="O26" s="40">
        <f t="shared" ref="O26" si="10">K26</f>
        <v>0</v>
      </c>
      <c r="P26" s="26"/>
      <c r="Q26" s="26"/>
      <c r="R26" s="26"/>
      <c r="S26" s="26"/>
      <c r="T26" s="78">
        <f t="shared" si="9"/>
        <v>0</v>
      </c>
      <c r="U26" s="78"/>
      <c r="V26" s="78"/>
      <c r="X26" s="24" t="s">
        <v>13</v>
      </c>
      <c r="Y26" s="61">
        <f>SUM(Y21:Y25)</f>
        <v>217907069.69231108</v>
      </c>
      <c r="Z26" s="61">
        <f>SUM(Z21:Z25)</f>
        <v>5797267.7410820844</v>
      </c>
      <c r="AA26" s="61">
        <f>SUM(AA21:AA24)</f>
        <v>9130422.3374083377</v>
      </c>
      <c r="AB26" s="61">
        <f>SUM(AB21:AB25)</f>
        <v>23092864.199169405</v>
      </c>
      <c r="AC26" s="61">
        <f>SUM(AC21:AC25)</f>
        <v>8809452.038306715</v>
      </c>
      <c r="AD26" s="61">
        <f>SUM(Y26:AC26)</f>
        <v>264737076.0082776</v>
      </c>
      <c r="AE26" s="61">
        <f>SUM(AE21:AE25)+H77</f>
        <v>141338176.65000001</v>
      </c>
      <c r="AF26" s="97">
        <f>SUM(AF21:AF25)</f>
        <v>131549965.35827762</v>
      </c>
      <c r="AG26" s="61">
        <f>SUM(AG21:AG25)</f>
        <v>183241361.15000001</v>
      </c>
      <c r="AH26" s="61">
        <f>AE26+AG26</f>
        <v>324579537.80000001</v>
      </c>
    </row>
    <row r="27" spans="2:34" x14ac:dyDescent="0.25">
      <c r="B27" s="26">
        <v>5</v>
      </c>
      <c r="C27" s="26" t="s">
        <v>42</v>
      </c>
      <c r="D27" s="26"/>
      <c r="E27" s="38">
        <v>2511</v>
      </c>
      <c r="F27" s="30">
        <v>658.81</v>
      </c>
      <c r="G27" s="39">
        <f>F27</f>
        <v>658.81</v>
      </c>
      <c r="H27" s="28">
        <f t="shared" si="7"/>
        <v>905863.74999999988</v>
      </c>
      <c r="I27" s="29">
        <f t="shared" si="8"/>
        <v>905863.74999999988</v>
      </c>
      <c r="J27" s="29"/>
      <c r="K27" s="70">
        <f>(O27+P27+Q27)*G85</f>
        <v>401551.14601750282</v>
      </c>
      <c r="L27" s="28">
        <v>1375</v>
      </c>
      <c r="M27" s="33">
        <f>G27*L27</f>
        <v>905863.74999999988</v>
      </c>
      <c r="N27" s="27"/>
      <c r="O27" s="40">
        <v>395964</v>
      </c>
      <c r="P27" s="26"/>
      <c r="Q27" s="26"/>
      <c r="R27" s="26"/>
      <c r="S27" s="26"/>
      <c r="T27" s="78">
        <f t="shared" si="9"/>
        <v>905863.74999999988</v>
      </c>
      <c r="U27" s="25"/>
      <c r="V27" s="25"/>
      <c r="X27" s="24" t="s">
        <v>116</v>
      </c>
      <c r="Y27" s="61">
        <f>SUM(K8:K12)+Z9+Z11</f>
        <v>217907069.69231108</v>
      </c>
      <c r="Z27" s="61">
        <f>K13</f>
        <v>5797267.7410820844</v>
      </c>
      <c r="AA27" s="61">
        <f>K14</f>
        <v>9130422.3374083377</v>
      </c>
      <c r="AB27" s="61">
        <f>K15</f>
        <v>23092864.199169405</v>
      </c>
      <c r="AC27" s="61">
        <f>K17</f>
        <v>8809452.038306715</v>
      </c>
      <c r="AD27" s="61">
        <f>K18+Z9+Z11</f>
        <v>264737076.0082776</v>
      </c>
      <c r="AE27" s="61"/>
      <c r="AF27" s="61"/>
      <c r="AG27" s="61"/>
      <c r="AH27" s="61"/>
    </row>
    <row r="28" spans="2:34" x14ac:dyDescent="0.25">
      <c r="B28" s="26">
        <v>6</v>
      </c>
      <c r="C28" s="26" t="s">
        <v>45</v>
      </c>
      <c r="D28" s="26"/>
      <c r="E28" s="38"/>
      <c r="F28" s="30">
        <v>0</v>
      </c>
      <c r="G28" s="26"/>
      <c r="H28" s="28"/>
      <c r="I28" s="29"/>
      <c r="J28" s="29"/>
      <c r="K28" s="67">
        <v>0</v>
      </c>
      <c r="L28" s="26"/>
      <c r="M28" s="27"/>
      <c r="N28" s="27"/>
      <c r="O28" s="29"/>
      <c r="P28" s="26"/>
      <c r="Q28" s="26"/>
      <c r="R28" s="26"/>
      <c r="S28" s="26"/>
      <c r="T28" s="78">
        <f t="shared" si="9"/>
        <v>0</v>
      </c>
      <c r="U28" s="78"/>
      <c r="V28" s="78"/>
      <c r="AD28" s="98">
        <f>AD21+AD23+AD24+AD25</f>
        <v>264737076.00827762</v>
      </c>
      <c r="AE28" s="61"/>
    </row>
    <row r="29" spans="2:34" x14ac:dyDescent="0.25">
      <c r="B29" s="26"/>
      <c r="C29" s="26" t="s">
        <v>132</v>
      </c>
      <c r="D29" s="26"/>
      <c r="E29" s="38"/>
      <c r="F29" s="30"/>
      <c r="G29" s="26"/>
      <c r="H29" s="28">
        <f>SUM(H23:H28)</f>
        <v>13162404.75</v>
      </c>
      <c r="I29" s="29">
        <f>SUM(I23:I28)</f>
        <v>13162404.75</v>
      </c>
      <c r="J29" s="29"/>
      <c r="K29" s="67">
        <f>SUM(K23:K28)</f>
        <v>10995976.007146399</v>
      </c>
      <c r="L29" s="26"/>
      <c r="M29" s="27"/>
      <c r="N29" s="27"/>
      <c r="O29" s="29"/>
      <c r="P29" s="26"/>
      <c r="Q29" s="26"/>
      <c r="R29" s="26"/>
      <c r="S29" s="26"/>
      <c r="T29" s="78">
        <f>SUM(T23:T28)</f>
        <v>13162404.75</v>
      </c>
      <c r="U29" s="25"/>
      <c r="V29" s="25"/>
      <c r="X29" s="24" t="s">
        <v>119</v>
      </c>
      <c r="AE29" s="61"/>
      <c r="AF29" s="61">
        <f>X3</f>
        <v>141338785</v>
      </c>
    </row>
    <row r="30" spans="2:34" x14ac:dyDescent="0.25">
      <c r="B30" s="26"/>
      <c r="C30" s="26"/>
      <c r="D30" s="26"/>
      <c r="E30" s="38"/>
      <c r="F30" s="30"/>
      <c r="G30" s="26"/>
      <c r="H30" s="28">
        <f t="shared" ref="H30:H66" si="11">G30*L30</f>
        <v>0</v>
      </c>
      <c r="I30" s="29"/>
      <c r="J30" s="29"/>
      <c r="K30" s="66"/>
      <c r="L30" s="26"/>
      <c r="M30" s="27"/>
      <c r="N30" s="27"/>
      <c r="O30" s="26"/>
      <c r="P30" s="26"/>
      <c r="Q30" s="26"/>
      <c r="R30" s="26"/>
      <c r="S30" s="26"/>
      <c r="T30" s="25"/>
      <c r="U30" s="78"/>
      <c r="V30" s="78"/>
      <c r="X30" s="24" t="s">
        <v>118</v>
      </c>
      <c r="AF30" s="97">
        <f>AD26-AE26</f>
        <v>123398899.35827759</v>
      </c>
      <c r="AG30" s="61"/>
    </row>
    <row r="31" spans="2:34" ht="15" customHeight="1" x14ac:dyDescent="0.25">
      <c r="B31" s="26"/>
      <c r="C31" s="26" t="s">
        <v>9</v>
      </c>
      <c r="D31" s="26"/>
      <c r="E31" s="41"/>
      <c r="F31" s="42"/>
      <c r="G31" s="26"/>
      <c r="H31" s="28"/>
      <c r="I31" s="29"/>
      <c r="J31" s="29"/>
      <c r="K31" s="66"/>
      <c r="L31" s="26"/>
      <c r="M31" s="27"/>
      <c r="N31" s="27"/>
      <c r="O31" s="26"/>
      <c r="P31" s="26"/>
      <c r="Q31" s="26"/>
      <c r="R31" s="26"/>
      <c r="S31" s="26"/>
      <c r="T31" s="25"/>
      <c r="U31" s="25"/>
      <c r="V31" s="25"/>
    </row>
    <row r="32" spans="2:34" x14ac:dyDescent="0.25">
      <c r="B32" s="26"/>
      <c r="C32" s="26"/>
      <c r="D32" s="26"/>
      <c r="E32" s="43"/>
      <c r="F32" s="44"/>
      <c r="G32" s="26"/>
      <c r="H32" s="28">
        <f t="shared" si="11"/>
        <v>0</v>
      </c>
      <c r="I32" s="29"/>
      <c r="J32" s="29"/>
      <c r="K32" s="66"/>
      <c r="L32" s="26"/>
      <c r="M32" s="27"/>
      <c r="N32" s="27"/>
      <c r="O32" s="26"/>
      <c r="P32" s="26"/>
      <c r="Q32" s="26"/>
      <c r="R32" s="26"/>
      <c r="S32" s="26"/>
      <c r="T32" s="25"/>
      <c r="U32" s="25"/>
      <c r="V32" s="25"/>
      <c r="X32" s="24" t="s">
        <v>126</v>
      </c>
      <c r="AF32" s="61">
        <f>AG26</f>
        <v>183241361.15000001</v>
      </c>
    </row>
    <row r="33" spans="2:32" ht="15" customHeight="1" x14ac:dyDescent="0.25">
      <c r="B33" s="26">
        <v>1</v>
      </c>
      <c r="C33" s="26" t="s">
        <v>14</v>
      </c>
      <c r="D33" s="26"/>
      <c r="E33" s="38">
        <v>1434.85</v>
      </c>
      <c r="F33" s="30">
        <v>1434.85</v>
      </c>
      <c r="G33" s="26">
        <v>1555</v>
      </c>
      <c r="H33" s="28">
        <f>F33*L33</f>
        <v>6471173.5</v>
      </c>
      <c r="I33" s="28">
        <f>F33*L33</f>
        <v>6471173.5</v>
      </c>
      <c r="J33" s="28"/>
      <c r="K33" s="71">
        <f>(O33+P33+Q33)*G91</f>
        <v>7796592.7470695945</v>
      </c>
      <c r="L33" s="28">
        <v>4510</v>
      </c>
      <c r="M33" s="33">
        <f>G33*L33</f>
        <v>7013050</v>
      </c>
      <c r="N33" s="27"/>
      <c r="O33" s="28">
        <v>7535734</v>
      </c>
      <c r="P33" s="28"/>
      <c r="Q33" s="28"/>
      <c r="R33" s="28"/>
      <c r="S33" s="28"/>
      <c r="T33" s="49">
        <f>F33*L33</f>
        <v>6471173.5</v>
      </c>
      <c r="U33" s="25"/>
      <c r="V33" s="25"/>
      <c r="AF33" s="61"/>
    </row>
    <row r="34" spans="2:32" x14ac:dyDescent="0.25">
      <c r="B34" s="26">
        <v>2</v>
      </c>
      <c r="C34" s="26" t="s">
        <v>15</v>
      </c>
      <c r="D34" s="26"/>
      <c r="E34" s="38">
        <v>572.1</v>
      </c>
      <c r="F34" s="102">
        <v>572.1</v>
      </c>
      <c r="G34" s="26">
        <v>597</v>
      </c>
      <c r="H34" s="28">
        <f t="shared" ref="H34:H37" si="12">F34*L34</f>
        <v>1950861</v>
      </c>
      <c r="I34" s="28">
        <f t="shared" ref="I34:I37" si="13">F34*L34</f>
        <v>1950861</v>
      </c>
      <c r="J34" s="28"/>
      <c r="K34" s="71">
        <f>(O34+P34+Q34)*G91</f>
        <v>4956442.8866569698</v>
      </c>
      <c r="L34" s="28">
        <v>3410</v>
      </c>
      <c r="M34" s="33">
        <f>G34*L34</f>
        <v>2035770</v>
      </c>
      <c r="N34" s="27"/>
      <c r="O34" s="28">
        <v>4790610</v>
      </c>
      <c r="P34" s="28"/>
      <c r="Q34" s="28"/>
      <c r="R34" s="28"/>
      <c r="S34" s="28"/>
      <c r="T34" s="49">
        <f t="shared" ref="T34:T37" si="14">F34*L34</f>
        <v>1950861</v>
      </c>
      <c r="U34" s="49"/>
      <c r="V34" s="49"/>
      <c r="AF34" s="61">
        <f>AF29+AF32</f>
        <v>324580146.14999998</v>
      </c>
    </row>
    <row r="35" spans="2:32" x14ac:dyDescent="0.25">
      <c r="B35" s="26">
        <v>3</v>
      </c>
      <c r="C35" s="26" t="s">
        <v>16</v>
      </c>
      <c r="D35" s="26"/>
      <c r="E35" s="38">
        <v>454.2</v>
      </c>
      <c r="F35" s="30">
        <v>454.2</v>
      </c>
      <c r="G35" s="26">
        <v>499</v>
      </c>
      <c r="H35" s="28">
        <f t="shared" si="12"/>
        <v>4871295</v>
      </c>
      <c r="I35" s="28">
        <f t="shared" si="13"/>
        <v>4871295</v>
      </c>
      <c r="J35" s="28"/>
      <c r="K35" s="71">
        <f>(O35+P35+Q35)*G91</f>
        <v>4896574.8181570489</v>
      </c>
      <c r="L35" s="28">
        <v>10725</v>
      </c>
      <c r="M35" s="33">
        <f>G35*L35</f>
        <v>5351775</v>
      </c>
      <c r="N35" s="27"/>
      <c r="O35" s="28">
        <v>4732745</v>
      </c>
      <c r="P35" s="28"/>
      <c r="Q35" s="28"/>
      <c r="R35" s="28"/>
      <c r="S35" s="28"/>
      <c r="T35" s="49">
        <f t="shared" si="14"/>
        <v>4871295</v>
      </c>
      <c r="U35" s="49"/>
      <c r="V35" s="49"/>
      <c r="X35" s="26"/>
      <c r="Y35" s="100"/>
      <c r="Z35" s="83"/>
      <c r="AA35" s="26"/>
      <c r="AB35" s="26"/>
      <c r="AF35" s="61">
        <f>AF34-Z12</f>
        <v>6994284.8199999332</v>
      </c>
    </row>
    <row r="36" spans="2:32" x14ac:dyDescent="0.25">
      <c r="B36" s="26">
        <v>4</v>
      </c>
      <c r="C36" s="26" t="s">
        <v>41</v>
      </c>
      <c r="D36" s="26"/>
      <c r="E36" s="38">
        <v>0</v>
      </c>
      <c r="F36" s="30">
        <v>0</v>
      </c>
      <c r="G36" s="26"/>
      <c r="H36" s="28"/>
      <c r="I36" s="28">
        <f t="shared" si="13"/>
        <v>0</v>
      </c>
      <c r="J36" s="28"/>
      <c r="K36" s="71">
        <f>(O36+P36+Q36)*G91</f>
        <v>0</v>
      </c>
      <c r="L36" s="28">
        <v>3740</v>
      </c>
      <c r="M36" s="33">
        <f>G36*L36</f>
        <v>0</v>
      </c>
      <c r="N36" s="27"/>
      <c r="O36" s="28"/>
      <c r="P36" s="28"/>
      <c r="Q36" s="28"/>
      <c r="R36" s="28"/>
      <c r="S36" s="28"/>
      <c r="T36" s="49">
        <f t="shared" si="14"/>
        <v>0</v>
      </c>
      <c r="U36" s="49"/>
      <c r="V36" s="49"/>
      <c r="X36" s="26" t="s">
        <v>19</v>
      </c>
      <c r="Y36" s="100"/>
      <c r="Z36" s="83">
        <f>K29</f>
        <v>10995976.007146399</v>
      </c>
      <c r="AA36" s="26"/>
      <c r="AB36" s="26"/>
    </row>
    <row r="37" spans="2:32" x14ac:dyDescent="0.25">
      <c r="B37" s="26">
        <v>5</v>
      </c>
      <c r="C37" s="26" t="s">
        <v>42</v>
      </c>
      <c r="D37" s="26"/>
      <c r="E37" s="38">
        <v>1004.03</v>
      </c>
      <c r="F37" s="30">
        <v>525.99</v>
      </c>
      <c r="G37" s="39">
        <v>546</v>
      </c>
      <c r="H37" s="28">
        <f t="shared" si="12"/>
        <v>723236.25</v>
      </c>
      <c r="I37" s="28">
        <f t="shared" si="13"/>
        <v>723236.25</v>
      </c>
      <c r="J37" s="28"/>
      <c r="K37" s="71">
        <f>(O37+P37+Q37)*G91</f>
        <v>1507998.6871796171</v>
      </c>
      <c r="L37" s="28">
        <v>1375</v>
      </c>
      <c r="M37" s="33">
        <f>G37*L37</f>
        <v>750750</v>
      </c>
      <c r="N37" s="27"/>
      <c r="O37" s="28">
        <v>1124947</v>
      </c>
      <c r="P37" s="28">
        <v>-1076580</v>
      </c>
      <c r="Q37" s="28">
        <v>1409177</v>
      </c>
      <c r="R37" s="28"/>
      <c r="S37" s="28"/>
      <c r="T37" s="49">
        <f t="shared" si="14"/>
        <v>723236.25</v>
      </c>
      <c r="U37" s="49"/>
      <c r="V37" s="49"/>
      <c r="X37" s="26" t="s">
        <v>9</v>
      </c>
      <c r="Y37" s="100"/>
      <c r="Z37" s="83">
        <f>K39</f>
        <v>21922393.414375912</v>
      </c>
      <c r="AA37" s="26"/>
      <c r="AB37" s="26"/>
    </row>
    <row r="38" spans="2:32" x14ac:dyDescent="0.25">
      <c r="B38" s="26">
        <v>6</v>
      </c>
      <c r="C38" s="26" t="s">
        <v>45</v>
      </c>
      <c r="D38" s="26"/>
      <c r="E38" s="38"/>
      <c r="F38" s="30">
        <v>0</v>
      </c>
      <c r="G38" s="26"/>
      <c r="H38" s="28"/>
      <c r="I38" s="28"/>
      <c r="J38" s="28"/>
      <c r="K38" s="71">
        <f>(O38+P38+Q38+U39)*G91</f>
        <v>2764784.2753126817</v>
      </c>
      <c r="L38" s="26"/>
      <c r="M38" s="27"/>
      <c r="N38" s="27"/>
      <c r="O38" s="28">
        <v>4134999</v>
      </c>
      <c r="P38" s="28">
        <v>-1230563</v>
      </c>
      <c r="Q38" s="28"/>
      <c r="R38" s="28"/>
      <c r="S38" s="28"/>
      <c r="T38" s="49"/>
      <c r="U38" s="49"/>
      <c r="V38" s="49"/>
      <c r="X38" s="26" t="s">
        <v>10</v>
      </c>
      <c r="Y38" s="100"/>
      <c r="Z38" s="83">
        <f>K51</f>
        <v>44833567.019992732</v>
      </c>
      <c r="AA38" s="26"/>
      <c r="AB38" s="26"/>
    </row>
    <row r="39" spans="2:32" x14ac:dyDescent="0.25">
      <c r="B39" s="26"/>
      <c r="C39" s="26" t="s">
        <v>13</v>
      </c>
      <c r="D39" s="26"/>
      <c r="E39" s="38"/>
      <c r="F39" s="30"/>
      <c r="G39" s="26"/>
      <c r="H39" s="28">
        <f>SUM(H33:H38)</f>
        <v>14016565.75</v>
      </c>
      <c r="I39" s="29">
        <f>SUM(I33:I38)</f>
        <v>14016565.75</v>
      </c>
      <c r="J39" s="29"/>
      <c r="K39" s="67">
        <f>SUM(K33:K38)</f>
        <v>21922393.414375912</v>
      </c>
      <c r="L39" s="26"/>
      <c r="M39" s="27"/>
      <c r="N39" s="27"/>
      <c r="O39" s="28"/>
      <c r="P39" s="28"/>
      <c r="Q39" s="28"/>
      <c r="R39" s="28"/>
      <c r="S39" s="28"/>
      <c r="T39" s="49">
        <f>SUM(T33:T38)</f>
        <v>14016565.75</v>
      </c>
      <c r="U39" s="49">
        <v>-232156</v>
      </c>
      <c r="V39" s="49" t="s">
        <v>102</v>
      </c>
      <c r="W39" s="45"/>
      <c r="X39" s="28" t="s">
        <v>11</v>
      </c>
      <c r="Y39" s="100"/>
      <c r="Z39" s="83">
        <f>K61</f>
        <v>22712836.080264885</v>
      </c>
      <c r="AA39" s="26"/>
      <c r="AB39" s="26"/>
    </row>
    <row r="40" spans="2:32" x14ac:dyDescent="0.25">
      <c r="B40" s="26"/>
      <c r="C40" s="26"/>
      <c r="D40" s="26"/>
      <c r="E40" s="38"/>
      <c r="F40" s="30"/>
      <c r="G40" s="26"/>
      <c r="H40" s="28">
        <f t="shared" si="11"/>
        <v>0</v>
      </c>
      <c r="I40" s="29"/>
      <c r="J40" s="29"/>
      <c r="K40" s="67"/>
      <c r="L40" s="26"/>
      <c r="M40" s="27"/>
      <c r="N40" s="27"/>
      <c r="O40" s="28"/>
      <c r="P40" s="28"/>
      <c r="Q40" s="28"/>
      <c r="R40" s="28"/>
      <c r="S40" s="28"/>
      <c r="T40" s="49"/>
      <c r="U40" s="49"/>
      <c r="V40" s="49"/>
      <c r="W40" s="45"/>
      <c r="X40" s="28" t="s">
        <v>12</v>
      </c>
      <c r="Y40" s="100"/>
      <c r="Z40" s="83">
        <f>K73</f>
        <v>155462851.44819099</v>
      </c>
      <c r="AA40" s="26"/>
      <c r="AB40" s="26"/>
    </row>
    <row r="41" spans="2:32" ht="15" customHeight="1" x14ac:dyDescent="0.25">
      <c r="B41" s="26"/>
      <c r="C41" s="26" t="s">
        <v>10</v>
      </c>
      <c r="D41" s="26"/>
      <c r="E41" s="43"/>
      <c r="F41" s="44"/>
      <c r="G41" s="26"/>
      <c r="H41" s="28"/>
      <c r="I41" s="29"/>
      <c r="J41" s="29"/>
      <c r="K41" s="67"/>
      <c r="L41" s="26"/>
      <c r="M41" s="27"/>
      <c r="N41" s="27"/>
      <c r="O41" s="28"/>
      <c r="P41" s="28"/>
      <c r="Q41" s="28"/>
      <c r="R41" s="28"/>
      <c r="S41" s="28"/>
      <c r="T41" s="49"/>
      <c r="U41" s="49"/>
      <c r="V41" s="49"/>
      <c r="X41" s="26" t="s">
        <v>72</v>
      </c>
      <c r="Y41" s="100"/>
      <c r="Z41" s="83">
        <f>K79</f>
        <v>8809452.038306715</v>
      </c>
      <c r="AA41" s="26"/>
      <c r="AB41" s="26"/>
    </row>
    <row r="42" spans="2:32" x14ac:dyDescent="0.25">
      <c r="B42" s="26"/>
      <c r="C42" s="26"/>
      <c r="D42" s="26"/>
      <c r="E42" s="43"/>
      <c r="F42" s="44"/>
      <c r="G42" s="26"/>
      <c r="H42" s="28">
        <f t="shared" si="11"/>
        <v>0</v>
      </c>
      <c r="I42" s="29"/>
      <c r="J42" s="29"/>
      <c r="K42" s="67"/>
      <c r="L42" s="26"/>
      <c r="M42" s="27"/>
      <c r="N42" s="27"/>
      <c r="O42" s="28"/>
      <c r="P42" s="28"/>
      <c r="Q42" s="28"/>
      <c r="R42" s="28"/>
      <c r="S42" s="28"/>
      <c r="T42" s="49"/>
      <c r="U42" s="49"/>
      <c r="V42" s="49"/>
      <c r="X42" s="26" t="s">
        <v>13</v>
      </c>
      <c r="Y42" s="100"/>
      <c r="Z42" s="83">
        <f>SUM(Z36:Z41)</f>
        <v>264737076.00827762</v>
      </c>
      <c r="AA42" s="26"/>
      <c r="AB42" s="26"/>
    </row>
    <row r="43" spans="2:32" ht="15" customHeight="1" x14ac:dyDescent="0.25">
      <c r="B43" s="26">
        <v>1</v>
      </c>
      <c r="C43" s="26" t="s">
        <v>14</v>
      </c>
      <c r="D43" s="26"/>
      <c r="E43" s="38">
        <v>2268.2199999999998</v>
      </c>
      <c r="F43" s="30">
        <v>2268.62</v>
      </c>
      <c r="G43" s="26">
        <v>2442</v>
      </c>
      <c r="H43" s="28">
        <f>F43*L43</f>
        <v>10231476.199999999</v>
      </c>
      <c r="I43" s="29">
        <f>F43*L43</f>
        <v>10231476.199999999</v>
      </c>
      <c r="J43" s="29"/>
      <c r="K43" s="67">
        <f>(O43+P43+Q43)*G91</f>
        <v>17851343.02944034</v>
      </c>
      <c r="L43" s="28">
        <v>4510</v>
      </c>
      <c r="M43" s="33">
        <f>G43*L43</f>
        <v>11013420</v>
      </c>
      <c r="N43" s="27"/>
      <c r="O43" s="28">
        <v>17254072</v>
      </c>
      <c r="P43" s="28"/>
      <c r="Q43" s="28"/>
      <c r="R43" s="28"/>
      <c r="S43" s="28"/>
      <c r="T43" s="49">
        <f>F43*L43</f>
        <v>10231476.199999999</v>
      </c>
      <c r="U43" s="49"/>
      <c r="V43" s="49"/>
    </row>
    <row r="44" spans="2:32" x14ac:dyDescent="0.25">
      <c r="B44" s="26">
        <v>2</v>
      </c>
      <c r="C44" s="26" t="s">
        <v>15</v>
      </c>
      <c r="D44" s="26"/>
      <c r="E44" s="38">
        <v>829.91</v>
      </c>
      <c r="F44" s="30">
        <v>829.91</v>
      </c>
      <c r="G44" s="46">
        <v>829.91</v>
      </c>
      <c r="H44" s="28">
        <f t="shared" ref="H44:H47" si="15">F44*L44</f>
        <v>2829993.1</v>
      </c>
      <c r="I44" s="29">
        <f t="shared" ref="I44:I50" si="16">F44*L44</f>
        <v>2829993.1</v>
      </c>
      <c r="J44" s="29"/>
      <c r="K44" s="67">
        <f>(O44+P44+Q44)*G91</f>
        <v>7033296.3419825034</v>
      </c>
      <c r="L44" s="28">
        <v>3410</v>
      </c>
      <c r="M44" s="33">
        <f>G44*L44</f>
        <v>2829993.1</v>
      </c>
      <c r="N44" s="27"/>
      <c r="O44" s="28">
        <v>6797976</v>
      </c>
      <c r="P44" s="28"/>
      <c r="Q44" s="28"/>
      <c r="R44" s="28"/>
      <c r="S44" s="28"/>
      <c r="T44" s="49">
        <f t="shared" ref="T44:T50" si="17">F44*L44</f>
        <v>2829993.1</v>
      </c>
      <c r="U44" s="49"/>
      <c r="V44" s="49"/>
    </row>
    <row r="45" spans="2:32" x14ac:dyDescent="0.25">
      <c r="B45" s="26">
        <v>3</v>
      </c>
      <c r="C45" s="26" t="s">
        <v>16</v>
      </c>
      <c r="D45" s="26"/>
      <c r="E45" s="38">
        <v>945.1</v>
      </c>
      <c r="F45" s="30">
        <v>945.1</v>
      </c>
      <c r="G45" s="59">
        <f>788+F50+E49</f>
        <v>944.56999999999994</v>
      </c>
      <c r="H45" s="28">
        <f t="shared" si="15"/>
        <v>10136197.5</v>
      </c>
      <c r="I45" s="29">
        <f t="shared" si="16"/>
        <v>10136197.5</v>
      </c>
      <c r="J45" s="29"/>
      <c r="K45" s="67">
        <f>(O45+P45+Q45)*G91</f>
        <v>12282941.193010502</v>
      </c>
      <c r="L45" s="28">
        <v>10725</v>
      </c>
      <c r="M45" s="33">
        <f>G45*L45</f>
        <v>10130513.25</v>
      </c>
      <c r="N45" s="27"/>
      <c r="O45" s="28">
        <f>11871978</f>
        <v>11871978</v>
      </c>
      <c r="P45" s="28"/>
      <c r="Q45" s="28"/>
      <c r="R45" s="28"/>
      <c r="S45" s="28"/>
      <c r="T45" s="49">
        <f t="shared" si="17"/>
        <v>10136197.5</v>
      </c>
      <c r="U45" s="49"/>
      <c r="V45" s="49"/>
    </row>
    <row r="46" spans="2:32" x14ac:dyDescent="0.25">
      <c r="B46" s="26">
        <v>4</v>
      </c>
      <c r="C46" s="26" t="s">
        <v>41</v>
      </c>
      <c r="D46" s="26"/>
      <c r="E46" s="38">
        <v>0</v>
      </c>
      <c r="F46" s="30">
        <v>0</v>
      </c>
      <c r="G46" s="26"/>
      <c r="H46" s="28"/>
      <c r="I46" s="29">
        <f t="shared" si="16"/>
        <v>0</v>
      </c>
      <c r="J46" s="29"/>
      <c r="K46" s="67">
        <f t="shared" ref="K46" si="18">(O46+P46+Q46)*G94</f>
        <v>0</v>
      </c>
      <c r="L46" s="28">
        <v>3740</v>
      </c>
      <c r="M46" s="33">
        <f>G46*L46</f>
        <v>0</v>
      </c>
      <c r="N46" s="27"/>
      <c r="O46" s="28"/>
      <c r="P46" s="28"/>
      <c r="Q46" s="28"/>
      <c r="R46" s="28"/>
      <c r="S46" s="28"/>
      <c r="T46" s="49">
        <f t="shared" si="17"/>
        <v>0</v>
      </c>
      <c r="U46" s="49"/>
      <c r="V46" s="49"/>
    </row>
    <row r="47" spans="2:32" x14ac:dyDescent="0.25">
      <c r="B47" s="26">
        <v>5</v>
      </c>
      <c r="C47" s="26" t="s">
        <v>42</v>
      </c>
      <c r="D47" s="26"/>
      <c r="E47" s="38">
        <v>1958.3</v>
      </c>
      <c r="F47" s="30">
        <v>1476.37</v>
      </c>
      <c r="G47" s="26">
        <v>1311</v>
      </c>
      <c r="H47" s="28">
        <f t="shared" si="15"/>
        <v>2030008.7499999998</v>
      </c>
      <c r="I47" s="29">
        <f t="shared" si="16"/>
        <v>2030008.7499999998</v>
      </c>
      <c r="J47" s="29"/>
      <c r="K47" s="67">
        <f>(O47+P47+Q47)*G91</f>
        <v>2772808.7588396044</v>
      </c>
      <c r="L47" s="28">
        <v>1375</v>
      </c>
      <c r="M47" s="33">
        <f>G47*L47</f>
        <v>1802625</v>
      </c>
      <c r="N47" s="27"/>
      <c r="O47" s="28">
        <v>1126831</v>
      </c>
      <c r="P47" s="28">
        <v>-1073525</v>
      </c>
      <c r="Q47" s="28">
        <v>2626730</v>
      </c>
      <c r="R47" s="28"/>
      <c r="S47" s="28"/>
      <c r="T47" s="49">
        <f t="shared" si="17"/>
        <v>2030008.7499999998</v>
      </c>
      <c r="U47" s="49"/>
      <c r="V47" s="49"/>
    </row>
    <row r="48" spans="2:32" x14ac:dyDescent="0.25">
      <c r="B48" s="26">
        <v>6</v>
      </c>
      <c r="C48" s="26" t="s">
        <v>45</v>
      </c>
      <c r="D48" s="26"/>
      <c r="E48" s="38">
        <v>0</v>
      </c>
      <c r="F48" s="30">
        <v>0</v>
      </c>
      <c r="G48" s="26"/>
      <c r="H48" s="28"/>
      <c r="I48" s="29">
        <f t="shared" si="16"/>
        <v>0</v>
      </c>
      <c r="J48" s="29"/>
      <c r="K48" s="67">
        <f>(O48+P48+Q48+U49)*G91</f>
        <v>3735788.1667197789</v>
      </c>
      <c r="L48" s="26"/>
      <c r="M48" s="27"/>
      <c r="N48" s="27"/>
      <c r="O48" s="28">
        <v>6995538</v>
      </c>
      <c r="P48" s="28">
        <v>-3154901</v>
      </c>
      <c r="Q48" s="28"/>
      <c r="R48" s="28"/>
      <c r="S48" s="28"/>
      <c r="T48" s="49">
        <f t="shared" si="17"/>
        <v>0</v>
      </c>
      <c r="U48" s="49"/>
      <c r="V48" s="49"/>
    </row>
    <row r="49" spans="1:24" x14ac:dyDescent="0.25">
      <c r="B49" s="26"/>
      <c r="C49" s="26" t="s">
        <v>113</v>
      </c>
      <c r="D49" s="26"/>
      <c r="E49" s="38">
        <f>-129.7</f>
        <v>-129.69999999999999</v>
      </c>
      <c r="F49" s="30">
        <v>0</v>
      </c>
      <c r="G49" s="26"/>
      <c r="H49" s="28"/>
      <c r="I49" s="29">
        <f t="shared" si="16"/>
        <v>0</v>
      </c>
      <c r="J49" s="29"/>
      <c r="K49" s="67">
        <f>Z11</f>
        <v>-1271240.46</v>
      </c>
      <c r="L49" s="26"/>
      <c r="M49" s="27"/>
      <c r="N49" s="27"/>
      <c r="O49" s="28"/>
      <c r="P49" s="28"/>
      <c r="Q49" s="28"/>
      <c r="R49" s="28"/>
      <c r="S49" s="28"/>
      <c r="T49" s="49">
        <f t="shared" si="17"/>
        <v>0</v>
      </c>
      <c r="U49" s="49">
        <v>-229841</v>
      </c>
      <c r="V49" s="49" t="s">
        <v>102</v>
      </c>
      <c r="W49" s="45"/>
      <c r="X49" s="45"/>
    </row>
    <row r="50" spans="1:24" x14ac:dyDescent="0.25">
      <c r="B50" s="26"/>
      <c r="C50" s="26" t="s">
        <v>114</v>
      </c>
      <c r="D50" s="26"/>
      <c r="E50" s="38">
        <v>0</v>
      </c>
      <c r="F50" s="30">
        <v>286.27</v>
      </c>
      <c r="G50" s="26"/>
      <c r="H50" s="28"/>
      <c r="I50" s="29">
        <f t="shared" si="16"/>
        <v>0</v>
      </c>
      <c r="J50" s="29"/>
      <c r="K50" s="67">
        <f>Z9</f>
        <v>2428629.9900000002</v>
      </c>
      <c r="L50" s="26"/>
      <c r="M50" s="27"/>
      <c r="N50" s="27"/>
      <c r="O50" s="28"/>
      <c r="P50" s="28"/>
      <c r="Q50" s="28"/>
      <c r="R50" s="28"/>
      <c r="S50" s="28"/>
      <c r="T50" s="49">
        <f t="shared" si="17"/>
        <v>0</v>
      </c>
      <c r="U50" s="49"/>
      <c r="V50" s="49"/>
    </row>
    <row r="51" spans="1:24" x14ac:dyDescent="0.25">
      <c r="B51" s="26"/>
      <c r="C51" s="99" t="s">
        <v>13</v>
      </c>
      <c r="D51" s="26"/>
      <c r="E51" s="47"/>
      <c r="F51" s="26"/>
      <c r="G51" s="26"/>
      <c r="H51" s="28">
        <f>SUM(H43:H50)</f>
        <v>25227675.549999997</v>
      </c>
      <c r="I51" s="29">
        <f>SUM(I43:I50)</f>
        <v>25227675.549999997</v>
      </c>
      <c r="J51" s="29"/>
      <c r="K51" s="67">
        <f>SUM(K43:K50)</f>
        <v>44833567.019992732</v>
      </c>
      <c r="L51" s="26"/>
      <c r="M51" s="27"/>
      <c r="N51" s="27"/>
      <c r="O51" s="28"/>
      <c r="P51" s="28"/>
      <c r="Q51" s="28"/>
      <c r="R51" s="28"/>
      <c r="S51" s="28"/>
      <c r="T51" s="49">
        <f>SUM(T43:T50)</f>
        <v>25227675.549999997</v>
      </c>
      <c r="U51" s="49"/>
      <c r="V51" s="49"/>
    </row>
    <row r="52" spans="1:24" x14ac:dyDescent="0.25">
      <c r="B52" s="26"/>
      <c r="C52" s="93"/>
      <c r="D52" s="26"/>
      <c r="E52" s="47"/>
      <c r="F52" s="26"/>
      <c r="G52" s="26"/>
      <c r="H52" s="28">
        <f t="shared" si="11"/>
        <v>0</v>
      </c>
      <c r="I52" s="29"/>
      <c r="J52" s="29"/>
      <c r="K52" s="67"/>
      <c r="L52" s="26"/>
      <c r="M52" s="27"/>
      <c r="N52" s="27"/>
      <c r="O52" s="28"/>
      <c r="P52" s="28"/>
      <c r="Q52" s="28"/>
      <c r="R52" s="28"/>
      <c r="S52" s="28"/>
      <c r="T52" s="49"/>
      <c r="U52" s="49"/>
      <c r="V52" s="49"/>
    </row>
    <row r="53" spans="1:24" ht="15" customHeight="1" x14ac:dyDescent="0.25">
      <c r="B53" s="26"/>
      <c r="C53" s="26" t="s">
        <v>11</v>
      </c>
      <c r="D53" s="26"/>
      <c r="E53" s="47"/>
      <c r="F53" s="26"/>
      <c r="G53" s="26"/>
      <c r="H53" s="28"/>
      <c r="I53" s="29"/>
      <c r="J53" s="29"/>
      <c r="K53" s="67"/>
      <c r="L53" s="26"/>
      <c r="M53" s="27"/>
      <c r="N53" s="27"/>
      <c r="O53" s="28"/>
      <c r="P53" s="28"/>
      <c r="Q53" s="28"/>
      <c r="R53" s="28"/>
      <c r="S53" s="28"/>
      <c r="T53" s="49"/>
      <c r="U53" s="49"/>
      <c r="V53" s="49"/>
    </row>
    <row r="54" spans="1:24" x14ac:dyDescent="0.25">
      <c r="B54" s="26"/>
      <c r="C54" s="26"/>
      <c r="D54" s="26"/>
      <c r="E54" s="47"/>
      <c r="F54" s="26"/>
      <c r="G54" s="26"/>
      <c r="H54" s="28">
        <f t="shared" si="11"/>
        <v>0</v>
      </c>
      <c r="I54" s="29"/>
      <c r="J54" s="29"/>
      <c r="K54" s="67"/>
      <c r="L54" s="26"/>
      <c r="M54" s="27"/>
      <c r="N54" s="27"/>
      <c r="O54" s="28"/>
      <c r="P54" s="28"/>
      <c r="Q54" s="28"/>
      <c r="R54" s="28"/>
      <c r="S54" s="28"/>
      <c r="T54" s="49"/>
      <c r="U54" s="49"/>
      <c r="V54" s="49"/>
    </row>
    <row r="55" spans="1:24" ht="15" customHeight="1" x14ac:dyDescent="0.25">
      <c r="B55" s="26">
        <v>1</v>
      </c>
      <c r="C55" s="26" t="s">
        <v>14</v>
      </c>
      <c r="D55" s="26"/>
      <c r="E55" s="38">
        <v>1059.8399999999999</v>
      </c>
      <c r="F55" s="30">
        <v>1059.8399999999999</v>
      </c>
      <c r="G55" s="26">
        <v>1732</v>
      </c>
      <c r="H55" s="28">
        <f>F55*L55</f>
        <v>4779878.3999999994</v>
      </c>
      <c r="I55" s="29">
        <f>F55*L55</f>
        <v>4779878.3999999994</v>
      </c>
      <c r="J55" s="29"/>
      <c r="K55" s="67">
        <f>(O55+P55+Q55)*G91</f>
        <v>8892081.6640000734</v>
      </c>
      <c r="L55" s="28">
        <v>4510</v>
      </c>
      <c r="M55" s="33">
        <f>G55*L55</f>
        <v>7811320</v>
      </c>
      <c r="N55" s="27"/>
      <c r="O55" s="28">
        <v>8594570</v>
      </c>
      <c r="P55" s="28"/>
      <c r="Q55" s="28"/>
      <c r="R55" s="28"/>
      <c r="S55" s="28"/>
      <c r="T55" s="49">
        <f>F55*L55</f>
        <v>4779878.3999999994</v>
      </c>
      <c r="U55" s="49"/>
      <c r="V55" s="49"/>
    </row>
    <row r="56" spans="1:24" x14ac:dyDescent="0.25">
      <c r="B56" s="26">
        <v>2</v>
      </c>
      <c r="C56" s="26" t="s">
        <v>15</v>
      </c>
      <c r="D56" s="26"/>
      <c r="E56" s="38">
        <v>676.57</v>
      </c>
      <c r="F56" s="30">
        <v>676.57</v>
      </c>
      <c r="G56" s="26">
        <v>683</v>
      </c>
      <c r="H56" s="28">
        <f t="shared" ref="H56:H59" si="19">F56*L56</f>
        <v>2307103.7000000002</v>
      </c>
      <c r="I56" s="29">
        <f t="shared" ref="I56:I59" si="20">F56*L56</f>
        <v>2307103.7000000002</v>
      </c>
      <c r="J56" s="29"/>
      <c r="K56" s="67">
        <f>(O56+P56+Q56)*G91</f>
        <v>5453648.4112228891</v>
      </c>
      <c r="L56" s="28">
        <v>3410</v>
      </c>
      <c r="M56" s="33">
        <f>G56*L56</f>
        <v>2329030</v>
      </c>
      <c r="N56" s="27"/>
      <c r="O56" s="28">
        <v>5271180</v>
      </c>
      <c r="P56" s="28"/>
      <c r="Q56" s="28"/>
      <c r="R56" s="28"/>
      <c r="S56" s="28"/>
      <c r="T56" s="49">
        <f t="shared" ref="T56:T59" si="21">F56*L56</f>
        <v>2307103.7000000002</v>
      </c>
      <c r="U56" s="49"/>
      <c r="V56" s="49"/>
    </row>
    <row r="57" spans="1:24" x14ac:dyDescent="0.25">
      <c r="B57" s="26">
        <v>3</v>
      </c>
      <c r="C57" s="26" t="s">
        <v>16</v>
      </c>
      <c r="D57" s="26"/>
      <c r="E57" s="38">
        <v>378.1</v>
      </c>
      <c r="F57" s="30">
        <v>378.1</v>
      </c>
      <c r="G57" s="26">
        <v>443</v>
      </c>
      <c r="H57" s="28">
        <f t="shared" si="19"/>
        <v>4055122.5000000005</v>
      </c>
      <c r="I57" s="29">
        <f t="shared" si="20"/>
        <v>4055122.5000000005</v>
      </c>
      <c r="J57" s="29"/>
      <c r="K57" s="67">
        <f>(O57+P57+Q57)*G91</f>
        <v>4237862.5952926213</v>
      </c>
      <c r="L57" s="28">
        <v>10725</v>
      </c>
      <c r="M57" s="33">
        <f>G57*L57</f>
        <v>4751175</v>
      </c>
      <c r="N57" s="27"/>
      <c r="O57" s="28">
        <v>4096072</v>
      </c>
      <c r="P57" s="28"/>
      <c r="Q57" s="28"/>
      <c r="R57" s="28"/>
      <c r="S57" s="28"/>
      <c r="T57" s="49">
        <f t="shared" si="21"/>
        <v>4055122.5000000005</v>
      </c>
      <c r="U57" s="49"/>
      <c r="V57" s="49"/>
    </row>
    <row r="58" spans="1:24" x14ac:dyDescent="0.25">
      <c r="B58" s="26">
        <v>4</v>
      </c>
      <c r="C58" s="26" t="s">
        <v>37</v>
      </c>
      <c r="D58" s="26"/>
      <c r="E58" s="38">
        <v>0</v>
      </c>
      <c r="F58" s="30">
        <v>0</v>
      </c>
      <c r="G58" s="26"/>
      <c r="H58" s="28"/>
      <c r="I58" s="29">
        <f t="shared" si="20"/>
        <v>0</v>
      </c>
      <c r="J58" s="29"/>
      <c r="K58" s="67">
        <f>(O58+P58+Q58)*G91</f>
        <v>0</v>
      </c>
      <c r="L58" s="28">
        <v>3740</v>
      </c>
      <c r="M58" s="27"/>
      <c r="N58" s="27"/>
      <c r="O58" s="28"/>
      <c r="P58" s="28"/>
      <c r="Q58" s="28"/>
      <c r="R58" s="28"/>
      <c r="S58" s="28"/>
      <c r="T58" s="49">
        <f t="shared" si="21"/>
        <v>0</v>
      </c>
      <c r="U58" s="49"/>
      <c r="V58" s="49"/>
    </row>
    <row r="59" spans="1:24" x14ac:dyDescent="0.25">
      <c r="B59" s="26">
        <v>5</v>
      </c>
      <c r="C59" s="26" t="s">
        <v>31</v>
      </c>
      <c r="D59" s="26"/>
      <c r="E59" s="38">
        <v>514.20000000000005</v>
      </c>
      <c r="F59" s="30">
        <v>493.27</v>
      </c>
      <c r="G59" s="26">
        <v>490</v>
      </c>
      <c r="H59" s="28">
        <f t="shared" si="19"/>
        <v>678246.25</v>
      </c>
      <c r="I59" s="29">
        <f t="shared" si="20"/>
        <v>678246.25</v>
      </c>
      <c r="J59" s="29"/>
      <c r="K59" s="67">
        <f>(O59+P59+Q59)*G91</f>
        <v>1555843.4804002228</v>
      </c>
      <c r="L59" s="28">
        <v>1375</v>
      </c>
      <c r="M59" s="33">
        <f>G59*L59</f>
        <v>673750</v>
      </c>
      <c r="N59" s="27"/>
      <c r="O59" s="28">
        <v>357962</v>
      </c>
      <c r="P59" s="28">
        <v>-324962</v>
      </c>
      <c r="Q59" s="28">
        <v>1470788</v>
      </c>
      <c r="R59" s="28"/>
      <c r="S59" s="28"/>
      <c r="T59" s="49">
        <f t="shared" si="21"/>
        <v>678246.25</v>
      </c>
      <c r="U59" s="49"/>
      <c r="V59" s="49"/>
    </row>
    <row r="60" spans="1:24" x14ac:dyDescent="0.25">
      <c r="B60" s="26">
        <v>6</v>
      </c>
      <c r="C60" s="26" t="s">
        <v>30</v>
      </c>
      <c r="D60" s="26"/>
      <c r="E60" s="30"/>
      <c r="F60" s="30"/>
      <c r="G60" s="26"/>
      <c r="H60" s="28"/>
      <c r="I60" s="28"/>
      <c r="J60" s="28"/>
      <c r="K60" s="71">
        <f>(O60+P60+Q60+U61)*G91</f>
        <v>2573399.9293490797</v>
      </c>
      <c r="L60" s="26"/>
      <c r="M60" s="26"/>
      <c r="N60" s="26"/>
      <c r="O60" s="28">
        <v>4090511</v>
      </c>
      <c r="P60" s="28">
        <v>-1378788</v>
      </c>
      <c r="Q60" s="28"/>
      <c r="R60" s="28"/>
      <c r="S60" s="28"/>
      <c r="T60" s="49"/>
      <c r="U60" s="49"/>
      <c r="V60" s="49"/>
    </row>
    <row r="61" spans="1:24" x14ac:dyDescent="0.25">
      <c r="B61" s="26"/>
      <c r="C61" s="26" t="s">
        <v>13</v>
      </c>
      <c r="D61" s="26"/>
      <c r="E61" s="30"/>
      <c r="F61" s="30"/>
      <c r="G61" s="26"/>
      <c r="H61" s="28">
        <f>SUM(H55:H60)</f>
        <v>11820350.85</v>
      </c>
      <c r="I61" s="28">
        <f>SUM(I55:I60)</f>
        <v>11820350.85</v>
      </c>
      <c r="J61" s="28"/>
      <c r="K61" s="71">
        <f>SUM(K55:K60)</f>
        <v>22712836.080264885</v>
      </c>
      <c r="L61" s="26"/>
      <c r="M61" s="26"/>
      <c r="N61" s="26"/>
      <c r="O61" s="28"/>
      <c r="P61" s="28"/>
      <c r="Q61" s="28"/>
      <c r="R61" s="28"/>
      <c r="S61" s="28"/>
      <c r="T61" s="49">
        <f>SUM(T55:T60)</f>
        <v>11820350.85</v>
      </c>
      <c r="U61" s="49">
        <v>-224424</v>
      </c>
      <c r="V61" s="49" t="s">
        <v>102</v>
      </c>
      <c r="W61" s="45"/>
      <c r="X61" s="45"/>
    </row>
    <row r="62" spans="1:24" x14ac:dyDescent="0.25">
      <c r="A62" s="25"/>
      <c r="B62" s="25"/>
      <c r="C62" s="25"/>
      <c r="D62" s="48"/>
      <c r="E62" s="50"/>
      <c r="F62" s="50"/>
      <c r="G62" s="25"/>
      <c r="H62" s="73"/>
      <c r="I62" s="73"/>
      <c r="J62" s="73"/>
      <c r="K62" s="25"/>
      <c r="L62" s="25"/>
      <c r="M62" s="25"/>
      <c r="N62" s="49"/>
      <c r="O62" s="49"/>
      <c r="P62" s="49"/>
      <c r="Q62" s="49"/>
      <c r="R62" s="49"/>
      <c r="S62" s="49"/>
      <c r="T62" s="49"/>
      <c r="U62" s="49"/>
      <c r="V62" s="49"/>
      <c r="W62" s="45"/>
      <c r="X62" s="45"/>
    </row>
    <row r="63" spans="1:24" x14ac:dyDescent="0.25">
      <c r="A63" s="25"/>
      <c r="B63" s="25"/>
      <c r="C63" s="25"/>
      <c r="D63" s="48"/>
      <c r="E63" s="50"/>
      <c r="F63" s="50"/>
      <c r="G63" s="25"/>
      <c r="H63" s="49"/>
      <c r="I63" s="49"/>
      <c r="J63" s="49"/>
      <c r="K63" s="25"/>
      <c r="L63" s="25"/>
      <c r="M63" s="25"/>
      <c r="N63" s="49"/>
      <c r="O63" s="49"/>
      <c r="P63" s="49"/>
      <c r="Q63" s="49"/>
      <c r="R63" s="49"/>
      <c r="S63" s="49"/>
      <c r="T63" s="49"/>
      <c r="U63" s="49"/>
    </row>
    <row r="64" spans="1:24" x14ac:dyDescent="0.25">
      <c r="A64" s="25"/>
      <c r="B64" s="51"/>
      <c r="C64" s="51"/>
      <c r="D64" s="52"/>
      <c r="E64" s="53"/>
      <c r="F64" s="53"/>
      <c r="G64" s="25"/>
      <c r="H64" s="73"/>
      <c r="I64" s="73"/>
      <c r="J64" s="73"/>
      <c r="K64" s="51"/>
      <c r="L64" s="51"/>
      <c r="M64" s="51"/>
      <c r="N64" s="54"/>
      <c r="O64" s="54"/>
      <c r="P64" s="54"/>
      <c r="Q64" s="49"/>
      <c r="R64" s="49"/>
      <c r="S64" s="49"/>
      <c r="T64" s="49"/>
      <c r="U64" s="49"/>
    </row>
    <row r="65" spans="1:22" s="25" customFormat="1" ht="15" customHeight="1" x14ac:dyDescent="0.25">
      <c r="A65" s="24"/>
      <c r="B65" s="26"/>
      <c r="C65" s="26" t="s">
        <v>12</v>
      </c>
      <c r="D65" s="74"/>
      <c r="E65" s="42" t="s">
        <v>43</v>
      </c>
      <c r="F65" s="42" t="s">
        <v>44</v>
      </c>
      <c r="G65" s="26"/>
      <c r="H65" s="28"/>
      <c r="I65" s="28"/>
      <c r="J65" s="28"/>
      <c r="K65" s="71"/>
      <c r="L65" s="26"/>
      <c r="M65" s="26"/>
      <c r="N65" s="26"/>
      <c r="O65" s="28"/>
      <c r="P65" s="28"/>
      <c r="Q65" s="28"/>
      <c r="R65" s="28"/>
      <c r="S65" s="28"/>
      <c r="T65" s="49"/>
      <c r="U65" s="49"/>
    </row>
    <row r="66" spans="1:22" x14ac:dyDescent="0.25">
      <c r="B66" s="26"/>
      <c r="C66" s="26"/>
      <c r="D66" s="55"/>
      <c r="E66" s="30"/>
      <c r="F66" s="30"/>
      <c r="G66" s="26"/>
      <c r="H66" s="28">
        <f t="shared" si="11"/>
        <v>0</v>
      </c>
      <c r="I66" s="28"/>
      <c r="J66" s="28"/>
      <c r="K66" s="71"/>
      <c r="L66" s="26"/>
      <c r="M66" s="26"/>
      <c r="N66" s="26"/>
      <c r="O66" s="28"/>
      <c r="P66" s="28"/>
      <c r="Q66" s="28"/>
      <c r="R66" s="28"/>
      <c r="S66" s="28"/>
      <c r="T66" s="49"/>
      <c r="U66" s="49"/>
      <c r="V66" s="49"/>
    </row>
    <row r="67" spans="1:22" ht="15" customHeight="1" x14ac:dyDescent="0.25">
      <c r="B67" s="26">
        <v>1</v>
      </c>
      <c r="C67" s="26" t="s">
        <v>14</v>
      </c>
      <c r="D67" s="26"/>
      <c r="E67" s="30">
        <v>3756.82</v>
      </c>
      <c r="F67" s="30">
        <v>3779.66</v>
      </c>
      <c r="G67" s="26">
        <v>5635</v>
      </c>
      <c r="H67" s="28">
        <f>F67*L67</f>
        <v>17046266.599999998</v>
      </c>
      <c r="I67" s="28">
        <f>F67*L67</f>
        <v>17046266.599999998</v>
      </c>
      <c r="J67" s="28"/>
      <c r="K67" s="71">
        <f>(O67+P67+Q67)*G94</f>
        <v>49084285.439532563</v>
      </c>
      <c r="L67" s="28">
        <v>4510</v>
      </c>
      <c r="M67" s="32">
        <f t="shared" ref="M67:M76" si="22">G67*L67</f>
        <v>25413850</v>
      </c>
      <c r="N67" s="26"/>
      <c r="O67" s="28">
        <v>47476316</v>
      </c>
      <c r="P67" s="28"/>
      <c r="Q67" s="28"/>
      <c r="R67" s="28"/>
      <c r="S67" s="28"/>
      <c r="T67" s="49">
        <f>F67*L67</f>
        <v>17046266.599999998</v>
      </c>
      <c r="U67" s="49"/>
      <c r="V67" s="49"/>
    </row>
    <row r="68" spans="1:22" x14ac:dyDescent="0.25">
      <c r="B68" s="26">
        <v>2</v>
      </c>
      <c r="C68" s="26" t="s">
        <v>15</v>
      </c>
      <c r="D68" s="26"/>
      <c r="E68" s="30">
        <v>2254.9899999999998</v>
      </c>
      <c r="F68" s="30">
        <v>2290.5</v>
      </c>
      <c r="G68" s="26">
        <v>2402</v>
      </c>
      <c r="H68" s="28">
        <f t="shared" ref="H68:H72" si="23">F68*L68</f>
        <v>7810605</v>
      </c>
      <c r="I68" s="28">
        <f t="shared" ref="I68:I72" si="24">F68*L68</f>
        <v>7810605</v>
      </c>
      <c r="J68" s="28"/>
      <c r="K68" s="71">
        <f>(O68+P68+Q68)*G94</f>
        <v>25586493.991874333</v>
      </c>
      <c r="L68" s="28">
        <v>3410</v>
      </c>
      <c r="M68" s="32">
        <f t="shared" si="22"/>
        <v>8190820</v>
      </c>
      <c r="N68" s="26"/>
      <c r="O68" s="28">
        <v>24748297</v>
      </c>
      <c r="P68" s="28"/>
      <c r="Q68" s="28"/>
      <c r="R68" s="28"/>
      <c r="S68" s="28"/>
      <c r="T68" s="49">
        <f t="shared" ref="T68:T72" si="25">F68*L68</f>
        <v>7810605</v>
      </c>
      <c r="U68" s="49"/>
      <c r="V68" s="49"/>
    </row>
    <row r="69" spans="1:22" x14ac:dyDescent="0.25">
      <c r="B69" s="26">
        <v>3</v>
      </c>
      <c r="C69" s="26" t="s">
        <v>16</v>
      </c>
      <c r="D69" s="26"/>
      <c r="E69" s="30">
        <v>2254.9899999999998</v>
      </c>
      <c r="F69" s="30">
        <v>2236.14</v>
      </c>
      <c r="G69" s="26">
        <v>2266.94</v>
      </c>
      <c r="H69" s="28">
        <f t="shared" si="23"/>
        <v>23982601.5</v>
      </c>
      <c r="I69" s="28">
        <f t="shared" si="24"/>
        <v>23982601.5</v>
      </c>
      <c r="J69" s="28"/>
      <c r="K69" s="71">
        <f>(O69+P69+Q69)*G94</f>
        <v>58083692.182942718</v>
      </c>
      <c r="L69" s="28">
        <v>10725</v>
      </c>
      <c r="M69" s="32">
        <f t="shared" si="22"/>
        <v>24312931.5</v>
      </c>
      <c r="N69" s="26"/>
      <c r="O69" s="28">
        <v>55970136</v>
      </c>
      <c r="P69" s="28">
        <f>-(537738+507682)</f>
        <v>-1045420</v>
      </c>
      <c r="Q69" s="28">
        <f>730683+135768+389741</f>
        <v>1256192</v>
      </c>
      <c r="R69" s="28"/>
      <c r="S69" s="28"/>
      <c r="T69" s="49">
        <f t="shared" si="25"/>
        <v>23982601.5</v>
      </c>
      <c r="U69" s="49"/>
      <c r="V69" s="49"/>
    </row>
    <row r="70" spans="1:22" x14ac:dyDescent="0.25">
      <c r="B70" s="26">
        <v>4</v>
      </c>
      <c r="C70" s="26" t="s">
        <v>37</v>
      </c>
      <c r="D70" s="55"/>
      <c r="E70" s="30">
        <v>1766.4</v>
      </c>
      <c r="F70" s="30">
        <v>1497.36</v>
      </c>
      <c r="G70" s="26">
        <v>1847</v>
      </c>
      <c r="H70" s="28">
        <f>F70*L70</f>
        <v>5600126.3999999994</v>
      </c>
      <c r="I70" s="28">
        <f t="shared" si="24"/>
        <v>5600126.3999999994</v>
      </c>
      <c r="J70" s="28"/>
      <c r="K70" s="71">
        <f>(O70+P70+Q70)*G94</f>
        <v>5797267.7410820844</v>
      </c>
      <c r="L70" s="28">
        <v>3740</v>
      </c>
      <c r="M70" s="32">
        <f>G70*L70</f>
        <v>6907780</v>
      </c>
      <c r="N70" s="26"/>
      <c r="O70" s="28"/>
      <c r="P70" s="28">
        <v>-2143248</v>
      </c>
      <c r="Q70" s="28">
        <v>7750601</v>
      </c>
      <c r="R70" s="28"/>
      <c r="S70" s="28"/>
      <c r="T70" s="49">
        <f t="shared" si="25"/>
        <v>5600126.3999999994</v>
      </c>
      <c r="U70" s="49"/>
      <c r="V70" s="49"/>
    </row>
    <row r="71" spans="1:22" x14ac:dyDescent="0.25">
      <c r="B71" s="26">
        <v>5</v>
      </c>
      <c r="C71" s="26" t="s">
        <v>31</v>
      </c>
      <c r="D71" s="55"/>
      <c r="E71" s="30">
        <v>4600</v>
      </c>
      <c r="F71" s="30">
        <v>303.91000000000003</v>
      </c>
      <c r="G71" s="39">
        <v>816</v>
      </c>
      <c r="H71" s="28">
        <f t="shared" si="23"/>
        <v>417876.25000000006</v>
      </c>
      <c r="I71" s="28">
        <f t="shared" si="24"/>
        <v>417876.25000000006</v>
      </c>
      <c r="J71" s="28"/>
      <c r="K71" s="71">
        <f>(O71+P71+Q71)*G94</f>
        <v>2892220.2649713908</v>
      </c>
      <c r="L71" s="31">
        <v>1375</v>
      </c>
      <c r="M71" s="75">
        <f t="shared" si="22"/>
        <v>1122000</v>
      </c>
      <c r="N71" s="26"/>
      <c r="O71" s="28">
        <v>2797473</v>
      </c>
      <c r="P71" s="28"/>
      <c r="Q71" s="28"/>
      <c r="R71" s="28"/>
      <c r="S71" s="28"/>
      <c r="T71" s="49">
        <f t="shared" si="25"/>
        <v>417876.25000000006</v>
      </c>
      <c r="U71" s="49"/>
      <c r="V71" s="49"/>
    </row>
    <row r="72" spans="1:22" x14ac:dyDescent="0.25">
      <c r="B72" s="26">
        <v>6</v>
      </c>
      <c r="C72" s="26" t="s">
        <v>30</v>
      </c>
      <c r="D72" s="55"/>
      <c r="E72" s="59">
        <v>201.6</v>
      </c>
      <c r="F72" s="30">
        <v>235.24</v>
      </c>
      <c r="G72" s="26">
        <v>235.24</v>
      </c>
      <c r="H72" s="28">
        <f t="shared" si="23"/>
        <v>14102638</v>
      </c>
      <c r="I72" s="28">
        <f t="shared" si="24"/>
        <v>14102638</v>
      </c>
      <c r="J72" s="28"/>
      <c r="K72" s="71">
        <f>(O72+P72+Q72)*G94</f>
        <v>14018891.827787863</v>
      </c>
      <c r="L72" s="28">
        <v>59950</v>
      </c>
      <c r="M72" s="32">
        <f>G72*L72</f>
        <v>14102638</v>
      </c>
      <c r="N72" s="26"/>
      <c r="O72" s="28">
        <v>10859995</v>
      </c>
      <c r="P72" s="28"/>
      <c r="Q72" s="28">
        <v>2699647</v>
      </c>
      <c r="R72" s="28"/>
      <c r="S72" s="28"/>
      <c r="T72" s="49">
        <f t="shared" si="25"/>
        <v>14102638</v>
      </c>
      <c r="U72" s="49"/>
      <c r="V72" s="49"/>
    </row>
    <row r="73" spans="1:22" x14ac:dyDescent="0.25">
      <c r="B73" s="26"/>
      <c r="C73" s="26" t="s">
        <v>13</v>
      </c>
      <c r="D73" s="55"/>
      <c r="E73" s="30"/>
      <c r="F73" s="63"/>
      <c r="G73" s="26"/>
      <c r="H73" s="28">
        <f>SUM(H67:H72)</f>
        <v>68960113.75</v>
      </c>
      <c r="I73" s="28">
        <f>SUM(I67:I72)</f>
        <v>68960113.75</v>
      </c>
      <c r="J73" s="28"/>
      <c r="K73" s="71">
        <f>SUM(K67:K72)</f>
        <v>155462851.44819099</v>
      </c>
      <c r="L73" s="28"/>
      <c r="M73" s="32">
        <f t="shared" si="22"/>
        <v>0</v>
      </c>
      <c r="N73" s="26"/>
      <c r="O73" s="28"/>
      <c r="P73" s="28"/>
      <c r="Q73" s="28"/>
      <c r="R73" s="28"/>
      <c r="S73" s="28"/>
      <c r="T73" s="49">
        <f>SUM(T67:T72)</f>
        <v>68960113.75</v>
      </c>
      <c r="U73" s="49"/>
      <c r="V73" s="49"/>
    </row>
    <row r="74" spans="1:22" x14ac:dyDescent="0.25">
      <c r="B74" s="25"/>
      <c r="C74" s="25"/>
      <c r="D74" s="48"/>
      <c r="E74" s="50"/>
      <c r="F74" s="94"/>
      <c r="G74" s="25"/>
      <c r="H74" s="49"/>
      <c r="I74" s="49"/>
      <c r="J74" s="49"/>
      <c r="K74" s="49"/>
      <c r="L74" s="57"/>
      <c r="M74" s="25"/>
      <c r="N74" s="49"/>
      <c r="O74" s="49"/>
      <c r="P74" s="49"/>
      <c r="Q74" s="49"/>
      <c r="R74" s="49"/>
      <c r="S74" s="49"/>
      <c r="T74" s="49"/>
      <c r="U74" s="49"/>
      <c r="V74" s="49"/>
    </row>
    <row r="75" spans="1:22" x14ac:dyDescent="0.25">
      <c r="B75" s="25"/>
      <c r="C75" s="25"/>
      <c r="D75" s="48"/>
      <c r="E75" s="50"/>
      <c r="F75" s="50"/>
      <c r="G75" s="25"/>
      <c r="H75" s="49"/>
      <c r="I75" s="49"/>
      <c r="J75" s="49"/>
      <c r="K75" s="49"/>
      <c r="L75" s="57"/>
      <c r="M75" s="25"/>
      <c r="N75" s="49"/>
      <c r="O75" s="49"/>
      <c r="P75" s="49"/>
      <c r="Q75" s="49"/>
      <c r="R75" s="49"/>
      <c r="S75" s="49"/>
      <c r="T75" s="49"/>
      <c r="U75" s="49"/>
    </row>
    <row r="76" spans="1:22" x14ac:dyDescent="0.25">
      <c r="B76" s="26">
        <v>7</v>
      </c>
      <c r="C76" s="26" t="s">
        <v>35</v>
      </c>
      <c r="D76" s="58"/>
      <c r="E76" s="59"/>
      <c r="F76" s="59">
        <v>110</v>
      </c>
      <c r="G76" s="26"/>
      <c r="H76" s="28"/>
      <c r="I76" s="28"/>
      <c r="J76" s="28"/>
      <c r="K76" s="71">
        <f>(O76+P76+Q76)*G102</f>
        <v>0</v>
      </c>
      <c r="L76" s="28"/>
      <c r="M76" s="32">
        <f t="shared" si="22"/>
        <v>0</v>
      </c>
      <c r="N76" s="26"/>
      <c r="O76" s="28"/>
      <c r="P76" s="28"/>
      <c r="Q76" s="28"/>
      <c r="R76" s="28"/>
      <c r="S76" s="28"/>
      <c r="T76" s="49"/>
      <c r="U76" s="49"/>
    </row>
    <row r="77" spans="1:22" x14ac:dyDescent="0.25">
      <c r="B77" s="26"/>
      <c r="C77" s="26" t="s">
        <v>34</v>
      </c>
      <c r="D77" s="58"/>
      <c r="E77" s="59"/>
      <c r="F77" s="59">
        <v>235.24</v>
      </c>
      <c r="G77" s="26">
        <v>235.24</v>
      </c>
      <c r="H77" s="28">
        <f>H17</f>
        <v>8151066</v>
      </c>
      <c r="I77" s="28">
        <f>G77*L77</f>
        <v>8151066</v>
      </c>
      <c r="J77" s="28"/>
      <c r="K77" s="71">
        <f>(O77+P77+Q77)*G91</f>
        <v>8099269.7269305093</v>
      </c>
      <c r="L77" s="28">
        <v>34650</v>
      </c>
      <c r="M77" s="32">
        <f>G77*L77</f>
        <v>8151066</v>
      </c>
      <c r="N77" s="26"/>
      <c r="O77" s="28"/>
      <c r="P77" s="28"/>
      <c r="Q77" s="28">
        <v>7828284</v>
      </c>
      <c r="R77" s="28"/>
      <c r="S77" s="28"/>
      <c r="T77" s="49">
        <f>G77*L77</f>
        <v>8151066</v>
      </c>
      <c r="U77" s="49"/>
      <c r="V77" s="49"/>
    </row>
    <row r="78" spans="1:22" x14ac:dyDescent="0.25">
      <c r="B78" s="26"/>
      <c r="C78" s="26" t="s">
        <v>103</v>
      </c>
      <c r="D78" s="26"/>
      <c r="E78" s="26"/>
      <c r="F78" s="26"/>
      <c r="G78" s="26"/>
      <c r="H78" s="28"/>
      <c r="I78" s="28"/>
      <c r="J78" s="28"/>
      <c r="K78" s="71">
        <f>-(U39+U49+U61)*G91</f>
        <v>710182.31137620553</v>
      </c>
      <c r="L78" s="26"/>
      <c r="M78" s="26"/>
      <c r="N78" s="26"/>
      <c r="O78" s="28"/>
      <c r="P78" s="28"/>
      <c r="Q78" s="28"/>
      <c r="R78" s="28"/>
      <c r="S78" s="28"/>
      <c r="T78" s="49"/>
      <c r="U78" s="49"/>
      <c r="V78" s="49"/>
    </row>
    <row r="79" spans="1:22" ht="15.75" thickBot="1" x14ac:dyDescent="0.3">
      <c r="B79" s="26"/>
      <c r="C79" s="26" t="s">
        <v>13</v>
      </c>
      <c r="D79" s="26"/>
      <c r="E79" s="26"/>
      <c r="F79" s="26"/>
      <c r="G79" s="26"/>
      <c r="H79" s="112"/>
      <c r="I79" s="28"/>
      <c r="J79" s="117"/>
      <c r="K79" s="115">
        <f>SUM(K77:K78)</f>
        <v>8809452.038306715</v>
      </c>
      <c r="L79" s="26"/>
      <c r="M79" s="26"/>
      <c r="N79" s="26"/>
      <c r="O79" s="28"/>
      <c r="P79" s="28"/>
      <c r="Q79" s="28"/>
      <c r="R79" s="28"/>
      <c r="S79" s="28"/>
      <c r="T79" s="49"/>
      <c r="U79" s="49"/>
      <c r="V79" s="49"/>
    </row>
    <row r="80" spans="1:22" ht="15.75" thickBot="1" x14ac:dyDescent="0.3">
      <c r="C80" s="24" t="s">
        <v>116</v>
      </c>
      <c r="H80" s="114">
        <f>H29+H39+H51+H61+H73+H77</f>
        <v>141338176.65000001</v>
      </c>
      <c r="I80" s="32">
        <f>I29+I39+I51+I61+I73+I77</f>
        <v>141338176.65000001</v>
      </c>
      <c r="J80" s="57"/>
      <c r="T80" s="103">
        <f>T29+T39+T51+T61+T73+T77</f>
        <v>141338176.65000001</v>
      </c>
      <c r="U80" s="49"/>
      <c r="V80" s="49"/>
    </row>
    <row r="83" spans="3:20" x14ac:dyDescent="0.25">
      <c r="C83" s="24" t="s">
        <v>63</v>
      </c>
      <c r="D83" s="45"/>
      <c r="E83" s="45" t="s">
        <v>63</v>
      </c>
      <c r="F83" s="45" t="s">
        <v>93</v>
      </c>
      <c r="G83" s="45"/>
      <c r="H83" s="49"/>
      <c r="I83" s="49"/>
      <c r="J83" s="49"/>
      <c r="K83" s="45"/>
      <c r="L83" s="24" t="s">
        <v>131</v>
      </c>
    </row>
    <row r="84" spans="3:20" ht="15.75" thickBot="1" x14ac:dyDescent="0.3">
      <c r="C84" s="45" t="s">
        <v>19</v>
      </c>
      <c r="E84" s="45">
        <v>166950</v>
      </c>
      <c r="F84" s="45">
        <f>11998785-E84</f>
        <v>11831835</v>
      </c>
      <c r="G84" s="60">
        <f>E84/F84</f>
        <v>1.4110237338502439E-2</v>
      </c>
      <c r="H84" s="49"/>
      <c r="I84" s="49"/>
      <c r="J84" s="49"/>
      <c r="K84" s="45"/>
      <c r="M84" s="45">
        <v>730683</v>
      </c>
      <c r="N84" s="45">
        <v>-537378</v>
      </c>
      <c r="T84" s="103">
        <f>T23+T33+T43+T55+T67</f>
        <v>45475006.5</v>
      </c>
    </row>
    <row r="85" spans="3:20" ht="15.75" thickBot="1" x14ac:dyDescent="0.3">
      <c r="C85" s="45" t="s">
        <v>73</v>
      </c>
      <c r="E85" s="45"/>
      <c r="F85" s="45"/>
      <c r="G85" s="76">
        <f>G84+1</f>
        <v>1.0141102373385025</v>
      </c>
      <c r="H85" s="49"/>
      <c r="I85" s="49"/>
      <c r="J85" s="49"/>
      <c r="K85" s="45"/>
      <c r="M85" s="45">
        <v>135798</v>
      </c>
      <c r="N85" s="45">
        <v>-507682</v>
      </c>
    </row>
    <row r="86" spans="3:20" x14ac:dyDescent="0.25">
      <c r="C86" s="45"/>
      <c r="E86" s="45"/>
      <c r="F86" s="45"/>
      <c r="G86" s="60"/>
      <c r="H86" s="49"/>
      <c r="I86" s="49"/>
      <c r="J86" s="49"/>
      <c r="K86" s="45"/>
      <c r="M86" s="45">
        <v>389741.5</v>
      </c>
      <c r="N86" s="45"/>
    </row>
    <row r="87" spans="3:20" x14ac:dyDescent="0.25">
      <c r="C87" s="45" t="s">
        <v>9</v>
      </c>
      <c r="E87" s="45">
        <v>1035246</v>
      </c>
      <c r="F87" s="45">
        <v>27625981</v>
      </c>
      <c r="G87" s="60">
        <f>E87/F87</f>
        <v>3.7473637587747563E-2</v>
      </c>
      <c r="H87" s="49"/>
      <c r="I87" s="49"/>
      <c r="J87" s="49"/>
      <c r="K87" s="45"/>
      <c r="L87" s="24" t="s">
        <v>13</v>
      </c>
      <c r="M87" s="45">
        <f>SUM(M84:M86)</f>
        <v>1256222.5</v>
      </c>
      <c r="N87" s="45">
        <f>SUM(N84:N86)</f>
        <v>-1045060</v>
      </c>
      <c r="O87" s="61"/>
    </row>
    <row r="88" spans="3:20" x14ac:dyDescent="0.25">
      <c r="C88" s="45" t="s">
        <v>10</v>
      </c>
      <c r="E88" s="45">
        <v>1781276</v>
      </c>
      <c r="F88" s="45">
        <v>59394724</v>
      </c>
      <c r="G88" s="60">
        <f>E88/F88</f>
        <v>2.9990475248272894E-2</v>
      </c>
      <c r="H88" s="49"/>
      <c r="I88" s="49"/>
      <c r="J88" s="49"/>
      <c r="K88" s="45"/>
      <c r="M88" s="45"/>
      <c r="N88" s="45"/>
    </row>
    <row r="89" spans="3:20" x14ac:dyDescent="0.25">
      <c r="C89" s="45" t="s">
        <v>11</v>
      </c>
      <c r="E89" s="45">
        <v>1026601</v>
      </c>
      <c r="F89" s="45">
        <v>28215265</v>
      </c>
      <c r="G89" s="60">
        <f>E89/F89</f>
        <v>3.6384595359993964E-2</v>
      </c>
      <c r="H89" s="49"/>
      <c r="I89" s="49"/>
      <c r="J89" s="49"/>
      <c r="K89" s="45"/>
    </row>
    <row r="90" spans="3:20" ht="15.75" thickBot="1" x14ac:dyDescent="0.3">
      <c r="C90" s="45" t="s">
        <v>64</v>
      </c>
      <c r="E90" s="45">
        <f>SUM(E87:E89)</f>
        <v>3843123</v>
      </c>
      <c r="F90" s="45">
        <f>SUM(F87:F89)-E90</f>
        <v>111392847</v>
      </c>
      <c r="G90" s="60">
        <f>SUM(G87:G89)/3</f>
        <v>3.4616236065338139E-2</v>
      </c>
      <c r="H90" s="49"/>
      <c r="I90" s="49"/>
      <c r="J90" s="49"/>
      <c r="K90" s="45"/>
    </row>
    <row r="91" spans="3:20" ht="15.75" thickBot="1" x14ac:dyDescent="0.3">
      <c r="C91" s="45" t="s">
        <v>73</v>
      </c>
      <c r="E91" s="45"/>
      <c r="F91" s="45"/>
      <c r="G91" s="76">
        <f>G90+1</f>
        <v>1.0346162360653381</v>
      </c>
      <c r="H91" s="49"/>
      <c r="I91" s="49"/>
      <c r="J91" s="49"/>
      <c r="K91" s="45"/>
    </row>
    <row r="92" spans="3:20" x14ac:dyDescent="0.25">
      <c r="C92" s="45"/>
      <c r="E92" s="45"/>
      <c r="F92" s="45"/>
      <c r="G92" s="60"/>
      <c r="H92" s="49"/>
      <c r="I92" s="49"/>
      <c r="J92" s="49"/>
      <c r="K92" s="45"/>
    </row>
    <row r="93" spans="3:20" ht="15.75" thickBot="1" x14ac:dyDescent="0.3">
      <c r="C93" s="45" t="s">
        <v>12</v>
      </c>
      <c r="E93" s="45">
        <v>5172026</v>
      </c>
      <c r="F93" s="45">
        <f>157879369-E93</f>
        <v>152707343</v>
      </c>
      <c r="G93" s="60">
        <f>E93/F93</f>
        <v>3.386887557856337E-2</v>
      </c>
      <c r="H93" s="49"/>
      <c r="I93" s="49"/>
      <c r="J93" s="49"/>
      <c r="K93" s="45"/>
    </row>
    <row r="94" spans="3:20" ht="15.75" thickBot="1" x14ac:dyDescent="0.3">
      <c r="C94" s="45" t="s">
        <v>73</v>
      </c>
      <c r="E94" s="45"/>
      <c r="F94" s="45"/>
      <c r="G94" s="76">
        <f>1+G93</f>
        <v>1.0338688755785634</v>
      </c>
      <c r="H94" s="49"/>
      <c r="I94" s="49"/>
      <c r="J94" s="49"/>
      <c r="K94" s="45"/>
    </row>
    <row r="95" spans="3:20" x14ac:dyDescent="0.25">
      <c r="D95" s="45"/>
      <c r="E95" s="45"/>
      <c r="F95" s="45"/>
      <c r="G95" s="45"/>
      <c r="H95" s="49"/>
      <c r="I95" s="49"/>
      <c r="J95" s="49"/>
      <c r="K95" s="45"/>
    </row>
    <row r="96" spans="3:20" x14ac:dyDescent="0.25">
      <c r="D96" s="45"/>
      <c r="E96" s="45"/>
      <c r="F96" s="45"/>
    </row>
    <row r="98" spans="2:14" x14ac:dyDescent="0.25">
      <c r="B98" s="85"/>
      <c r="C98" s="85"/>
      <c r="D98" s="109"/>
      <c r="E98" s="109"/>
      <c r="F98" s="85"/>
      <c r="G98" s="85"/>
      <c r="H98" s="87"/>
      <c r="I98" s="87"/>
      <c r="J98" s="87"/>
      <c r="K98" s="85"/>
      <c r="L98" s="85"/>
      <c r="M98" s="85"/>
      <c r="N98" s="85"/>
    </row>
    <row r="99" spans="2:14" x14ac:dyDescent="0.25">
      <c r="B99" s="110"/>
      <c r="C99" s="110"/>
      <c r="D99" s="110"/>
      <c r="E99" s="110"/>
      <c r="F99" s="110"/>
      <c r="G99" s="85"/>
      <c r="H99" s="87"/>
      <c r="I99" s="87"/>
      <c r="J99" s="87"/>
      <c r="K99" s="85"/>
      <c r="L99" s="85"/>
      <c r="M99" s="85"/>
      <c r="N99" s="85"/>
    </row>
    <row r="100" spans="2:14" x14ac:dyDescent="0.25">
      <c r="B100" s="85"/>
      <c r="C100" s="111"/>
      <c r="D100" s="111" t="s">
        <v>136</v>
      </c>
      <c r="E100" s="111"/>
      <c r="F100" s="111" t="s">
        <v>138</v>
      </c>
      <c r="G100" s="111" t="s">
        <v>139</v>
      </c>
      <c r="H100" s="111" t="s">
        <v>145</v>
      </c>
      <c r="I100" s="111"/>
      <c r="J100" s="111"/>
      <c r="K100" s="111" t="s">
        <v>146</v>
      </c>
      <c r="L100" s="111" t="s">
        <v>144</v>
      </c>
      <c r="M100" s="111" t="s">
        <v>143</v>
      </c>
      <c r="N100" s="85"/>
    </row>
    <row r="101" spans="2:14" x14ac:dyDescent="0.25">
      <c r="B101" s="85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85"/>
    </row>
    <row r="102" spans="2:14" x14ac:dyDescent="0.25">
      <c r="B102" s="85"/>
      <c r="C102" s="111" t="s">
        <v>133</v>
      </c>
      <c r="D102" s="111" t="s">
        <v>71</v>
      </c>
      <c r="E102" s="71"/>
      <c r="F102" s="71">
        <f>K72</f>
        <v>14018891.827787863</v>
      </c>
      <c r="G102" s="71"/>
      <c r="H102" s="71"/>
      <c r="I102" s="71"/>
      <c r="J102" s="71"/>
      <c r="K102" s="71">
        <f>F102-M102</f>
        <v>-83746.172212136909</v>
      </c>
      <c r="L102" s="71"/>
      <c r="M102" s="71">
        <f>H72</f>
        <v>14102638</v>
      </c>
      <c r="N102" s="110"/>
    </row>
    <row r="103" spans="2:14" x14ac:dyDescent="0.25">
      <c r="B103" s="85"/>
      <c r="C103" s="111"/>
      <c r="D103" s="111" t="s">
        <v>70</v>
      </c>
      <c r="E103" s="71"/>
      <c r="F103" s="71">
        <f>K71</f>
        <v>2892220.2649713908</v>
      </c>
      <c r="G103" s="71"/>
      <c r="H103" s="71"/>
      <c r="I103" s="71"/>
      <c r="J103" s="71"/>
      <c r="K103" s="71">
        <f t="shared" ref="K103:K106" si="26">F103-M103</f>
        <v>2474344.0149713908</v>
      </c>
      <c r="L103" s="71"/>
      <c r="M103" s="71">
        <f>H71</f>
        <v>417876.25000000006</v>
      </c>
      <c r="N103" s="110"/>
    </row>
    <row r="104" spans="2:14" x14ac:dyDescent="0.25">
      <c r="B104" s="85"/>
      <c r="C104" s="111"/>
      <c r="D104" s="111" t="s">
        <v>69</v>
      </c>
      <c r="E104" s="71"/>
      <c r="F104" s="71">
        <f>K70</f>
        <v>5797267.7410820844</v>
      </c>
      <c r="G104" s="71"/>
      <c r="H104" s="71"/>
      <c r="I104" s="71"/>
      <c r="J104" s="71"/>
      <c r="K104" s="71">
        <f t="shared" si="26"/>
        <v>197141.34108208492</v>
      </c>
      <c r="L104" s="71"/>
      <c r="M104" s="71">
        <f>H70</f>
        <v>5600126.3999999994</v>
      </c>
      <c r="N104" s="110"/>
    </row>
    <row r="105" spans="2:14" x14ac:dyDescent="0.25">
      <c r="B105" s="85"/>
      <c r="C105" s="111"/>
      <c r="D105" s="111" t="s">
        <v>67</v>
      </c>
      <c r="E105" s="71"/>
      <c r="F105" s="71">
        <f>Y24</f>
        <v>132754471.61434962</v>
      </c>
      <c r="G105" s="71"/>
      <c r="H105" s="71"/>
      <c r="I105" s="71"/>
      <c r="J105" s="71"/>
      <c r="K105" s="71">
        <f t="shared" si="26"/>
        <v>83914998.514349625</v>
      </c>
      <c r="L105" s="71"/>
      <c r="M105" s="71">
        <f>H67+H68+H69</f>
        <v>48839473.099999994</v>
      </c>
      <c r="N105" s="110"/>
    </row>
    <row r="106" spans="2:14" x14ac:dyDescent="0.25">
      <c r="B106" s="85"/>
      <c r="C106" s="111"/>
      <c r="D106" s="111" t="s">
        <v>139</v>
      </c>
      <c r="E106" s="71"/>
      <c r="F106" s="71">
        <f>E107-F102-F103-F104-F105</f>
        <v>23705969.241809025</v>
      </c>
      <c r="G106" s="71"/>
      <c r="H106" s="71"/>
      <c r="I106" s="71"/>
      <c r="J106" s="71"/>
      <c r="K106" s="71">
        <f t="shared" si="26"/>
        <v>23705969.241809025</v>
      </c>
      <c r="L106" s="71"/>
      <c r="M106" s="71"/>
      <c r="N106" s="110"/>
    </row>
    <row r="107" spans="2:14" x14ac:dyDescent="0.25">
      <c r="B107" s="85"/>
      <c r="C107" s="111"/>
      <c r="D107" s="111" t="s">
        <v>13</v>
      </c>
      <c r="E107" s="71">
        <f>Z5</f>
        <v>179168820.69</v>
      </c>
      <c r="F107" s="71"/>
      <c r="G107" s="71"/>
      <c r="H107" s="71">
        <f>E107-L107</f>
        <v>110208706.94</v>
      </c>
      <c r="I107" s="71"/>
      <c r="J107" s="71"/>
      <c r="K107" s="71"/>
      <c r="L107" s="71">
        <f>M102+M103+M104+M105</f>
        <v>68960113.75</v>
      </c>
      <c r="M107" s="71"/>
      <c r="N107" s="110"/>
    </row>
    <row r="108" spans="2:14" x14ac:dyDescent="0.25">
      <c r="B108" s="85"/>
      <c r="C108" s="111"/>
      <c r="D108" s="111"/>
      <c r="E108" s="71"/>
      <c r="F108" s="71"/>
      <c r="G108" s="71"/>
      <c r="H108" s="71"/>
      <c r="I108" s="71"/>
      <c r="J108" s="71"/>
      <c r="K108" s="71"/>
      <c r="L108" s="71"/>
      <c r="M108" s="71"/>
      <c r="N108" s="110"/>
    </row>
    <row r="109" spans="2:14" x14ac:dyDescent="0.25">
      <c r="B109" s="85"/>
      <c r="C109" s="111" t="s">
        <v>134</v>
      </c>
      <c r="D109" s="111" t="s">
        <v>72</v>
      </c>
      <c r="E109" s="71"/>
      <c r="F109" s="71">
        <f>AC23</f>
        <v>8809452.038306715</v>
      </c>
      <c r="G109" s="71"/>
      <c r="H109" s="71"/>
      <c r="I109" s="71"/>
      <c r="J109" s="71"/>
      <c r="K109" s="71">
        <f>F109-M109</f>
        <v>658386.03830671497</v>
      </c>
      <c r="L109" s="71"/>
      <c r="M109" s="71">
        <f>H77</f>
        <v>8151066</v>
      </c>
      <c r="N109" s="110"/>
    </row>
    <row r="110" spans="2:14" x14ac:dyDescent="0.25">
      <c r="B110" s="85"/>
      <c r="C110" s="111"/>
      <c r="D110" s="111" t="s">
        <v>71</v>
      </c>
      <c r="E110" s="71"/>
      <c r="F110" s="71">
        <f>K38+K48+K60</f>
        <v>9073972.3713815399</v>
      </c>
      <c r="G110" s="71"/>
      <c r="H110" s="71"/>
      <c r="I110" s="71"/>
      <c r="J110" s="71"/>
      <c r="K110" s="71">
        <f t="shared" ref="K110:K114" si="27">F110-M110</f>
        <v>9073972.3713815399</v>
      </c>
      <c r="L110" s="71"/>
      <c r="M110" s="71"/>
      <c r="N110" s="110"/>
    </row>
    <row r="111" spans="2:14" x14ac:dyDescent="0.25">
      <c r="B111" s="85"/>
      <c r="C111" s="111"/>
      <c r="D111" s="111" t="s">
        <v>70</v>
      </c>
      <c r="E111" s="71"/>
      <c r="F111" s="71">
        <f>K37+K47+K59</f>
        <v>5836650.9264194444</v>
      </c>
      <c r="G111" s="71"/>
      <c r="H111" s="71"/>
      <c r="I111" s="71"/>
      <c r="J111" s="71"/>
      <c r="K111" s="71">
        <f t="shared" si="27"/>
        <v>2405159.6764194444</v>
      </c>
      <c r="L111" s="71"/>
      <c r="M111" s="71">
        <f>H37+H47+H59</f>
        <v>3431491.25</v>
      </c>
      <c r="N111" s="110"/>
    </row>
    <row r="112" spans="2:14" x14ac:dyDescent="0.25">
      <c r="B112" s="85"/>
      <c r="C112" s="111"/>
      <c r="D112" s="111" t="s">
        <v>67</v>
      </c>
      <c r="E112" s="71"/>
      <c r="F112" s="71">
        <f>Y23</f>
        <v>73400783.686832547</v>
      </c>
      <c r="G112" s="71"/>
      <c r="H112" s="71"/>
      <c r="I112" s="71"/>
      <c r="J112" s="71"/>
      <c r="K112" s="71">
        <f t="shared" si="27"/>
        <v>25767682.786832549</v>
      </c>
      <c r="L112" s="71"/>
      <c r="M112" s="71">
        <f>H33+H34+H35+H43+H44+H45+H55+H56+H57</f>
        <v>47633100.899999999</v>
      </c>
      <c r="N112" s="110"/>
    </row>
    <row r="113" spans="2:24" x14ac:dyDescent="0.25">
      <c r="B113" s="85"/>
      <c r="C113" s="111"/>
      <c r="D113" s="111" t="s">
        <v>139</v>
      </c>
      <c r="E113" s="71">
        <f>Z6</f>
        <v>122532316.11</v>
      </c>
      <c r="F113" s="71">
        <f>E113-F109-F110-F111-F112+E114</f>
        <v>24140216.627059765</v>
      </c>
      <c r="G113" s="71"/>
      <c r="H113" s="71"/>
      <c r="I113" s="71"/>
      <c r="J113" s="71"/>
      <c r="K113" s="71">
        <f t="shared" si="27"/>
        <v>24140216.627059765</v>
      </c>
      <c r="L113" s="71"/>
      <c r="M113" s="71"/>
      <c r="N113" s="110"/>
    </row>
    <row r="114" spans="2:24" x14ac:dyDescent="0.25">
      <c r="B114" s="85"/>
      <c r="C114" s="111"/>
      <c r="D114" s="111" t="s">
        <v>140</v>
      </c>
      <c r="E114" s="71">
        <f>Z11</f>
        <v>-1271240.46</v>
      </c>
      <c r="F114" s="71"/>
      <c r="G114" s="71"/>
      <c r="H114" s="71"/>
      <c r="I114" s="71"/>
      <c r="J114" s="71"/>
      <c r="K114" s="71">
        <f t="shared" si="27"/>
        <v>0</v>
      </c>
      <c r="L114" s="71"/>
      <c r="M114" s="71"/>
      <c r="N114" s="110" t="s">
        <v>141</v>
      </c>
    </row>
    <row r="115" spans="2:24" x14ac:dyDescent="0.25">
      <c r="B115" s="85"/>
      <c r="C115" s="111"/>
      <c r="D115" s="111" t="s">
        <v>13</v>
      </c>
      <c r="E115" s="71"/>
      <c r="F115" s="71"/>
      <c r="G115" s="71"/>
      <c r="H115" s="71">
        <f>E113-L115</f>
        <v>63316657.960000001</v>
      </c>
      <c r="I115" s="71"/>
      <c r="J115" s="71"/>
      <c r="K115" s="71"/>
      <c r="L115" s="71">
        <f>M109+M111+M112</f>
        <v>59215658.149999999</v>
      </c>
      <c r="M115" s="71"/>
      <c r="N115" s="110"/>
    </row>
    <row r="116" spans="2:24" x14ac:dyDescent="0.25">
      <c r="B116" s="85"/>
      <c r="C116" s="111"/>
      <c r="D116" s="111"/>
      <c r="E116" s="71"/>
      <c r="F116" s="71"/>
      <c r="G116" s="71"/>
      <c r="H116" s="71"/>
      <c r="I116" s="71"/>
      <c r="J116" s="71"/>
      <c r="K116" s="71"/>
      <c r="L116" s="71"/>
      <c r="M116" s="71"/>
      <c r="N116" s="110"/>
    </row>
    <row r="117" spans="2:24" x14ac:dyDescent="0.25">
      <c r="B117" s="85"/>
      <c r="C117" s="111"/>
      <c r="D117" s="111"/>
      <c r="E117" s="71"/>
      <c r="F117" s="71"/>
      <c r="G117" s="71"/>
      <c r="H117" s="71"/>
      <c r="I117" s="71"/>
      <c r="J117" s="71"/>
      <c r="K117" s="71"/>
      <c r="L117" s="71"/>
      <c r="M117" s="71"/>
      <c r="N117" s="110"/>
    </row>
    <row r="118" spans="2:24" x14ac:dyDescent="0.25">
      <c r="B118" s="85"/>
      <c r="C118" s="111" t="s">
        <v>135</v>
      </c>
      <c r="D118" s="111" t="s">
        <v>70</v>
      </c>
      <c r="E118" s="71"/>
      <c r="F118" s="71">
        <f>AA21</f>
        <v>401551.14601750282</v>
      </c>
      <c r="G118" s="71"/>
      <c r="H118" s="71"/>
      <c r="I118" s="71"/>
      <c r="J118" s="71"/>
      <c r="K118" s="71">
        <f>F118-M118</f>
        <v>-504312.60398249706</v>
      </c>
      <c r="L118" s="71"/>
      <c r="M118" s="71">
        <f>H27</f>
        <v>905863.74999999988</v>
      </c>
      <c r="N118" s="110"/>
    </row>
    <row r="119" spans="2:24" x14ac:dyDescent="0.25">
      <c r="B119" s="85"/>
      <c r="C119" s="111"/>
      <c r="D119" s="111" t="s">
        <v>67</v>
      </c>
      <c r="E119" s="71"/>
      <c r="F119" s="71">
        <f>Y21</f>
        <v>10594424.861128896</v>
      </c>
      <c r="G119" s="71"/>
      <c r="H119" s="71"/>
      <c r="I119" s="71"/>
      <c r="J119" s="71"/>
      <c r="K119" s="71">
        <f>F119-M119</f>
        <v>-1662116.1388711035</v>
      </c>
      <c r="L119" s="71"/>
      <c r="M119" s="71">
        <f>H23+H24+H25</f>
        <v>12256541</v>
      </c>
      <c r="N119" s="110"/>
      <c r="O119" s="45"/>
      <c r="P119" s="45"/>
      <c r="Q119" s="45"/>
      <c r="R119" s="45"/>
      <c r="S119" s="45"/>
      <c r="T119" s="45"/>
    </row>
    <row r="120" spans="2:24" x14ac:dyDescent="0.25">
      <c r="B120" s="85"/>
      <c r="C120" s="111"/>
      <c r="D120" s="111" t="s">
        <v>139</v>
      </c>
      <c r="E120" s="71"/>
      <c r="F120" s="71">
        <f>Z7-F118-F119</f>
        <v>3731358.9928536005</v>
      </c>
      <c r="G120" s="71"/>
      <c r="H120" s="71"/>
      <c r="I120" s="71"/>
      <c r="J120" s="71"/>
      <c r="K120" s="71">
        <f>F120-M120</f>
        <v>3731358.9928536005</v>
      </c>
      <c r="L120" s="71"/>
      <c r="M120" s="71"/>
      <c r="N120" s="110"/>
      <c r="O120" s="45"/>
      <c r="P120" s="45"/>
      <c r="Q120" s="45"/>
      <c r="R120" s="45"/>
      <c r="S120" s="45"/>
      <c r="T120" s="45"/>
    </row>
    <row r="121" spans="2:24" x14ac:dyDescent="0.25">
      <c r="B121" s="85"/>
      <c r="C121" s="111"/>
      <c r="D121" s="111" t="s">
        <v>53</v>
      </c>
      <c r="E121" s="71">
        <f>F118+F119+F120</f>
        <v>14727335</v>
      </c>
      <c r="F121" s="71"/>
      <c r="G121" s="71"/>
      <c r="H121" s="71">
        <f>E121-L121</f>
        <v>1564930.25</v>
      </c>
      <c r="I121" s="71"/>
      <c r="J121" s="71"/>
      <c r="K121" s="71"/>
      <c r="L121" s="71">
        <f>M118+M119</f>
        <v>13162404.75</v>
      </c>
      <c r="M121" s="71"/>
      <c r="N121" s="110"/>
      <c r="O121" s="45"/>
      <c r="P121" s="45"/>
      <c r="Q121" s="45"/>
      <c r="R121" s="45"/>
      <c r="S121" s="45"/>
      <c r="T121" s="45"/>
    </row>
    <row r="122" spans="2:24" x14ac:dyDescent="0.25">
      <c r="B122" s="85"/>
      <c r="C122" s="111"/>
      <c r="D122" s="111"/>
      <c r="E122" s="71"/>
      <c r="F122" s="71"/>
      <c r="G122" s="71"/>
      <c r="H122" s="71"/>
      <c r="I122" s="71"/>
      <c r="J122" s="71"/>
      <c r="K122" s="71"/>
      <c r="L122" s="71"/>
      <c r="M122" s="71"/>
      <c r="N122" s="110"/>
      <c r="O122" s="45"/>
      <c r="P122" s="45"/>
      <c r="Q122" s="45"/>
      <c r="R122" s="45"/>
      <c r="S122" s="45"/>
      <c r="T122" s="45"/>
    </row>
    <row r="123" spans="2:24" x14ac:dyDescent="0.25">
      <c r="B123" s="85"/>
      <c r="C123" s="111" t="s">
        <v>140</v>
      </c>
      <c r="D123" s="111" t="s">
        <v>147</v>
      </c>
      <c r="E123" s="71">
        <f>Z9</f>
        <v>2428629.9900000002</v>
      </c>
      <c r="F123" s="71">
        <v>2428630</v>
      </c>
      <c r="G123" s="71"/>
      <c r="H123" s="71">
        <f>E123+E114</f>
        <v>1157389.5300000003</v>
      </c>
      <c r="I123" s="71"/>
      <c r="J123" s="71"/>
      <c r="K123" s="71">
        <f>F123</f>
        <v>2428630</v>
      </c>
      <c r="L123" s="71"/>
      <c r="M123" s="71"/>
      <c r="N123" s="110"/>
      <c r="O123" s="45"/>
      <c r="P123" s="45"/>
      <c r="Q123" s="45"/>
      <c r="R123" s="45"/>
      <c r="S123" s="45"/>
      <c r="T123" s="45"/>
    </row>
    <row r="124" spans="2:24" x14ac:dyDescent="0.25">
      <c r="B124" s="85"/>
      <c r="C124" s="111"/>
      <c r="D124" s="111"/>
      <c r="E124" s="71"/>
      <c r="F124" s="71"/>
      <c r="G124" s="71"/>
      <c r="H124" s="71"/>
      <c r="I124" s="71"/>
      <c r="J124" s="71"/>
      <c r="K124" s="71"/>
      <c r="L124" s="71"/>
      <c r="M124" s="71"/>
      <c r="N124" s="110"/>
      <c r="O124" s="45"/>
      <c r="P124" s="45"/>
      <c r="Q124" s="45"/>
      <c r="R124" s="45"/>
      <c r="S124" s="45"/>
      <c r="T124" s="45"/>
    </row>
    <row r="125" spans="2:24" x14ac:dyDescent="0.25">
      <c r="B125" s="85"/>
      <c r="C125" s="111" t="s">
        <v>142</v>
      </c>
      <c r="D125" s="111"/>
      <c r="E125" s="71">
        <f>SUM(E102:E124)</f>
        <v>317585861.33000004</v>
      </c>
      <c r="F125" s="71">
        <f>SUM(F102:F124)</f>
        <v>317585861.33999997</v>
      </c>
      <c r="G125" s="71"/>
      <c r="H125" s="71">
        <f>SUM(H107:H124)</f>
        <v>176247684.68000001</v>
      </c>
      <c r="I125" s="71"/>
      <c r="J125" s="71"/>
      <c r="K125" s="71">
        <f>SUM(K102:K124)</f>
        <v>176247684.68999997</v>
      </c>
      <c r="L125" s="71">
        <f>SUM(L105:L124)</f>
        <v>141338176.65000001</v>
      </c>
      <c r="M125" s="71">
        <f>SUM(M102:M124)</f>
        <v>141338176.65000001</v>
      </c>
      <c r="N125" s="110"/>
      <c r="U125" s="45"/>
      <c r="V125" s="45"/>
      <c r="W125" s="45"/>
      <c r="X125" s="45"/>
    </row>
    <row r="126" spans="2:24" x14ac:dyDescent="0.25">
      <c r="B126" s="85"/>
      <c r="C126" s="111" t="s">
        <v>142</v>
      </c>
      <c r="D126" s="111"/>
      <c r="E126" s="71"/>
      <c r="F126" s="71"/>
      <c r="G126" s="71"/>
      <c r="H126" s="71">
        <f>H125+L125</f>
        <v>317585861.33000004</v>
      </c>
      <c r="I126" s="71"/>
      <c r="J126" s="71"/>
      <c r="K126" s="71">
        <f>K125+L125</f>
        <v>317585861.33999997</v>
      </c>
      <c r="L126" s="71"/>
      <c r="M126" s="71"/>
      <c r="N126" s="110"/>
      <c r="U126" s="45"/>
      <c r="V126" s="45"/>
      <c r="W126" s="45"/>
      <c r="X126" s="45"/>
    </row>
    <row r="127" spans="2:24" x14ac:dyDescent="0.25">
      <c r="B127" s="85"/>
      <c r="C127" s="85"/>
      <c r="D127" s="110"/>
      <c r="E127" s="110"/>
      <c r="F127" s="110"/>
      <c r="G127" s="85"/>
      <c r="H127" s="88"/>
      <c r="I127" s="88"/>
      <c r="J127" s="88"/>
      <c r="K127" s="109"/>
      <c r="L127" s="110"/>
      <c r="M127" s="110"/>
      <c r="N127" s="110"/>
    </row>
    <row r="128" spans="2:24" x14ac:dyDescent="0.25">
      <c r="B128" s="85"/>
      <c r="C128" s="85" t="s">
        <v>148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110"/>
      <c r="N128" s="85"/>
    </row>
    <row r="133" spans="4:6" x14ac:dyDescent="0.25">
      <c r="E133" s="61"/>
      <c r="F133" s="45"/>
    </row>
    <row r="134" spans="4:6" x14ac:dyDescent="0.25">
      <c r="E134" s="61"/>
      <c r="F134" s="45"/>
    </row>
    <row r="135" spans="4:6" x14ac:dyDescent="0.25">
      <c r="D135" s="45"/>
      <c r="E135" s="45"/>
      <c r="F135" s="45"/>
    </row>
    <row r="136" spans="4:6" x14ac:dyDescent="0.25">
      <c r="D136" s="45"/>
      <c r="E136" s="45"/>
      <c r="F136" s="45"/>
    </row>
    <row r="137" spans="4:6" x14ac:dyDescent="0.25">
      <c r="D137" s="45"/>
      <c r="E137" s="45"/>
      <c r="F137" s="45"/>
    </row>
    <row r="138" spans="4:6" x14ac:dyDescent="0.25">
      <c r="D138" s="45"/>
      <c r="E138" s="45"/>
      <c r="F138" s="45"/>
    </row>
    <row r="139" spans="4:6" x14ac:dyDescent="0.25">
      <c r="D139" s="45"/>
      <c r="E139" s="45"/>
      <c r="F139" s="45"/>
    </row>
  </sheetData>
  <pageMargins left="0.70866141732283472" right="0.70866141732283472" top="0.78740157480314965" bottom="0.78740157480314965" header="0.31496062992125984" footer="0.31496062992125984"/>
  <pageSetup paperSize="8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22"/>
  <sheetViews>
    <sheetView topLeftCell="A89" workbookViewId="0">
      <selection activeCell="R78" sqref="R78"/>
    </sheetView>
  </sheetViews>
  <sheetFormatPr defaultColWidth="9.140625" defaultRowHeight="15" x14ac:dyDescent="0.25"/>
  <cols>
    <col min="1" max="1" width="2" style="24" customWidth="1"/>
    <col min="2" max="2" width="2.85546875" style="24" customWidth="1"/>
    <col min="3" max="3" width="22.42578125" style="24" customWidth="1"/>
    <col min="4" max="5" width="13.28515625" style="24" customWidth="1"/>
    <col min="6" max="6" width="14.85546875" style="24" bestFit="1" customWidth="1"/>
    <col min="7" max="7" width="11.28515625" style="24" customWidth="1"/>
    <col min="8" max="8" width="14.5703125" style="25" customWidth="1"/>
    <col min="9" max="9" width="14.5703125" style="24" customWidth="1"/>
    <col min="10" max="10" width="13.140625" style="24" customWidth="1"/>
    <col min="11" max="11" width="16.28515625" style="24" customWidth="1"/>
    <col min="12" max="12" width="14.5703125" style="24" customWidth="1"/>
    <col min="13" max="13" width="14" style="24" customWidth="1"/>
    <col min="14" max="14" width="12.5703125" style="24" customWidth="1"/>
    <col min="15" max="19" width="16.140625" style="24" customWidth="1"/>
    <col min="20" max="20" width="14.140625" style="24" customWidth="1"/>
    <col min="21" max="21" width="17.5703125" style="24" bestFit="1" customWidth="1"/>
    <col min="22" max="22" width="16.7109375" style="24" customWidth="1"/>
    <col min="23" max="23" width="15.28515625" style="24" customWidth="1"/>
    <col min="24" max="24" width="15.140625" style="24" customWidth="1"/>
    <col min="25" max="25" width="15.28515625" style="24" customWidth="1"/>
    <col min="26" max="27" width="14.85546875" style="24" bestFit="1" customWidth="1"/>
    <col min="28" max="32" width="14.85546875" style="24" customWidth="1"/>
    <col min="33" max="16384" width="9.140625" style="24"/>
  </cols>
  <sheetData>
    <row r="2" spans="2:30" x14ac:dyDescent="0.25">
      <c r="C2" s="24" t="s">
        <v>0</v>
      </c>
    </row>
    <row r="3" spans="2:30" x14ac:dyDescent="0.25">
      <c r="T3" s="24" t="s">
        <v>115</v>
      </c>
      <c r="U3" s="61">
        <f>H18</f>
        <v>141338785</v>
      </c>
    </row>
    <row r="4" spans="2:30" x14ac:dyDescent="0.25">
      <c r="B4" s="26"/>
      <c r="C4" s="26"/>
      <c r="D4" s="26"/>
      <c r="E4" s="26" t="s">
        <v>66</v>
      </c>
      <c r="F4" s="26" t="s">
        <v>75</v>
      </c>
      <c r="G4" s="26" t="s">
        <v>62</v>
      </c>
      <c r="H4" s="26" t="s">
        <v>60</v>
      </c>
      <c r="I4" s="66" t="s">
        <v>65</v>
      </c>
      <c r="J4" s="26" t="s">
        <v>54</v>
      </c>
      <c r="K4" s="27" t="s">
        <v>56</v>
      </c>
      <c r="L4" s="27" t="s">
        <v>61</v>
      </c>
      <c r="M4" s="26" t="s">
        <v>81</v>
      </c>
      <c r="N4" s="26" t="s">
        <v>79</v>
      </c>
      <c r="O4" s="26" t="s">
        <v>80</v>
      </c>
      <c r="P4" s="26" t="s">
        <v>97</v>
      </c>
      <c r="Q4" s="26"/>
      <c r="R4" s="25"/>
      <c r="S4" s="25"/>
      <c r="T4" s="26"/>
      <c r="U4" s="26" t="s">
        <v>18</v>
      </c>
      <c r="V4" s="26" t="s">
        <v>98</v>
      </c>
      <c r="W4" s="26" t="s">
        <v>13</v>
      </c>
      <c r="X4" s="26" t="s">
        <v>105</v>
      </c>
      <c r="Y4" s="26" t="s">
        <v>106</v>
      </c>
      <c r="Z4" s="26" t="s">
        <v>107</v>
      </c>
    </row>
    <row r="5" spans="2:30" x14ac:dyDescent="0.25">
      <c r="B5" s="26"/>
      <c r="C5" s="26"/>
      <c r="D5" s="26"/>
      <c r="E5" s="26"/>
      <c r="F5" s="26" t="s">
        <v>77</v>
      </c>
      <c r="G5" s="26"/>
      <c r="H5" s="26" t="s">
        <v>76</v>
      </c>
      <c r="I5" s="67" t="s">
        <v>74</v>
      </c>
      <c r="J5" s="26" t="s">
        <v>78</v>
      </c>
      <c r="K5" s="27"/>
      <c r="L5" s="27"/>
      <c r="M5" s="26"/>
      <c r="N5" s="26"/>
      <c r="O5" s="26"/>
      <c r="P5" s="26" t="s">
        <v>112</v>
      </c>
      <c r="Q5" s="26"/>
      <c r="R5" s="25"/>
      <c r="S5" s="25"/>
      <c r="T5" s="26" t="s">
        <v>104</v>
      </c>
      <c r="U5" s="28">
        <v>157879368.69</v>
      </c>
      <c r="V5" s="28">
        <v>21289452</v>
      </c>
      <c r="W5" s="28">
        <f>SUM(U5:V5)</f>
        <v>179168820.69</v>
      </c>
      <c r="X5" s="26"/>
      <c r="Y5" s="26"/>
      <c r="Z5" s="26"/>
    </row>
    <row r="6" spans="2:30" x14ac:dyDescent="0.25">
      <c r="B6" s="26"/>
      <c r="C6" s="26"/>
      <c r="D6" s="26"/>
      <c r="E6" s="26" t="s">
        <v>5</v>
      </c>
      <c r="F6" s="26" t="s">
        <v>5</v>
      </c>
      <c r="G6" s="28" t="s">
        <v>5</v>
      </c>
      <c r="H6" s="28" t="s">
        <v>6</v>
      </c>
      <c r="I6" s="68"/>
      <c r="J6" s="28" t="s">
        <v>130</v>
      </c>
      <c r="K6" s="29"/>
      <c r="L6" s="29"/>
      <c r="M6" s="26"/>
      <c r="N6" s="26"/>
      <c r="O6" s="26"/>
      <c r="P6" s="26"/>
      <c r="Q6" s="26"/>
      <c r="R6" s="25"/>
      <c r="S6" s="25"/>
      <c r="T6" s="26" t="s">
        <v>99</v>
      </c>
      <c r="U6" s="28">
        <v>115235970.64</v>
      </c>
      <c r="V6" s="28">
        <v>7296345.4699999997</v>
      </c>
      <c r="W6" s="28">
        <f>SUM(U6:V6)</f>
        <v>122532316.11</v>
      </c>
      <c r="X6" s="26"/>
      <c r="Y6" s="26"/>
      <c r="Z6" s="26"/>
    </row>
    <row r="7" spans="2:30" x14ac:dyDescent="0.25">
      <c r="B7" s="26"/>
      <c r="C7" s="26" t="s">
        <v>26</v>
      </c>
      <c r="D7" s="26"/>
      <c r="E7" s="26"/>
      <c r="F7" s="26"/>
      <c r="G7" s="28"/>
      <c r="H7" s="28"/>
      <c r="I7" s="67"/>
      <c r="J7" s="28"/>
      <c r="K7" s="29"/>
      <c r="L7" s="29"/>
      <c r="M7" s="26"/>
      <c r="N7" s="26"/>
      <c r="O7" s="26"/>
      <c r="P7" s="26"/>
      <c r="Q7" s="26"/>
      <c r="R7" s="25"/>
      <c r="S7" s="25"/>
      <c r="T7" s="26" t="s">
        <v>100</v>
      </c>
      <c r="U7" s="28">
        <v>11998785</v>
      </c>
      <c r="V7" s="28">
        <v>2728550</v>
      </c>
      <c r="W7" s="28">
        <f>SUM(U7:V7)</f>
        <v>14727335</v>
      </c>
      <c r="X7" s="26"/>
      <c r="Y7" s="26"/>
      <c r="Z7" s="26"/>
    </row>
    <row r="8" spans="2:30" x14ac:dyDescent="0.25">
      <c r="B8" s="26">
        <v>1</v>
      </c>
      <c r="C8" s="26" t="s">
        <v>1</v>
      </c>
      <c r="D8" s="26"/>
      <c r="E8" s="30">
        <f>E23+E33+E43+E55+E67</f>
        <v>10059.91</v>
      </c>
      <c r="F8" s="30">
        <f>F23++F33+F43+F55+F67</f>
        <v>10083.15</v>
      </c>
      <c r="G8" s="28">
        <f>G23+G33+G43+G55+G67</f>
        <v>12904.18</v>
      </c>
      <c r="H8" s="28">
        <v>45474826</v>
      </c>
      <c r="I8" s="67">
        <f>I23+I33+I81+I43+I55+I67</f>
        <v>89589437.215059921</v>
      </c>
      <c r="J8" s="28">
        <f>H8/F8</f>
        <v>4509.9820988480787</v>
      </c>
      <c r="K8" s="29">
        <f t="shared" ref="K8:K16" si="0">G8*J8</f>
        <v>58197620.800313406</v>
      </c>
      <c r="L8" s="29">
        <f>K23+K33+K43+K55+K67</f>
        <v>58197851.799999997</v>
      </c>
      <c r="M8" s="26"/>
      <c r="N8" s="26"/>
      <c r="O8" s="26"/>
      <c r="P8" s="32">
        <f>I8-H8</f>
        <v>44114611.215059921</v>
      </c>
      <c r="Q8" s="26"/>
      <c r="R8" s="25"/>
      <c r="S8" s="25"/>
      <c r="T8" s="89" t="s">
        <v>101</v>
      </c>
      <c r="U8" s="89"/>
      <c r="V8" s="90">
        <v>9394916</v>
      </c>
      <c r="W8" s="26"/>
      <c r="X8" s="26"/>
      <c r="Y8" s="26"/>
      <c r="Z8" s="26"/>
    </row>
    <row r="9" spans="2:30" x14ac:dyDescent="0.25">
      <c r="B9" s="26"/>
      <c r="C9" s="26"/>
      <c r="D9" s="26"/>
      <c r="E9" s="30"/>
      <c r="F9" s="30"/>
      <c r="G9" s="28"/>
      <c r="H9" s="28"/>
      <c r="I9" s="67"/>
      <c r="J9" s="28"/>
      <c r="K9" s="29"/>
      <c r="L9" s="29"/>
      <c r="M9" s="26"/>
      <c r="N9" s="26"/>
      <c r="O9" s="26"/>
      <c r="P9" s="32"/>
      <c r="Q9" s="26"/>
      <c r="R9" s="25"/>
      <c r="S9" s="25"/>
      <c r="T9" s="84" t="s">
        <v>108</v>
      </c>
      <c r="U9" s="71"/>
      <c r="V9" s="80"/>
      <c r="W9" s="71">
        <v>2428629.9900000002</v>
      </c>
      <c r="X9" s="26"/>
      <c r="Y9" s="26"/>
      <c r="Z9" s="26"/>
    </row>
    <row r="10" spans="2:30" x14ac:dyDescent="0.25">
      <c r="B10" s="26">
        <v>2</v>
      </c>
      <c r="C10" s="26" t="s">
        <v>57</v>
      </c>
      <c r="D10" s="26"/>
      <c r="E10" s="30">
        <f>E24+E34+E44+E56+E68</f>
        <v>4968.75</v>
      </c>
      <c r="F10" s="30">
        <f>F24+F34+F44+F56+F68</f>
        <v>5004.26</v>
      </c>
      <c r="G10" s="28">
        <f>G24+G34+G44+G56+G68</f>
        <v>5146.91</v>
      </c>
      <c r="H10" s="28">
        <v>17065004</v>
      </c>
      <c r="I10" s="67">
        <f>I24+I34+I44+I56+I68</f>
        <v>43481253.985494167</v>
      </c>
      <c r="J10" s="28">
        <f>H10/F10</f>
        <v>3410.0953987202902</v>
      </c>
      <c r="K10" s="29">
        <f t="shared" si="0"/>
        <v>17551454.10862745</v>
      </c>
      <c r="L10" s="65">
        <f>K24+K34+K44+K56+K68</f>
        <v>17550963.100000001</v>
      </c>
      <c r="M10" s="26"/>
      <c r="N10" s="26"/>
      <c r="O10" s="26"/>
      <c r="P10" s="32">
        <f t="shared" ref="P10:P16" si="1">I10-H10</f>
        <v>26416249.985494167</v>
      </c>
      <c r="Q10" s="26"/>
      <c r="R10" s="25"/>
      <c r="S10" s="25"/>
      <c r="T10" s="26" t="s">
        <v>13</v>
      </c>
      <c r="U10" s="26"/>
      <c r="V10" s="26"/>
      <c r="W10" s="32">
        <f>SUM(W5:W9)</f>
        <v>318857101.79000002</v>
      </c>
      <c r="X10" s="96">
        <f>W10*0.21</f>
        <v>66959991.3759</v>
      </c>
      <c r="Y10" s="32">
        <f>P18</f>
        <v>122240901.47827759</v>
      </c>
      <c r="Z10" s="32">
        <f>W12-U3</f>
        <v>176247076.33000004</v>
      </c>
    </row>
    <row r="11" spans="2:30" x14ac:dyDescent="0.25">
      <c r="B11" s="26"/>
      <c r="C11" s="26"/>
      <c r="D11" s="26"/>
      <c r="E11" s="30"/>
      <c r="F11" s="30"/>
      <c r="G11" s="28"/>
      <c r="H11" s="28"/>
      <c r="I11" s="67"/>
      <c r="J11" s="28"/>
      <c r="K11" s="29"/>
      <c r="L11" s="65"/>
      <c r="M11" s="26"/>
      <c r="N11" s="26"/>
      <c r="O11" s="26"/>
      <c r="P11" s="32"/>
      <c r="Q11" s="26"/>
      <c r="R11" s="25"/>
      <c r="S11" s="25"/>
      <c r="T11" s="85" t="s">
        <v>129</v>
      </c>
      <c r="U11" s="87"/>
      <c r="V11" s="25"/>
      <c r="W11" s="88">
        <v>-1271240.46</v>
      </c>
      <c r="X11" s="57"/>
      <c r="Y11" s="57"/>
      <c r="Z11" s="57"/>
    </row>
    <row r="12" spans="2:30" x14ac:dyDescent="0.25">
      <c r="B12" s="26">
        <v>3</v>
      </c>
      <c r="C12" s="26" t="s">
        <v>2</v>
      </c>
      <c r="D12" s="26"/>
      <c r="E12" s="30">
        <f>E25+E35+E45+E57+E69</f>
        <v>4341.7899999999991</v>
      </c>
      <c r="F12" s="30">
        <f>F25+F35+F45+F57+F69</f>
        <v>4306.74</v>
      </c>
      <c r="G12" s="28">
        <f>G25+G35+G45+G57+G69</f>
        <v>4446.71</v>
      </c>
      <c r="H12" s="28">
        <v>46189894</v>
      </c>
      <c r="I12" s="67">
        <f>I25+I35+I45+I57+I69</f>
        <v>83678988.961756974</v>
      </c>
      <c r="J12" s="28">
        <f>H12/F12</f>
        <v>10725.02496087528</v>
      </c>
      <c r="K12" s="29">
        <f t="shared" si="0"/>
        <v>47691075.743773714</v>
      </c>
      <c r="L12" s="65">
        <f>K25+K35+K45+K57+K69</f>
        <v>47690964.75</v>
      </c>
      <c r="M12" s="26"/>
      <c r="N12" s="26"/>
      <c r="O12" s="26"/>
      <c r="P12" s="32">
        <f t="shared" si="1"/>
        <v>37489094.961756974</v>
      </c>
      <c r="Q12" s="26"/>
      <c r="R12" s="25"/>
      <c r="S12" s="25"/>
      <c r="W12" s="91">
        <f>W10+W11</f>
        <v>317585861.33000004</v>
      </c>
    </row>
    <row r="13" spans="2:30" x14ac:dyDescent="0.25">
      <c r="B13" s="26">
        <v>4</v>
      </c>
      <c r="C13" s="26" t="s">
        <v>58</v>
      </c>
      <c r="D13" s="26"/>
      <c r="E13" s="30">
        <f>E70</f>
        <v>1766.4</v>
      </c>
      <c r="F13" s="30">
        <f>F70</f>
        <v>1497.4</v>
      </c>
      <c r="G13" s="28">
        <f>G70</f>
        <v>1847</v>
      </c>
      <c r="H13" s="28">
        <v>5600126</v>
      </c>
      <c r="I13" s="67">
        <f>I70</f>
        <v>5797267.7410820844</v>
      </c>
      <c r="J13" s="28">
        <f>H13/F13</f>
        <v>3739.8998263657004</v>
      </c>
      <c r="K13" s="29">
        <f>G13*J13</f>
        <v>6907594.9792974489</v>
      </c>
      <c r="L13" s="29">
        <f>K70</f>
        <v>6907595.2999999998</v>
      </c>
      <c r="M13" s="26"/>
      <c r="N13" s="26"/>
      <c r="O13" s="26"/>
      <c r="P13" s="32">
        <f t="shared" si="1"/>
        <v>197141.74108208437</v>
      </c>
      <c r="Q13" s="26"/>
      <c r="R13" s="25"/>
      <c r="S13" s="25"/>
      <c r="V13" s="86"/>
      <c r="W13" s="92" t="s">
        <v>111</v>
      </c>
    </row>
    <row r="14" spans="2:30" x14ac:dyDescent="0.25">
      <c r="B14" s="26">
        <v>5</v>
      </c>
      <c r="C14" s="26" t="s">
        <v>59</v>
      </c>
      <c r="D14" s="26"/>
      <c r="E14" s="30">
        <f>E27+E37+E47+E59+E71</f>
        <v>10587.529999999999</v>
      </c>
      <c r="F14" s="30">
        <f>F27+F37+F47+F59+F71</f>
        <v>3458.35</v>
      </c>
      <c r="G14" s="28">
        <f>G27+G37+G47+G59+G71</f>
        <v>3821.81</v>
      </c>
      <c r="H14" s="28">
        <v>4755231</v>
      </c>
      <c r="I14" s="67">
        <f>(I27+I37++I47+I59++I71)</f>
        <v>9130422.3374083377</v>
      </c>
      <c r="J14" s="28">
        <f>H14/F14</f>
        <v>1374.9999277111917</v>
      </c>
      <c r="K14" s="29">
        <f t="shared" si="0"/>
        <v>5254988.4737259094</v>
      </c>
      <c r="L14" s="56">
        <f>K27+K37+K47+K59+K71</f>
        <v>5254988.75</v>
      </c>
      <c r="M14" s="26"/>
      <c r="N14" s="26"/>
      <c r="O14" s="26"/>
      <c r="P14" s="32">
        <f t="shared" si="1"/>
        <v>4375191.3374083377</v>
      </c>
      <c r="Q14" s="26"/>
      <c r="R14" s="25"/>
      <c r="S14" s="25"/>
    </row>
    <row r="15" spans="2:30" x14ac:dyDescent="0.25">
      <c r="B15" s="26">
        <v>6</v>
      </c>
      <c r="C15" s="26" t="s">
        <v>8</v>
      </c>
      <c r="D15" s="26"/>
      <c r="E15" s="30">
        <v>202</v>
      </c>
      <c r="F15" s="30">
        <v>235.24</v>
      </c>
      <c r="G15" s="28">
        <v>235.24</v>
      </c>
      <c r="H15" s="28">
        <v>14102638</v>
      </c>
      <c r="I15" s="67">
        <f>I38+I48+I60+I72</f>
        <v>23092864.199169405</v>
      </c>
      <c r="J15" s="28">
        <f t="shared" ref="J15:J17" si="2">H15/F15</f>
        <v>59950</v>
      </c>
      <c r="K15" s="29">
        <f t="shared" si="0"/>
        <v>14102638</v>
      </c>
      <c r="L15" s="65">
        <f>K72</f>
        <v>14102638</v>
      </c>
      <c r="M15" s="26"/>
      <c r="N15" s="26"/>
      <c r="O15" s="26"/>
      <c r="P15" s="32">
        <f t="shared" si="1"/>
        <v>8990226.1991694048</v>
      </c>
      <c r="Q15" s="26"/>
      <c r="R15" s="25"/>
      <c r="S15" s="25"/>
    </row>
    <row r="16" spans="2:30" x14ac:dyDescent="0.25">
      <c r="B16" s="26"/>
      <c r="C16" s="26" t="s">
        <v>46</v>
      </c>
      <c r="D16" s="26"/>
      <c r="E16" s="30">
        <v>128.69999999999999</v>
      </c>
      <c r="F16" s="59">
        <v>162.24</v>
      </c>
      <c r="G16" s="28"/>
      <c r="I16" s="67"/>
      <c r="J16" s="28">
        <f t="shared" si="2"/>
        <v>0</v>
      </c>
      <c r="K16" s="29">
        <f t="shared" si="0"/>
        <v>0</v>
      </c>
      <c r="L16" s="29"/>
      <c r="M16" s="26"/>
      <c r="N16" s="26"/>
      <c r="O16" s="26"/>
      <c r="P16" s="32">
        <f t="shared" si="1"/>
        <v>0</v>
      </c>
      <c r="Q16" s="26"/>
      <c r="R16" s="25"/>
      <c r="S16" s="25"/>
      <c r="U16" s="26"/>
      <c r="V16" s="26">
        <v>1</v>
      </c>
      <c r="W16" s="26">
        <v>2</v>
      </c>
      <c r="X16" s="26">
        <v>3</v>
      </c>
      <c r="Y16" s="26">
        <v>4</v>
      </c>
      <c r="Z16" s="26">
        <v>5</v>
      </c>
      <c r="AA16" s="26">
        <v>6</v>
      </c>
      <c r="AB16" s="26">
        <v>7</v>
      </c>
      <c r="AC16" s="26">
        <v>8</v>
      </c>
      <c r="AD16" s="26">
        <v>9</v>
      </c>
    </row>
    <row r="17" spans="2:31" x14ac:dyDescent="0.25">
      <c r="B17" s="26">
        <v>7</v>
      </c>
      <c r="C17" s="26" t="s">
        <v>55</v>
      </c>
      <c r="D17" s="64"/>
      <c r="E17" s="26"/>
      <c r="F17" s="59">
        <v>235.24</v>
      </c>
      <c r="G17" s="28">
        <f>F17</f>
        <v>235.24</v>
      </c>
      <c r="H17" s="28">
        <v>8151066</v>
      </c>
      <c r="I17" s="67">
        <f>I77+I78</f>
        <v>8809452.038306715</v>
      </c>
      <c r="J17" s="28">
        <f t="shared" si="2"/>
        <v>34650</v>
      </c>
      <c r="K17" s="29">
        <f>G17*J17</f>
        <v>8151066</v>
      </c>
      <c r="L17" s="65">
        <f>K77</f>
        <v>8151066</v>
      </c>
      <c r="M17" s="26"/>
      <c r="N17" s="26"/>
      <c r="O17" s="26"/>
      <c r="P17" s="79">
        <f>I17-H17</f>
        <v>658386.03830671497</v>
      </c>
      <c r="Q17" s="26"/>
      <c r="R17" s="25"/>
      <c r="S17" s="25"/>
      <c r="U17" s="26"/>
      <c r="V17" s="26" t="s">
        <v>67</v>
      </c>
      <c r="W17" s="26" t="s">
        <v>69</v>
      </c>
      <c r="X17" s="26" t="s">
        <v>70</v>
      </c>
      <c r="Y17" s="26" t="s">
        <v>71</v>
      </c>
      <c r="Z17" s="26" t="s">
        <v>72</v>
      </c>
      <c r="AA17" s="26" t="s">
        <v>53</v>
      </c>
      <c r="AB17" s="26" t="s">
        <v>115</v>
      </c>
      <c r="AC17" s="55" t="s">
        <v>117</v>
      </c>
      <c r="AD17" s="26" t="s">
        <v>97</v>
      </c>
    </row>
    <row r="18" spans="2:31" x14ac:dyDescent="0.25">
      <c r="B18" s="26"/>
      <c r="C18" s="26"/>
      <c r="D18" s="26"/>
      <c r="E18" s="26"/>
      <c r="F18" s="26"/>
      <c r="G18" s="26"/>
      <c r="H18" s="32">
        <f>SUM(H8:H17)</f>
        <v>141338785</v>
      </c>
      <c r="I18" s="69">
        <f>SUM(I8:I17)</f>
        <v>263579686.47827759</v>
      </c>
      <c r="J18" s="26"/>
      <c r="K18" s="29">
        <f>SUM(K8:K17)</f>
        <v>157856438.10573792</v>
      </c>
      <c r="L18" s="33">
        <f>SUM(L8:L17)</f>
        <v>157856067.69999999</v>
      </c>
      <c r="M18" s="26"/>
      <c r="N18" s="26"/>
      <c r="O18" s="26"/>
      <c r="P18" s="32">
        <f>SUM(P8:P17)</f>
        <v>122240901.47827759</v>
      </c>
      <c r="Q18" s="32"/>
      <c r="R18" s="25"/>
      <c r="S18" s="25"/>
      <c r="U18" s="26"/>
      <c r="V18" s="26" t="s">
        <v>120</v>
      </c>
      <c r="W18" s="26"/>
      <c r="X18" s="26"/>
      <c r="Y18" s="26"/>
      <c r="Z18" s="26" t="s">
        <v>121</v>
      </c>
      <c r="AA18" s="24" t="s">
        <v>127</v>
      </c>
      <c r="AB18" s="26" t="s">
        <v>123</v>
      </c>
      <c r="AC18" s="95" t="s">
        <v>124</v>
      </c>
      <c r="AD18" s="26" t="s">
        <v>125</v>
      </c>
    </row>
    <row r="19" spans="2:31" x14ac:dyDescent="0.25">
      <c r="B19" s="26"/>
      <c r="C19" s="26" t="s">
        <v>17</v>
      </c>
      <c r="D19" s="26"/>
      <c r="E19" s="26"/>
      <c r="F19" s="26"/>
      <c r="G19" s="26"/>
      <c r="H19" s="26"/>
      <c r="I19" s="66"/>
      <c r="J19" s="26"/>
      <c r="K19" s="33"/>
      <c r="L19" s="27"/>
      <c r="M19" s="26"/>
      <c r="N19" s="26"/>
      <c r="O19" s="26"/>
      <c r="P19" s="26"/>
      <c r="Q19" s="26"/>
      <c r="R19" s="25"/>
      <c r="S19" s="25"/>
      <c r="U19" s="26"/>
      <c r="V19" s="26" t="s">
        <v>16</v>
      </c>
      <c r="W19" s="26"/>
      <c r="X19" s="26"/>
      <c r="Y19" s="26"/>
      <c r="Z19" s="26"/>
      <c r="AA19" s="26" t="s">
        <v>122</v>
      </c>
      <c r="AB19" s="26" t="s">
        <v>128</v>
      </c>
      <c r="AC19" s="55"/>
      <c r="AD19" s="26"/>
      <c r="AE19" s="25"/>
    </row>
    <row r="20" spans="2:31" ht="6" customHeight="1" x14ac:dyDescent="0.25">
      <c r="B20" s="26"/>
      <c r="C20" s="26"/>
      <c r="D20" s="26"/>
      <c r="E20" s="26"/>
      <c r="F20" s="26"/>
      <c r="G20" s="26"/>
      <c r="H20" s="26"/>
      <c r="I20" s="66"/>
      <c r="J20" s="26"/>
      <c r="K20" s="27"/>
      <c r="L20" s="27"/>
      <c r="M20" s="26"/>
      <c r="N20" s="26"/>
      <c r="O20" s="26"/>
      <c r="P20" s="26"/>
      <c r="Q20" s="26"/>
      <c r="R20" s="25"/>
      <c r="S20" s="25"/>
      <c r="U20" s="26"/>
      <c r="V20" s="26"/>
      <c r="W20" s="26"/>
      <c r="X20" s="26"/>
      <c r="Y20" s="26"/>
      <c r="Z20" s="26"/>
      <c r="AA20" s="26"/>
      <c r="AB20" s="26"/>
      <c r="AC20" s="55"/>
      <c r="AD20" s="26"/>
      <c r="AE20" s="25"/>
    </row>
    <row r="21" spans="2:31" x14ac:dyDescent="0.25">
      <c r="B21" s="26"/>
      <c r="C21" s="26" t="s">
        <v>19</v>
      </c>
      <c r="D21" s="26"/>
      <c r="E21" s="34" t="s">
        <v>43</v>
      </c>
      <c r="F21" s="35" t="s">
        <v>44</v>
      </c>
      <c r="G21" s="26"/>
      <c r="H21" s="26"/>
      <c r="I21" s="66"/>
      <c r="J21" s="26"/>
      <c r="K21" s="27"/>
      <c r="L21" s="27"/>
      <c r="M21" s="26"/>
      <c r="N21" s="26"/>
      <c r="O21" s="26"/>
      <c r="P21" s="26"/>
      <c r="Q21" s="26"/>
      <c r="R21" s="25"/>
      <c r="S21" s="25"/>
      <c r="T21" s="72" t="s">
        <v>96</v>
      </c>
      <c r="U21" s="26" t="s">
        <v>19</v>
      </c>
      <c r="V21" s="32">
        <f>SUM(I23:I25)</f>
        <v>10594424.861128896</v>
      </c>
      <c r="W21" s="26"/>
      <c r="X21" s="32">
        <f>I27</f>
        <v>401551.14601750282</v>
      </c>
      <c r="Y21" s="26"/>
      <c r="Z21" s="26"/>
      <c r="AA21" s="32">
        <f>SUM(V21:Z21)</f>
        <v>10995976.007146399</v>
      </c>
      <c r="AB21" s="32">
        <f>H29</f>
        <v>13162609.350000001</v>
      </c>
      <c r="AC21" s="96">
        <f>AA21-AB21</f>
        <v>-2166633.342853602</v>
      </c>
      <c r="AD21" s="32">
        <f>W7-AB21</f>
        <v>1564725.6499999985</v>
      </c>
      <c r="AE21" s="57"/>
    </row>
    <row r="22" spans="2:31" ht="5.45" customHeight="1" x14ac:dyDescent="0.25">
      <c r="B22" s="26"/>
      <c r="C22" s="26"/>
      <c r="D22" s="26"/>
      <c r="E22" s="36"/>
      <c r="F22" s="37"/>
      <c r="G22" s="26"/>
      <c r="H22" s="26"/>
      <c r="I22" s="66"/>
      <c r="J22" s="26"/>
      <c r="K22" s="27"/>
      <c r="L22" s="27"/>
      <c r="M22" s="26"/>
      <c r="N22" s="26"/>
      <c r="O22" s="26"/>
      <c r="P22" s="26"/>
      <c r="Q22" s="26"/>
      <c r="R22" s="25"/>
      <c r="S22" s="25"/>
      <c r="T22" s="72"/>
      <c r="U22" s="26"/>
      <c r="V22" s="26"/>
      <c r="W22" s="26"/>
      <c r="X22" s="26"/>
      <c r="Y22" s="26"/>
      <c r="Z22" s="26"/>
      <c r="AA22" s="26"/>
      <c r="AB22" s="26"/>
      <c r="AC22" s="55"/>
      <c r="AD22" s="32">
        <f t="shared" ref="AD22" si="3">W8-AB22</f>
        <v>0</v>
      </c>
      <c r="AE22" s="25"/>
    </row>
    <row r="23" spans="2:31" x14ac:dyDescent="0.25">
      <c r="B23" s="26">
        <v>1</v>
      </c>
      <c r="C23" s="26" t="s">
        <v>14</v>
      </c>
      <c r="D23" s="26"/>
      <c r="E23" s="38">
        <f>F23</f>
        <v>1540.18</v>
      </c>
      <c r="F23" s="30">
        <v>1540.18</v>
      </c>
      <c r="G23" s="39">
        <f>F23</f>
        <v>1540.18</v>
      </c>
      <c r="H23" s="28">
        <f>F23*J23</f>
        <v>6946211.8000000007</v>
      </c>
      <c r="I23" s="70">
        <f>(M23+N23+O23)*G85</f>
        <v>5965134.3350173496</v>
      </c>
      <c r="J23" s="28">
        <v>4510</v>
      </c>
      <c r="K23" s="33">
        <f>G23*J23</f>
        <v>6946211.8000000007</v>
      </c>
      <c r="L23" s="27"/>
      <c r="M23" s="40">
        <f>5882136</f>
        <v>5882136</v>
      </c>
      <c r="N23" s="26"/>
      <c r="O23" s="77"/>
      <c r="P23" s="77"/>
      <c r="Q23" s="77"/>
      <c r="R23" s="78"/>
      <c r="S23" s="78"/>
      <c r="T23" s="72" t="s">
        <v>95</v>
      </c>
      <c r="U23" s="26" t="s">
        <v>68</v>
      </c>
      <c r="V23" s="32">
        <f>SUM(I33:I35,I43:I45,I55:I57)</f>
        <v>73400783.686832547</v>
      </c>
      <c r="W23" s="26"/>
      <c r="X23" s="32">
        <f>SUM(I37+I47+I59)</f>
        <v>5836650.9264194444</v>
      </c>
      <c r="Y23" s="32">
        <f>SUM(I38+I48+I60)</f>
        <v>9073972.3713815399</v>
      </c>
      <c r="Z23" s="32">
        <f>I77+I78</f>
        <v>8809452.038306715</v>
      </c>
      <c r="AA23" s="32">
        <f>SUM(V23:Z23)+V25</f>
        <v>98278248.552940235</v>
      </c>
      <c r="AB23" s="32">
        <f>H39+H51+H61</f>
        <v>51064592.149999999</v>
      </c>
      <c r="AC23" s="96">
        <f>AA23-AB23</f>
        <v>47213656.402940236</v>
      </c>
      <c r="AD23" s="32">
        <f>W6-AB23</f>
        <v>71467723.960000008</v>
      </c>
      <c r="AE23" s="57"/>
    </row>
    <row r="24" spans="2:31" x14ac:dyDescent="0.25">
      <c r="B24" s="26">
        <v>2</v>
      </c>
      <c r="C24" s="26" t="s">
        <v>15</v>
      </c>
      <c r="D24" s="26"/>
      <c r="E24" s="38">
        <f>F24</f>
        <v>635.17999999999995</v>
      </c>
      <c r="F24" s="30">
        <v>635.17999999999995</v>
      </c>
      <c r="G24" s="39">
        <v>635</v>
      </c>
      <c r="H24" s="28">
        <f t="shared" ref="H24:H27" si="4">F24*J24</f>
        <v>2165963.7999999998</v>
      </c>
      <c r="I24" s="70">
        <f>(M24+N24+O24)*G85</f>
        <v>451372.35375746875</v>
      </c>
      <c r="J24" s="28">
        <v>3410</v>
      </c>
      <c r="K24" s="33">
        <f>G24*J24</f>
        <v>2165350</v>
      </c>
      <c r="L24" s="27"/>
      <c r="M24" s="40">
        <v>445092</v>
      </c>
      <c r="N24" s="26"/>
      <c r="O24" s="26"/>
      <c r="P24" s="26"/>
      <c r="Q24" s="26"/>
      <c r="R24" s="78"/>
      <c r="S24" s="78"/>
      <c r="T24" s="72" t="s">
        <v>94</v>
      </c>
      <c r="U24" s="26" t="s">
        <v>12</v>
      </c>
      <c r="V24" s="32">
        <f>I67+I68+I69</f>
        <v>132754471.61434962</v>
      </c>
      <c r="W24" s="32">
        <f>I70</f>
        <v>5797267.7410820844</v>
      </c>
      <c r="X24" s="32">
        <f>I71</f>
        <v>2892220.2649713908</v>
      </c>
      <c r="Y24" s="32">
        <f>I72</f>
        <v>14018891.827787863</v>
      </c>
      <c r="Z24" s="26"/>
      <c r="AA24" s="32">
        <f>SUM(V24:Z24)</f>
        <v>155462851.44819099</v>
      </c>
      <c r="AB24" s="32">
        <f>H73</f>
        <v>68960113.609999985</v>
      </c>
      <c r="AC24" s="96">
        <f>AA24-AB24</f>
        <v>86502737.838191003</v>
      </c>
      <c r="AD24" s="32">
        <f>W5-AB24</f>
        <v>110208707.08000001</v>
      </c>
      <c r="AE24" s="57"/>
    </row>
    <row r="25" spans="2:31" x14ac:dyDescent="0.25">
      <c r="B25" s="26">
        <v>3</v>
      </c>
      <c r="C25" s="26" t="s">
        <v>16</v>
      </c>
      <c r="D25" s="26"/>
      <c r="E25" s="38">
        <v>309.39999999999998</v>
      </c>
      <c r="F25" s="30">
        <v>293.2</v>
      </c>
      <c r="G25" s="39">
        <f>F25</f>
        <v>293.2</v>
      </c>
      <c r="H25" s="28">
        <f t="shared" si="4"/>
        <v>3144570</v>
      </c>
      <c r="I25" s="70">
        <f>(M25+N25+O25)*G85</f>
        <v>4177918.172354077</v>
      </c>
      <c r="J25" s="28">
        <v>10725</v>
      </c>
      <c r="K25" s="33">
        <f>G25*J25</f>
        <v>3144570</v>
      </c>
      <c r="L25" s="27"/>
      <c r="M25" s="40">
        <v>4119787</v>
      </c>
      <c r="N25" s="26"/>
      <c r="O25" s="26"/>
      <c r="P25" s="26"/>
      <c r="Q25" s="26"/>
      <c r="R25" s="78"/>
      <c r="S25" s="78"/>
      <c r="T25" s="81" t="s">
        <v>109</v>
      </c>
      <c r="U25" s="82" t="s">
        <v>110</v>
      </c>
      <c r="V25" s="83">
        <f>W9+W11</f>
        <v>1157389.5300000003</v>
      </c>
      <c r="W25" s="32"/>
      <c r="X25" s="32"/>
      <c r="Y25" s="32"/>
      <c r="Z25" s="26"/>
      <c r="AA25" s="32"/>
      <c r="AB25" s="32"/>
      <c r="AC25" s="96"/>
      <c r="AD25" s="32"/>
      <c r="AE25" s="57"/>
    </row>
    <row r="26" spans="2:31" x14ac:dyDescent="0.25">
      <c r="B26" s="26">
        <v>4</v>
      </c>
      <c r="C26" s="26" t="s">
        <v>41</v>
      </c>
      <c r="D26" s="26"/>
      <c r="E26" s="38">
        <v>0</v>
      </c>
      <c r="F26" s="30">
        <v>0</v>
      </c>
      <c r="G26" s="39"/>
      <c r="H26" s="28"/>
      <c r="I26" s="70"/>
      <c r="J26" s="28">
        <v>3740</v>
      </c>
      <c r="K26" s="33">
        <f>G26*J26</f>
        <v>0</v>
      </c>
      <c r="L26" s="27"/>
      <c r="M26" s="40">
        <f t="shared" ref="M26" si="5">I26</f>
        <v>0</v>
      </c>
      <c r="N26" s="26"/>
      <c r="O26" s="26"/>
      <c r="P26" s="26"/>
      <c r="Q26" s="26"/>
      <c r="R26" s="78"/>
      <c r="S26" s="78"/>
      <c r="U26" s="24" t="s">
        <v>13</v>
      </c>
      <c r="V26" s="61">
        <f>SUM(V21:V25)</f>
        <v>217907069.69231108</v>
      </c>
      <c r="W26" s="61">
        <f>SUM(W21:W25)</f>
        <v>5797267.7410820844</v>
      </c>
      <c r="X26" s="61">
        <f>SUM(X21:X24)</f>
        <v>9130422.3374083377</v>
      </c>
      <c r="Y26" s="61">
        <f>SUM(Y21:Y25)</f>
        <v>23092864.199169405</v>
      </c>
      <c r="Z26" s="61">
        <f>SUM(Z21:Z25)</f>
        <v>8809452.038306715</v>
      </c>
      <c r="AA26" s="61">
        <f>SUM(V26:Z26)</f>
        <v>264737076.0082776</v>
      </c>
      <c r="AB26" s="61">
        <f>SUM(AB21:AB25)+H77</f>
        <v>141338381.10999998</v>
      </c>
      <c r="AC26" s="97">
        <f>SUM(AC21:AC25)</f>
        <v>131549760.89827764</v>
      </c>
      <c r="AD26" s="61">
        <f>SUM(AD21:AD25)</f>
        <v>183241156.69000003</v>
      </c>
      <c r="AE26" s="61">
        <f>AB26+AD26</f>
        <v>324579537.80000001</v>
      </c>
    </row>
    <row r="27" spans="2:31" x14ac:dyDescent="0.25">
      <c r="B27" s="26">
        <v>5</v>
      </c>
      <c r="C27" s="26" t="s">
        <v>42</v>
      </c>
      <c r="D27" s="26"/>
      <c r="E27" s="38">
        <v>2511</v>
      </c>
      <c r="F27" s="30">
        <v>658.81</v>
      </c>
      <c r="G27" s="39">
        <f>F27</f>
        <v>658.81</v>
      </c>
      <c r="H27" s="28">
        <f t="shared" si="4"/>
        <v>905863.74999999988</v>
      </c>
      <c r="I27" s="70">
        <f>(M27+N27+O27)*G85</f>
        <v>401551.14601750282</v>
      </c>
      <c r="J27" s="28">
        <v>1375</v>
      </c>
      <c r="K27" s="33">
        <f>G27*J27</f>
        <v>905863.74999999988</v>
      </c>
      <c r="L27" s="27"/>
      <c r="M27" s="40">
        <v>395964</v>
      </c>
      <c r="N27" s="26"/>
      <c r="O27" s="26"/>
      <c r="P27" s="26"/>
      <c r="Q27" s="26"/>
      <c r="R27" s="25"/>
      <c r="S27" s="25"/>
      <c r="U27" s="24" t="s">
        <v>116</v>
      </c>
      <c r="V27" s="61">
        <f>SUM(I8:I12)+W9+W11</f>
        <v>217907069.69231108</v>
      </c>
      <c r="W27" s="61">
        <f>I13</f>
        <v>5797267.7410820844</v>
      </c>
      <c r="X27" s="61">
        <f>I14</f>
        <v>9130422.3374083377</v>
      </c>
      <c r="Y27" s="61">
        <f>I15</f>
        <v>23092864.199169405</v>
      </c>
      <c r="Z27" s="61">
        <f>I17</f>
        <v>8809452.038306715</v>
      </c>
      <c r="AA27" s="61">
        <f>I18+W9+W11</f>
        <v>264737076.0082776</v>
      </c>
      <c r="AB27" s="61"/>
      <c r="AC27" s="61"/>
      <c r="AD27" s="61"/>
      <c r="AE27" s="61"/>
    </row>
    <row r="28" spans="2:31" x14ac:dyDescent="0.25">
      <c r="B28" s="26">
        <v>6</v>
      </c>
      <c r="C28" s="26" t="s">
        <v>45</v>
      </c>
      <c r="D28" s="26"/>
      <c r="E28" s="38"/>
      <c r="F28" s="30">
        <v>0</v>
      </c>
      <c r="G28" s="26"/>
      <c r="H28" s="28"/>
      <c r="I28" s="67">
        <v>0</v>
      </c>
      <c r="J28" s="26"/>
      <c r="K28" s="27"/>
      <c r="L28" s="27"/>
      <c r="M28" s="29"/>
      <c r="N28" s="26"/>
      <c r="O28" s="26"/>
      <c r="P28" s="26"/>
      <c r="Q28" s="26"/>
      <c r="R28" s="78"/>
      <c r="S28" s="78"/>
      <c r="AA28" s="98">
        <f>AA21+AA23+AA24+AA25</f>
        <v>264737076.00827762</v>
      </c>
      <c r="AB28" s="61"/>
    </row>
    <row r="29" spans="2:31" x14ac:dyDescent="0.25">
      <c r="B29" s="26"/>
      <c r="C29" s="26" t="s">
        <v>132</v>
      </c>
      <c r="D29" s="26"/>
      <c r="E29" s="38"/>
      <c r="F29" s="30"/>
      <c r="G29" s="26"/>
      <c r="H29" s="28">
        <f>SUM(H23:H28)</f>
        <v>13162609.350000001</v>
      </c>
      <c r="I29" s="67">
        <f>SUM(I23:I28)</f>
        <v>10995976.007146399</v>
      </c>
      <c r="J29" s="26"/>
      <c r="K29" s="27"/>
      <c r="L29" s="27"/>
      <c r="M29" s="29"/>
      <c r="N29" s="26"/>
      <c r="O29" s="26"/>
      <c r="P29" s="26"/>
      <c r="Q29" s="26"/>
      <c r="R29" s="25"/>
      <c r="S29" s="25"/>
      <c r="U29" s="24" t="s">
        <v>119</v>
      </c>
      <c r="AB29" s="61"/>
      <c r="AC29" s="61">
        <f>U3</f>
        <v>141338785</v>
      </c>
    </row>
    <row r="30" spans="2:31" x14ac:dyDescent="0.25">
      <c r="B30" s="26"/>
      <c r="C30" s="26"/>
      <c r="D30" s="26"/>
      <c r="E30" s="38"/>
      <c r="F30" s="30"/>
      <c r="G30" s="26"/>
      <c r="H30" s="28">
        <f t="shared" ref="H30:H66" si="6">G30*J30</f>
        <v>0</v>
      </c>
      <c r="I30" s="66"/>
      <c r="J30" s="26"/>
      <c r="K30" s="27"/>
      <c r="L30" s="27"/>
      <c r="M30" s="26"/>
      <c r="N30" s="26"/>
      <c r="O30" s="26"/>
      <c r="P30" s="26"/>
      <c r="Q30" s="26"/>
      <c r="R30" s="78"/>
      <c r="S30" s="78"/>
      <c r="U30" s="24" t="s">
        <v>118</v>
      </c>
      <c r="AC30" s="97">
        <f>AA26-AB26</f>
        <v>123398694.89827761</v>
      </c>
      <c r="AD30" s="61"/>
    </row>
    <row r="31" spans="2:31" ht="15" customHeight="1" x14ac:dyDescent="0.25">
      <c r="B31" s="26"/>
      <c r="C31" s="26" t="s">
        <v>9</v>
      </c>
      <c r="D31" s="26"/>
      <c r="E31" s="41"/>
      <c r="F31" s="42"/>
      <c r="G31" s="26"/>
      <c r="H31" s="28"/>
      <c r="I31" s="66"/>
      <c r="J31" s="26"/>
      <c r="K31" s="27"/>
      <c r="L31" s="27"/>
      <c r="M31" s="26"/>
      <c r="N31" s="26"/>
      <c r="O31" s="26"/>
      <c r="P31" s="26"/>
      <c r="Q31" s="26"/>
      <c r="R31" s="25"/>
      <c r="S31" s="25"/>
    </row>
    <row r="32" spans="2:31" x14ac:dyDescent="0.25">
      <c r="B32" s="26"/>
      <c r="C32" s="26"/>
      <c r="D32" s="26"/>
      <c r="E32" s="43"/>
      <c r="F32" s="44"/>
      <c r="G32" s="26"/>
      <c r="H32" s="28">
        <f t="shared" si="6"/>
        <v>0</v>
      </c>
      <c r="I32" s="66"/>
      <c r="J32" s="26"/>
      <c r="K32" s="27"/>
      <c r="L32" s="27"/>
      <c r="M32" s="26"/>
      <c r="N32" s="26"/>
      <c r="O32" s="26"/>
      <c r="P32" s="26"/>
      <c r="Q32" s="26"/>
      <c r="R32" s="25"/>
      <c r="S32" s="25"/>
      <c r="U32" s="24" t="s">
        <v>126</v>
      </c>
      <c r="AC32" s="61">
        <f>AD26</f>
        <v>183241156.69000003</v>
      </c>
    </row>
    <row r="33" spans="2:29" ht="15" customHeight="1" x14ac:dyDescent="0.25">
      <c r="B33" s="26">
        <v>1</v>
      </c>
      <c r="C33" s="26" t="s">
        <v>14</v>
      </c>
      <c r="D33" s="26"/>
      <c r="E33" s="38">
        <v>1434.85</v>
      </c>
      <c r="F33" s="30">
        <v>1434.85</v>
      </c>
      <c r="G33" s="26">
        <v>1555</v>
      </c>
      <c r="H33" s="28">
        <f>F33*J33</f>
        <v>6471173.5</v>
      </c>
      <c r="I33" s="71">
        <f>(M33+N33+O33)*G91</f>
        <v>7796592.7470695945</v>
      </c>
      <c r="J33" s="28">
        <v>4510</v>
      </c>
      <c r="K33" s="33">
        <f>G33*J33</f>
        <v>7013050</v>
      </c>
      <c r="L33" s="27"/>
      <c r="M33" s="28">
        <v>7535734</v>
      </c>
      <c r="N33" s="28"/>
      <c r="O33" s="28"/>
      <c r="P33" s="28"/>
      <c r="Q33" s="28"/>
      <c r="R33" s="25"/>
      <c r="S33" s="25"/>
      <c r="AC33" s="61"/>
    </row>
    <row r="34" spans="2:29" x14ac:dyDescent="0.25">
      <c r="B34" s="26">
        <v>2</v>
      </c>
      <c r="C34" s="26" t="s">
        <v>15</v>
      </c>
      <c r="D34" s="26"/>
      <c r="E34" s="38">
        <v>572.1</v>
      </c>
      <c r="F34" s="30">
        <v>572.1</v>
      </c>
      <c r="G34" s="26">
        <v>597</v>
      </c>
      <c r="H34" s="28">
        <f t="shared" ref="H34:H37" si="7">F34*J34</f>
        <v>1950861</v>
      </c>
      <c r="I34" s="71">
        <f>(M34+N34+O34)*G91</f>
        <v>4956442.8866569698</v>
      </c>
      <c r="J34" s="28">
        <v>3410</v>
      </c>
      <c r="K34" s="33">
        <f>G34*J34</f>
        <v>2035770</v>
      </c>
      <c r="L34" s="27"/>
      <c r="M34" s="28">
        <v>4790610</v>
      </c>
      <c r="N34" s="28"/>
      <c r="O34" s="28"/>
      <c r="P34" s="28"/>
      <c r="Q34" s="28"/>
      <c r="R34" s="49"/>
      <c r="S34" s="49"/>
      <c r="AC34" s="61">
        <f>AC29+AC32</f>
        <v>324579941.69000006</v>
      </c>
    </row>
    <row r="35" spans="2:29" x14ac:dyDescent="0.25">
      <c r="B35" s="26">
        <v>3</v>
      </c>
      <c r="C35" s="26" t="s">
        <v>16</v>
      </c>
      <c r="D35" s="26"/>
      <c r="E35" s="38">
        <v>454.2</v>
      </c>
      <c r="F35" s="30">
        <v>454.2</v>
      </c>
      <c r="G35" s="26">
        <v>499</v>
      </c>
      <c r="H35" s="28">
        <f t="shared" si="7"/>
        <v>4871295</v>
      </c>
      <c r="I35" s="71">
        <f>(M35+N35+O35)*G91</f>
        <v>4896574.8181570489</v>
      </c>
      <c r="J35" s="28">
        <v>10725</v>
      </c>
      <c r="K35" s="33">
        <f>G35*J35</f>
        <v>5351775</v>
      </c>
      <c r="L35" s="27"/>
      <c r="M35" s="28">
        <v>4732745</v>
      </c>
      <c r="N35" s="28"/>
      <c r="O35" s="28"/>
      <c r="P35" s="28"/>
      <c r="Q35" s="28"/>
      <c r="R35" s="49"/>
      <c r="S35" s="49"/>
      <c r="U35" s="26"/>
      <c r="V35" s="100"/>
      <c r="W35" s="83"/>
      <c r="X35" s="26"/>
      <c r="Y35" s="26"/>
      <c r="AC35" s="61">
        <f>AC34-W12</f>
        <v>6994080.3600000143</v>
      </c>
    </row>
    <row r="36" spans="2:29" x14ac:dyDescent="0.25">
      <c r="B36" s="26">
        <v>4</v>
      </c>
      <c r="C36" s="26" t="s">
        <v>41</v>
      </c>
      <c r="D36" s="26"/>
      <c r="E36" s="38">
        <v>0</v>
      </c>
      <c r="F36" s="30">
        <v>0</v>
      </c>
      <c r="G36" s="26"/>
      <c r="H36" s="28"/>
      <c r="I36" s="71">
        <f>(M36+N36+O36)*G91</f>
        <v>0</v>
      </c>
      <c r="J36" s="28">
        <v>3740</v>
      </c>
      <c r="K36" s="33">
        <f>G36*J36</f>
        <v>0</v>
      </c>
      <c r="L36" s="27"/>
      <c r="M36" s="28"/>
      <c r="N36" s="28"/>
      <c r="O36" s="28"/>
      <c r="P36" s="28"/>
      <c r="Q36" s="28"/>
      <c r="R36" s="49"/>
      <c r="S36" s="49"/>
      <c r="U36" s="26" t="s">
        <v>19</v>
      </c>
      <c r="V36" s="100"/>
      <c r="W36" s="83">
        <f>I29</f>
        <v>10995976.007146399</v>
      </c>
      <c r="X36" s="26"/>
      <c r="Y36" s="26"/>
    </row>
    <row r="37" spans="2:29" x14ac:dyDescent="0.25">
      <c r="B37" s="26">
        <v>5</v>
      </c>
      <c r="C37" s="26" t="s">
        <v>42</v>
      </c>
      <c r="D37" s="26"/>
      <c r="E37" s="38">
        <v>1004.03</v>
      </c>
      <c r="F37" s="30">
        <v>525.99</v>
      </c>
      <c r="G37" s="39">
        <v>546</v>
      </c>
      <c r="H37" s="28">
        <f t="shared" si="7"/>
        <v>723236.25</v>
      </c>
      <c r="I37" s="71">
        <f>(M37+N37+O37)*G91</f>
        <v>1507998.6871796171</v>
      </c>
      <c r="J37" s="28">
        <v>1375</v>
      </c>
      <c r="K37" s="33">
        <f>G37*J37</f>
        <v>750750</v>
      </c>
      <c r="L37" s="27"/>
      <c r="M37" s="28">
        <v>1124947</v>
      </c>
      <c r="N37" s="28">
        <v>-1076580</v>
      </c>
      <c r="O37" s="28">
        <v>1409177</v>
      </c>
      <c r="P37" s="28"/>
      <c r="Q37" s="28"/>
      <c r="R37" s="49"/>
      <c r="S37" s="49"/>
      <c r="U37" s="26" t="s">
        <v>9</v>
      </c>
      <c r="V37" s="100"/>
      <c r="W37" s="83">
        <f>I39</f>
        <v>21922393.414375912</v>
      </c>
      <c r="X37" s="26"/>
      <c r="Y37" s="26"/>
    </row>
    <row r="38" spans="2:29" x14ac:dyDescent="0.25">
      <c r="B38" s="26">
        <v>6</v>
      </c>
      <c r="C38" s="26" t="s">
        <v>45</v>
      </c>
      <c r="D38" s="26"/>
      <c r="E38" s="38"/>
      <c r="F38" s="30">
        <v>0</v>
      </c>
      <c r="G38" s="26"/>
      <c r="H38" s="28"/>
      <c r="I38" s="71">
        <f>(M38+N38+O38+R39)*G91</f>
        <v>2764784.2753126817</v>
      </c>
      <c r="J38" s="26"/>
      <c r="K38" s="27"/>
      <c r="L38" s="27"/>
      <c r="M38" s="28">
        <v>4134999</v>
      </c>
      <c r="N38" s="28">
        <v>-1230563</v>
      </c>
      <c r="O38" s="28"/>
      <c r="P38" s="28"/>
      <c r="Q38" s="28"/>
      <c r="R38" s="49"/>
      <c r="S38" s="49"/>
      <c r="U38" s="26" t="s">
        <v>10</v>
      </c>
      <c r="V38" s="100"/>
      <c r="W38" s="83">
        <f>I51</f>
        <v>44833567.019992732</v>
      </c>
      <c r="X38" s="26"/>
      <c r="Y38" s="26"/>
    </row>
    <row r="39" spans="2:29" x14ac:dyDescent="0.25">
      <c r="B39" s="26"/>
      <c r="C39" s="26" t="s">
        <v>13</v>
      </c>
      <c r="D39" s="26"/>
      <c r="E39" s="38"/>
      <c r="F39" s="30"/>
      <c r="G39" s="26"/>
      <c r="H39" s="28">
        <f>SUM(H33:H38)</f>
        <v>14016565.75</v>
      </c>
      <c r="I39" s="67">
        <f>SUM(I33:I38)</f>
        <v>21922393.414375912</v>
      </c>
      <c r="J39" s="26"/>
      <c r="K39" s="27"/>
      <c r="L39" s="27"/>
      <c r="M39" s="28"/>
      <c r="N39" s="28"/>
      <c r="O39" s="28"/>
      <c r="P39" s="28"/>
      <c r="Q39" s="28"/>
      <c r="R39" s="49">
        <v>-232156</v>
      </c>
      <c r="S39" s="49" t="s">
        <v>102</v>
      </c>
      <c r="T39" s="45"/>
      <c r="U39" s="28" t="s">
        <v>11</v>
      </c>
      <c r="V39" s="100"/>
      <c r="W39" s="83">
        <f>I61</f>
        <v>22712836.080264885</v>
      </c>
      <c r="X39" s="26"/>
      <c r="Y39" s="26"/>
    </row>
    <row r="40" spans="2:29" x14ac:dyDescent="0.25">
      <c r="B40" s="26"/>
      <c r="C40" s="26"/>
      <c r="D40" s="26"/>
      <c r="E40" s="38"/>
      <c r="F40" s="30"/>
      <c r="G40" s="26"/>
      <c r="H40" s="28">
        <f t="shared" si="6"/>
        <v>0</v>
      </c>
      <c r="I40" s="67"/>
      <c r="J40" s="26"/>
      <c r="K40" s="27"/>
      <c r="L40" s="27"/>
      <c r="M40" s="28"/>
      <c r="N40" s="28"/>
      <c r="O40" s="28"/>
      <c r="P40" s="28"/>
      <c r="Q40" s="28"/>
      <c r="R40" s="49"/>
      <c r="S40" s="49"/>
      <c r="T40" s="45"/>
      <c r="U40" s="28" t="s">
        <v>12</v>
      </c>
      <c r="V40" s="100"/>
      <c r="W40" s="83">
        <f>I73</f>
        <v>155462851.44819099</v>
      </c>
      <c r="X40" s="26"/>
      <c r="Y40" s="26"/>
    </row>
    <row r="41" spans="2:29" ht="15" customHeight="1" x14ac:dyDescent="0.25">
      <c r="B41" s="26"/>
      <c r="C41" s="26" t="s">
        <v>10</v>
      </c>
      <c r="D41" s="26"/>
      <c r="E41" s="43"/>
      <c r="F41" s="44"/>
      <c r="G41" s="26"/>
      <c r="H41" s="28"/>
      <c r="I41" s="67"/>
      <c r="J41" s="26"/>
      <c r="K41" s="27"/>
      <c r="L41" s="27"/>
      <c r="M41" s="28"/>
      <c r="N41" s="28"/>
      <c r="O41" s="28"/>
      <c r="P41" s="28"/>
      <c r="Q41" s="28"/>
      <c r="R41" s="49"/>
      <c r="S41" s="49"/>
      <c r="U41" s="26" t="s">
        <v>72</v>
      </c>
      <c r="V41" s="100"/>
      <c r="W41" s="83">
        <f>I79</f>
        <v>8809452.038306715</v>
      </c>
      <c r="X41" s="26"/>
      <c r="Y41" s="26"/>
    </row>
    <row r="42" spans="2:29" x14ac:dyDescent="0.25">
      <c r="B42" s="26"/>
      <c r="C42" s="26"/>
      <c r="D42" s="26"/>
      <c r="E42" s="43"/>
      <c r="F42" s="44"/>
      <c r="G42" s="26"/>
      <c r="H42" s="28">
        <f t="shared" si="6"/>
        <v>0</v>
      </c>
      <c r="I42" s="67"/>
      <c r="J42" s="26"/>
      <c r="K42" s="27"/>
      <c r="L42" s="27"/>
      <c r="M42" s="28"/>
      <c r="N42" s="28"/>
      <c r="O42" s="28"/>
      <c r="P42" s="28"/>
      <c r="Q42" s="28"/>
      <c r="R42" s="49"/>
      <c r="S42" s="49"/>
      <c r="U42" s="26" t="s">
        <v>13</v>
      </c>
      <c r="V42" s="100"/>
      <c r="W42" s="83">
        <f>SUM(W36:W41)</f>
        <v>264737076.00827762</v>
      </c>
      <c r="X42" s="26"/>
      <c r="Y42" s="26"/>
    </row>
    <row r="43" spans="2:29" ht="15" customHeight="1" x14ac:dyDescent="0.25">
      <c r="B43" s="26">
        <v>1</v>
      </c>
      <c r="C43" s="26" t="s">
        <v>14</v>
      </c>
      <c r="D43" s="26"/>
      <c r="E43" s="38">
        <v>2268.2199999999998</v>
      </c>
      <c r="F43" s="30">
        <v>2268.62</v>
      </c>
      <c r="G43" s="26">
        <v>2442</v>
      </c>
      <c r="H43" s="28">
        <f>F43*J43</f>
        <v>10231476.199999999</v>
      </c>
      <c r="I43" s="67">
        <f>(M43+N43+O43)*G91</f>
        <v>17851343.02944034</v>
      </c>
      <c r="J43" s="28">
        <v>4510</v>
      </c>
      <c r="K43" s="33">
        <f>G43*J43</f>
        <v>11013420</v>
      </c>
      <c r="L43" s="27"/>
      <c r="M43" s="28">
        <v>17254072</v>
      </c>
      <c r="N43" s="28"/>
      <c r="O43" s="28"/>
      <c r="P43" s="28"/>
      <c r="Q43" s="28"/>
      <c r="R43" s="49"/>
      <c r="S43" s="49"/>
    </row>
    <row r="44" spans="2:29" x14ac:dyDescent="0.25">
      <c r="B44" s="26">
        <v>2</v>
      </c>
      <c r="C44" s="26" t="s">
        <v>15</v>
      </c>
      <c r="D44" s="26"/>
      <c r="E44" s="38">
        <v>829.91</v>
      </c>
      <c r="F44" s="30">
        <v>829.91</v>
      </c>
      <c r="G44" s="46">
        <v>829.91</v>
      </c>
      <c r="H44" s="28">
        <f t="shared" ref="H44:H47" si="8">F44*J44</f>
        <v>2829993.1</v>
      </c>
      <c r="I44" s="67">
        <f>(M44+N44+O44)*G91</f>
        <v>7033296.3419825034</v>
      </c>
      <c r="J44" s="28">
        <v>3410</v>
      </c>
      <c r="K44" s="33">
        <f>G44*J44</f>
        <v>2829993.1</v>
      </c>
      <c r="L44" s="27"/>
      <c r="M44" s="28">
        <v>6797976</v>
      </c>
      <c r="N44" s="28"/>
      <c r="O44" s="28"/>
      <c r="P44" s="28"/>
      <c r="Q44" s="28"/>
      <c r="R44" s="49"/>
      <c r="S44" s="49"/>
    </row>
    <row r="45" spans="2:29" x14ac:dyDescent="0.25">
      <c r="B45" s="26">
        <v>3</v>
      </c>
      <c r="C45" s="26" t="s">
        <v>16</v>
      </c>
      <c r="D45" s="26"/>
      <c r="E45" s="38">
        <v>945.1</v>
      </c>
      <c r="F45" s="30">
        <v>945.1</v>
      </c>
      <c r="G45" s="59">
        <f>788+F50+E49</f>
        <v>944.56999999999994</v>
      </c>
      <c r="H45" s="28">
        <f t="shared" si="8"/>
        <v>10136197.5</v>
      </c>
      <c r="I45" s="67">
        <f>(M45+N45+O45)*G91</f>
        <v>12282941.193010502</v>
      </c>
      <c r="J45" s="28">
        <v>10725</v>
      </c>
      <c r="K45" s="33">
        <f>G45*J45</f>
        <v>10130513.25</v>
      </c>
      <c r="L45" s="27"/>
      <c r="M45" s="28">
        <f>11871978</f>
        <v>11871978</v>
      </c>
      <c r="N45" s="28"/>
      <c r="O45" s="28"/>
      <c r="P45" s="28"/>
      <c r="Q45" s="28"/>
      <c r="R45" s="49"/>
      <c r="S45" s="49"/>
    </row>
    <row r="46" spans="2:29" x14ac:dyDescent="0.25">
      <c r="B46" s="26">
        <v>4</v>
      </c>
      <c r="C46" s="26" t="s">
        <v>41</v>
      </c>
      <c r="D46" s="26"/>
      <c r="E46" s="38">
        <v>0</v>
      </c>
      <c r="F46" s="30">
        <v>0</v>
      </c>
      <c r="G46" s="26"/>
      <c r="H46" s="28"/>
      <c r="I46" s="67">
        <f t="shared" ref="I46" si="9">(M46+N46+O46)*G94</f>
        <v>0</v>
      </c>
      <c r="J46" s="28">
        <v>3740</v>
      </c>
      <c r="K46" s="33">
        <f>G46*J46</f>
        <v>0</v>
      </c>
      <c r="L46" s="27"/>
      <c r="M46" s="28"/>
      <c r="N46" s="28"/>
      <c r="O46" s="28"/>
      <c r="P46" s="28"/>
      <c r="Q46" s="28"/>
      <c r="R46" s="49"/>
      <c r="S46" s="49"/>
    </row>
    <row r="47" spans="2:29" x14ac:dyDescent="0.25">
      <c r="B47" s="26">
        <v>5</v>
      </c>
      <c r="C47" s="26" t="s">
        <v>42</v>
      </c>
      <c r="D47" s="26"/>
      <c r="E47" s="38">
        <v>1958.3</v>
      </c>
      <c r="F47" s="30">
        <v>1476.37</v>
      </c>
      <c r="G47" s="26">
        <v>1311</v>
      </c>
      <c r="H47" s="28">
        <f t="shared" si="8"/>
        <v>2030008.7499999998</v>
      </c>
      <c r="I47" s="67">
        <f>(M47+N47+O47)*G91</f>
        <v>2772808.7588396044</v>
      </c>
      <c r="J47" s="28">
        <v>1375</v>
      </c>
      <c r="K47" s="33">
        <f>G47*J47</f>
        <v>1802625</v>
      </c>
      <c r="L47" s="27"/>
      <c r="M47" s="28">
        <v>1126831</v>
      </c>
      <c r="N47" s="28">
        <v>-1073525</v>
      </c>
      <c r="O47" s="28">
        <v>2626730</v>
      </c>
      <c r="P47" s="28"/>
      <c r="Q47" s="28"/>
      <c r="R47" s="49"/>
      <c r="S47" s="49"/>
    </row>
    <row r="48" spans="2:29" x14ac:dyDescent="0.25">
      <c r="B48" s="26">
        <v>6</v>
      </c>
      <c r="C48" s="26" t="s">
        <v>45</v>
      </c>
      <c r="D48" s="26"/>
      <c r="E48" s="38">
        <v>0</v>
      </c>
      <c r="F48" s="30">
        <v>0</v>
      </c>
      <c r="G48" s="26"/>
      <c r="H48" s="28"/>
      <c r="I48" s="67">
        <f>(M48+N48+O48+R49)*G91</f>
        <v>3735788.1667197789</v>
      </c>
      <c r="J48" s="26"/>
      <c r="K48" s="27"/>
      <c r="L48" s="27"/>
      <c r="M48" s="28">
        <v>6995538</v>
      </c>
      <c r="N48" s="28">
        <v>-3154901</v>
      </c>
      <c r="O48" s="28"/>
      <c r="P48" s="28"/>
      <c r="Q48" s="28"/>
      <c r="R48" s="49"/>
      <c r="S48" s="49"/>
    </row>
    <row r="49" spans="1:21" x14ac:dyDescent="0.25">
      <c r="B49" s="26"/>
      <c r="C49" s="26" t="s">
        <v>113</v>
      </c>
      <c r="D49" s="26"/>
      <c r="E49" s="38">
        <f>-129.7</f>
        <v>-129.69999999999999</v>
      </c>
      <c r="F49" s="30">
        <v>0</v>
      </c>
      <c r="G49" s="26"/>
      <c r="H49" s="28"/>
      <c r="I49" s="67">
        <f>W11</f>
        <v>-1271240.46</v>
      </c>
      <c r="J49" s="26"/>
      <c r="K49" s="27"/>
      <c r="L49" s="27"/>
      <c r="M49" s="28"/>
      <c r="N49" s="28"/>
      <c r="O49" s="28"/>
      <c r="P49" s="28"/>
      <c r="Q49" s="28"/>
      <c r="R49" s="49">
        <v>-229841</v>
      </c>
      <c r="S49" s="49" t="s">
        <v>102</v>
      </c>
      <c r="T49" s="45"/>
      <c r="U49" s="45"/>
    </row>
    <row r="50" spans="1:21" x14ac:dyDescent="0.25">
      <c r="B50" s="26"/>
      <c r="C50" s="26" t="s">
        <v>114</v>
      </c>
      <c r="D50" s="26"/>
      <c r="E50" s="38">
        <v>0</v>
      </c>
      <c r="F50" s="30">
        <v>286.27</v>
      </c>
      <c r="G50" s="26"/>
      <c r="H50" s="28"/>
      <c r="I50" s="67">
        <f>W9</f>
        <v>2428629.9900000002</v>
      </c>
      <c r="J50" s="26"/>
      <c r="K50" s="27"/>
      <c r="L50" s="27"/>
      <c r="M50" s="28"/>
      <c r="N50" s="28"/>
      <c r="O50" s="28"/>
      <c r="P50" s="28"/>
      <c r="Q50" s="28"/>
      <c r="R50" s="49"/>
      <c r="S50" s="49"/>
    </row>
    <row r="51" spans="1:21" x14ac:dyDescent="0.25">
      <c r="B51" s="26"/>
      <c r="C51" s="99" t="s">
        <v>13</v>
      </c>
      <c r="D51" s="26"/>
      <c r="E51" s="47"/>
      <c r="F51" s="26"/>
      <c r="G51" s="26"/>
      <c r="H51" s="28">
        <f>SUM(H43:H50)</f>
        <v>25227675.549999997</v>
      </c>
      <c r="I51" s="67">
        <f>SUM(I43:I50)</f>
        <v>44833567.019992732</v>
      </c>
      <c r="J51" s="26"/>
      <c r="K51" s="27"/>
      <c r="L51" s="27"/>
      <c r="M51" s="28"/>
      <c r="N51" s="28"/>
      <c r="O51" s="28"/>
      <c r="P51" s="28"/>
      <c r="Q51" s="28"/>
      <c r="R51" s="49"/>
      <c r="S51" s="49"/>
    </row>
    <row r="52" spans="1:21" x14ac:dyDescent="0.25">
      <c r="B52" s="26"/>
      <c r="C52" s="93"/>
      <c r="D52" s="26"/>
      <c r="E52" s="47"/>
      <c r="F52" s="26"/>
      <c r="G52" s="26"/>
      <c r="H52" s="28">
        <f t="shared" si="6"/>
        <v>0</v>
      </c>
      <c r="I52" s="67"/>
      <c r="J52" s="26"/>
      <c r="K52" s="27"/>
      <c r="L52" s="27"/>
      <c r="M52" s="28"/>
      <c r="N52" s="28"/>
      <c r="O52" s="28"/>
      <c r="P52" s="28"/>
      <c r="Q52" s="28"/>
      <c r="R52" s="49"/>
      <c r="S52" s="49"/>
    </row>
    <row r="53" spans="1:21" ht="15" customHeight="1" x14ac:dyDescent="0.25">
      <c r="B53" s="26"/>
      <c r="C53" s="26" t="s">
        <v>11</v>
      </c>
      <c r="D53" s="26"/>
      <c r="E53" s="47"/>
      <c r="F53" s="26"/>
      <c r="G53" s="26"/>
      <c r="H53" s="28"/>
      <c r="I53" s="67"/>
      <c r="J53" s="26"/>
      <c r="K53" s="27"/>
      <c r="L53" s="27"/>
      <c r="M53" s="28"/>
      <c r="N53" s="28"/>
      <c r="O53" s="28"/>
      <c r="P53" s="28"/>
      <c r="Q53" s="28"/>
      <c r="R53" s="49"/>
      <c r="S53" s="49"/>
    </row>
    <row r="54" spans="1:21" x14ac:dyDescent="0.25">
      <c r="B54" s="26"/>
      <c r="C54" s="26"/>
      <c r="D54" s="26"/>
      <c r="E54" s="47"/>
      <c r="F54" s="26"/>
      <c r="G54" s="26"/>
      <c r="H54" s="28">
        <f t="shared" si="6"/>
        <v>0</v>
      </c>
      <c r="I54" s="67"/>
      <c r="J54" s="26"/>
      <c r="K54" s="27"/>
      <c r="L54" s="27"/>
      <c r="M54" s="28"/>
      <c r="N54" s="28"/>
      <c r="O54" s="28"/>
      <c r="P54" s="28"/>
      <c r="Q54" s="28"/>
      <c r="R54" s="49"/>
      <c r="S54" s="49"/>
    </row>
    <row r="55" spans="1:21" ht="15" customHeight="1" x14ac:dyDescent="0.25">
      <c r="B55" s="26">
        <v>1</v>
      </c>
      <c r="C55" s="26" t="s">
        <v>14</v>
      </c>
      <c r="D55" s="26"/>
      <c r="E55" s="38">
        <v>1059.8399999999999</v>
      </c>
      <c r="F55" s="30">
        <v>1059.8399999999999</v>
      </c>
      <c r="G55" s="26">
        <v>1732</v>
      </c>
      <c r="H55" s="28">
        <f>F55*J55</f>
        <v>4779878.3999999994</v>
      </c>
      <c r="I55" s="67">
        <f>(M55+N55+O55)*G91</f>
        <v>8892081.6640000734</v>
      </c>
      <c r="J55" s="28">
        <v>4510</v>
      </c>
      <c r="K55" s="33">
        <f>G55*J55</f>
        <v>7811320</v>
      </c>
      <c r="L55" s="27"/>
      <c r="M55" s="28">
        <v>8594570</v>
      </c>
      <c r="N55" s="28"/>
      <c r="O55" s="28"/>
      <c r="P55" s="28"/>
      <c r="Q55" s="28"/>
      <c r="R55" s="49"/>
      <c r="S55" s="49"/>
    </row>
    <row r="56" spans="1:21" x14ac:dyDescent="0.25">
      <c r="B56" s="26">
        <v>2</v>
      </c>
      <c r="C56" s="26" t="s">
        <v>15</v>
      </c>
      <c r="D56" s="26"/>
      <c r="E56" s="38">
        <v>676.57</v>
      </c>
      <c r="F56" s="30">
        <v>676.57</v>
      </c>
      <c r="G56" s="26">
        <v>683</v>
      </c>
      <c r="H56" s="28">
        <f t="shared" ref="H56:H59" si="10">F56*J56</f>
        <v>2307103.7000000002</v>
      </c>
      <c r="I56" s="67">
        <f>(M56+N56+O56)*G91</f>
        <v>5453648.4112228891</v>
      </c>
      <c r="J56" s="28">
        <v>3410</v>
      </c>
      <c r="K56" s="33">
        <f>G56*J56</f>
        <v>2329030</v>
      </c>
      <c r="L56" s="27"/>
      <c r="M56" s="28">
        <v>5271180</v>
      </c>
      <c r="N56" s="28"/>
      <c r="O56" s="28"/>
      <c r="P56" s="28"/>
      <c r="Q56" s="28"/>
      <c r="R56" s="49"/>
      <c r="S56" s="49"/>
    </row>
    <row r="57" spans="1:21" x14ac:dyDescent="0.25">
      <c r="B57" s="26">
        <v>3</v>
      </c>
      <c r="C57" s="26" t="s">
        <v>16</v>
      </c>
      <c r="D57" s="26"/>
      <c r="E57" s="38">
        <v>378.1</v>
      </c>
      <c r="F57" s="30">
        <v>378.1</v>
      </c>
      <c r="G57" s="26">
        <v>443</v>
      </c>
      <c r="H57" s="28">
        <f t="shared" si="10"/>
        <v>4055122.5000000005</v>
      </c>
      <c r="I57" s="67">
        <f>(M57+N57+O57)*G91</f>
        <v>4237862.5952926213</v>
      </c>
      <c r="J57" s="28">
        <v>10725</v>
      </c>
      <c r="K57" s="33">
        <f>G57*J57</f>
        <v>4751175</v>
      </c>
      <c r="L57" s="27"/>
      <c r="M57" s="28">
        <v>4096072</v>
      </c>
      <c r="N57" s="28"/>
      <c r="O57" s="28"/>
      <c r="P57" s="28"/>
      <c r="Q57" s="28"/>
      <c r="R57" s="49"/>
      <c r="S57" s="49"/>
    </row>
    <row r="58" spans="1:21" x14ac:dyDescent="0.25">
      <c r="B58" s="26">
        <v>4</v>
      </c>
      <c r="C58" s="26" t="s">
        <v>37</v>
      </c>
      <c r="D58" s="26"/>
      <c r="E58" s="38">
        <v>0</v>
      </c>
      <c r="F58" s="30">
        <v>0</v>
      </c>
      <c r="G58" s="26"/>
      <c r="H58" s="28"/>
      <c r="I58" s="67">
        <f>(M58+N58+O58)*G91</f>
        <v>0</v>
      </c>
      <c r="J58" s="28">
        <v>3740</v>
      </c>
      <c r="K58" s="27"/>
      <c r="L58" s="27"/>
      <c r="M58" s="28"/>
      <c r="N58" s="28"/>
      <c r="O58" s="28"/>
      <c r="P58" s="28"/>
      <c r="Q58" s="28"/>
      <c r="R58" s="49"/>
      <c r="S58" s="49"/>
    </row>
    <row r="59" spans="1:21" x14ac:dyDescent="0.25">
      <c r="B59" s="26">
        <v>5</v>
      </c>
      <c r="C59" s="26" t="s">
        <v>31</v>
      </c>
      <c r="D59" s="26"/>
      <c r="E59" s="38">
        <v>514.20000000000005</v>
      </c>
      <c r="F59" s="30">
        <v>493.27</v>
      </c>
      <c r="G59" s="26">
        <v>490</v>
      </c>
      <c r="H59" s="28">
        <f t="shared" si="10"/>
        <v>678246.25</v>
      </c>
      <c r="I59" s="67">
        <f>(M59+N59+O59)*G91</f>
        <v>1555843.4804002228</v>
      </c>
      <c r="J59" s="28">
        <v>1375</v>
      </c>
      <c r="K59" s="33">
        <f>G59*J59</f>
        <v>673750</v>
      </c>
      <c r="L59" s="27"/>
      <c r="M59" s="28">
        <v>357962</v>
      </c>
      <c r="N59" s="28">
        <v>-324962</v>
      </c>
      <c r="O59" s="28">
        <v>1470788</v>
      </c>
      <c r="P59" s="28"/>
      <c r="Q59" s="28"/>
      <c r="R59" s="49"/>
      <c r="S59" s="49"/>
    </row>
    <row r="60" spans="1:21" x14ac:dyDescent="0.25">
      <c r="B60" s="26">
        <v>6</v>
      </c>
      <c r="C60" s="26" t="s">
        <v>30</v>
      </c>
      <c r="D60" s="26"/>
      <c r="E60" s="30"/>
      <c r="F60" s="30"/>
      <c r="G60" s="26"/>
      <c r="H60" s="28"/>
      <c r="I60" s="71">
        <f>(M60+N60+O60+R61)*G91</f>
        <v>2573399.9293490797</v>
      </c>
      <c r="J60" s="26"/>
      <c r="K60" s="26"/>
      <c r="L60" s="26"/>
      <c r="M60" s="28">
        <v>4090511</v>
      </c>
      <c r="N60" s="28">
        <v>-1378788</v>
      </c>
      <c r="O60" s="28"/>
      <c r="P60" s="28"/>
      <c r="Q60" s="28"/>
      <c r="R60" s="49"/>
      <c r="S60" s="49"/>
    </row>
    <row r="61" spans="1:21" x14ac:dyDescent="0.25">
      <c r="B61" s="26"/>
      <c r="C61" s="26" t="s">
        <v>13</v>
      </c>
      <c r="D61" s="26"/>
      <c r="E61" s="30"/>
      <c r="F61" s="30"/>
      <c r="G61" s="26"/>
      <c r="H61" s="28">
        <f>SUM(H55:H60)</f>
        <v>11820350.85</v>
      </c>
      <c r="I61" s="71">
        <f>SUM(I55:I60)</f>
        <v>22712836.080264885</v>
      </c>
      <c r="J61" s="26"/>
      <c r="K61" s="26"/>
      <c r="L61" s="26"/>
      <c r="M61" s="28"/>
      <c r="N61" s="28"/>
      <c r="O61" s="28"/>
      <c r="P61" s="28"/>
      <c r="Q61" s="28"/>
      <c r="R61" s="49">
        <v>-224424</v>
      </c>
      <c r="S61" s="49" t="s">
        <v>102</v>
      </c>
      <c r="T61" s="45"/>
      <c r="U61" s="45"/>
    </row>
    <row r="62" spans="1:21" x14ac:dyDescent="0.25">
      <c r="A62" s="25"/>
      <c r="B62" s="25"/>
      <c r="C62" s="25"/>
      <c r="D62" s="48"/>
      <c r="E62" s="50"/>
      <c r="F62" s="50"/>
      <c r="G62" s="25"/>
      <c r="H62" s="73"/>
      <c r="I62" s="25"/>
      <c r="J62" s="25"/>
      <c r="K62" s="25"/>
      <c r="L62" s="49"/>
      <c r="M62" s="49"/>
      <c r="N62" s="49"/>
      <c r="O62" s="49"/>
      <c r="P62" s="49"/>
      <c r="Q62" s="49"/>
      <c r="R62" s="49"/>
      <c r="S62" s="49"/>
      <c r="T62" s="45"/>
      <c r="U62" s="45"/>
    </row>
    <row r="63" spans="1:21" x14ac:dyDescent="0.25">
      <c r="A63" s="25"/>
      <c r="B63" s="25"/>
      <c r="C63" s="25"/>
      <c r="D63" s="48"/>
      <c r="E63" s="50"/>
      <c r="F63" s="50"/>
      <c r="G63" s="25"/>
      <c r="H63" s="49"/>
      <c r="I63" s="25"/>
      <c r="J63" s="25"/>
      <c r="K63" s="25"/>
      <c r="L63" s="49"/>
      <c r="M63" s="49"/>
      <c r="N63" s="49"/>
      <c r="O63" s="49"/>
      <c r="P63" s="49"/>
      <c r="Q63" s="49"/>
      <c r="R63" s="49"/>
    </row>
    <row r="64" spans="1:21" x14ac:dyDescent="0.25">
      <c r="A64" s="25"/>
      <c r="B64" s="51"/>
      <c r="C64" s="51"/>
      <c r="D64" s="52"/>
      <c r="E64" s="53"/>
      <c r="F64" s="53"/>
      <c r="G64" s="25"/>
      <c r="H64" s="73"/>
      <c r="I64" s="51"/>
      <c r="J64" s="51"/>
      <c r="K64" s="51"/>
      <c r="L64" s="54"/>
      <c r="M64" s="54"/>
      <c r="N64" s="54"/>
      <c r="O64" s="49"/>
      <c r="P64" s="49"/>
      <c r="Q64" s="49"/>
      <c r="R64" s="49"/>
    </row>
    <row r="65" spans="1:19" s="25" customFormat="1" ht="15" customHeight="1" x14ac:dyDescent="0.25">
      <c r="A65" s="24"/>
      <c r="B65" s="26"/>
      <c r="C65" s="26" t="s">
        <v>12</v>
      </c>
      <c r="D65" s="74"/>
      <c r="E65" s="42" t="s">
        <v>43</v>
      </c>
      <c r="F65" s="42" t="s">
        <v>44</v>
      </c>
      <c r="G65" s="26"/>
      <c r="H65" s="28"/>
      <c r="I65" s="71"/>
      <c r="J65" s="26"/>
      <c r="K65" s="26"/>
      <c r="L65" s="26"/>
      <c r="M65" s="28"/>
      <c r="N65" s="28"/>
      <c r="O65" s="28"/>
      <c r="P65" s="28"/>
      <c r="Q65" s="28"/>
      <c r="R65" s="49"/>
    </row>
    <row r="66" spans="1:19" x14ac:dyDescent="0.25">
      <c r="B66" s="26"/>
      <c r="C66" s="26"/>
      <c r="D66" s="55"/>
      <c r="E66" s="30"/>
      <c r="F66" s="30"/>
      <c r="G66" s="26"/>
      <c r="H66" s="28">
        <f t="shared" si="6"/>
        <v>0</v>
      </c>
      <c r="I66" s="71"/>
      <c r="J66" s="26"/>
      <c r="K66" s="26"/>
      <c r="L66" s="26"/>
      <c r="M66" s="28"/>
      <c r="N66" s="28"/>
      <c r="O66" s="28"/>
      <c r="P66" s="28"/>
      <c r="Q66" s="28"/>
      <c r="R66" s="49"/>
      <c r="S66" s="49"/>
    </row>
    <row r="67" spans="1:19" ht="15" customHeight="1" x14ac:dyDescent="0.25">
      <c r="B67" s="26">
        <v>1</v>
      </c>
      <c r="C67" s="26" t="s">
        <v>14</v>
      </c>
      <c r="D67" s="26"/>
      <c r="E67" s="30">
        <v>3756.82</v>
      </c>
      <c r="F67" s="30">
        <v>3779.66</v>
      </c>
      <c r="G67" s="26">
        <v>5635</v>
      </c>
      <c r="H67" s="28">
        <f>F67*J67</f>
        <v>17046266.599999998</v>
      </c>
      <c r="I67" s="71">
        <f>(M67+N67+O67)*G94</f>
        <v>49084285.439532563</v>
      </c>
      <c r="J67" s="28">
        <v>4510</v>
      </c>
      <c r="K67" s="32">
        <f t="shared" ref="K67:K76" si="11">G67*J67</f>
        <v>25413850</v>
      </c>
      <c r="L67" s="26"/>
      <c r="M67" s="28">
        <v>47476316</v>
      </c>
      <c r="N67" s="28"/>
      <c r="O67" s="28"/>
      <c r="P67" s="28"/>
      <c r="Q67" s="28"/>
      <c r="R67" s="49"/>
      <c r="S67" s="49"/>
    </row>
    <row r="68" spans="1:19" x14ac:dyDescent="0.25">
      <c r="B68" s="26">
        <v>2</v>
      </c>
      <c r="C68" s="26" t="s">
        <v>15</v>
      </c>
      <c r="D68" s="26"/>
      <c r="E68" s="30">
        <v>2254.9899999999998</v>
      </c>
      <c r="F68" s="30">
        <v>2290.5</v>
      </c>
      <c r="G68" s="26">
        <v>2402</v>
      </c>
      <c r="H68" s="28">
        <f t="shared" ref="H68:H72" si="12">F68*J68</f>
        <v>7810605</v>
      </c>
      <c r="I68" s="71">
        <f>(M68+N68+O68)*G94</f>
        <v>25586493.991874333</v>
      </c>
      <c r="J68" s="28">
        <v>3410</v>
      </c>
      <c r="K68" s="32">
        <f t="shared" si="11"/>
        <v>8190820</v>
      </c>
      <c r="L68" s="26"/>
      <c r="M68" s="28">
        <v>24748297</v>
      </c>
      <c r="N68" s="28"/>
      <c r="O68" s="28"/>
      <c r="P68" s="28"/>
      <c r="Q68" s="28"/>
      <c r="R68" s="49"/>
      <c r="S68" s="49"/>
    </row>
    <row r="69" spans="1:19" x14ac:dyDescent="0.25">
      <c r="B69" s="26">
        <v>3</v>
      </c>
      <c r="C69" s="26" t="s">
        <v>16</v>
      </c>
      <c r="D69" s="26"/>
      <c r="E69" s="30">
        <v>2254.9899999999998</v>
      </c>
      <c r="F69" s="30">
        <v>2236.14</v>
      </c>
      <c r="G69" s="26">
        <v>2266.94</v>
      </c>
      <c r="H69" s="28">
        <f t="shared" si="12"/>
        <v>23982601.5</v>
      </c>
      <c r="I69" s="71">
        <f>(M69+N69+O69)*G94</f>
        <v>58083692.182942718</v>
      </c>
      <c r="J69" s="28">
        <v>10725</v>
      </c>
      <c r="K69" s="32">
        <f t="shared" si="11"/>
        <v>24312931.5</v>
      </c>
      <c r="L69" s="26"/>
      <c r="M69" s="28">
        <v>55970136</v>
      </c>
      <c r="N69" s="28">
        <f>-(537738+507682)</f>
        <v>-1045420</v>
      </c>
      <c r="O69" s="28">
        <f>730683+135768+389741</f>
        <v>1256192</v>
      </c>
      <c r="P69" s="28"/>
      <c r="Q69" s="28"/>
      <c r="R69" s="49"/>
      <c r="S69" s="49"/>
    </row>
    <row r="70" spans="1:19" x14ac:dyDescent="0.25">
      <c r="B70" s="26">
        <v>4</v>
      </c>
      <c r="C70" s="26" t="s">
        <v>37</v>
      </c>
      <c r="D70" s="55"/>
      <c r="E70" s="30">
        <v>1766.4</v>
      </c>
      <c r="F70" s="30">
        <v>1497.4</v>
      </c>
      <c r="G70" s="26">
        <v>1847</v>
      </c>
      <c r="H70" s="28">
        <f t="shared" si="12"/>
        <v>5600126.2600000007</v>
      </c>
      <c r="I70" s="71">
        <f>(M70+N70+O70)*G94</f>
        <v>5797267.7410820844</v>
      </c>
      <c r="J70" s="28">
        <v>3739.9</v>
      </c>
      <c r="K70" s="32">
        <f>G70*J70</f>
        <v>6907595.2999999998</v>
      </c>
      <c r="L70" s="26"/>
      <c r="M70" s="28"/>
      <c r="N70" s="28">
        <v>-2143248</v>
      </c>
      <c r="O70" s="28">
        <v>7750601</v>
      </c>
      <c r="P70" s="28"/>
      <c r="Q70" s="28"/>
      <c r="R70" s="49"/>
      <c r="S70" s="49"/>
    </row>
    <row r="71" spans="1:19" x14ac:dyDescent="0.25">
      <c r="B71" s="26">
        <v>5</v>
      </c>
      <c r="C71" s="26" t="s">
        <v>31</v>
      </c>
      <c r="D71" s="55"/>
      <c r="E71" s="30">
        <v>4600</v>
      </c>
      <c r="F71" s="30">
        <v>303.91000000000003</v>
      </c>
      <c r="G71" s="39">
        <v>816</v>
      </c>
      <c r="H71" s="28">
        <f t="shared" si="12"/>
        <v>417876.25000000006</v>
      </c>
      <c r="I71" s="71">
        <f>(M71+N71+O71)*G94</f>
        <v>2892220.2649713908</v>
      </c>
      <c r="J71" s="31">
        <v>1375</v>
      </c>
      <c r="K71" s="75">
        <f t="shared" si="11"/>
        <v>1122000</v>
      </c>
      <c r="L71" s="26"/>
      <c r="M71" s="28">
        <v>2797473</v>
      </c>
      <c r="N71" s="28"/>
      <c r="O71" s="28"/>
      <c r="P71" s="28"/>
      <c r="Q71" s="28"/>
      <c r="R71" s="49"/>
      <c r="S71" s="49"/>
    </row>
    <row r="72" spans="1:19" x14ac:dyDescent="0.25">
      <c r="B72" s="26">
        <v>6</v>
      </c>
      <c r="C72" s="26" t="s">
        <v>30</v>
      </c>
      <c r="D72" s="55"/>
      <c r="E72" s="59">
        <v>201.6</v>
      </c>
      <c r="F72" s="30">
        <v>235.24</v>
      </c>
      <c r="G72" s="26">
        <v>235.24</v>
      </c>
      <c r="H72" s="28">
        <f t="shared" si="12"/>
        <v>14102638</v>
      </c>
      <c r="I72" s="71">
        <f>(M72+N72+O72)*G94</f>
        <v>14018891.827787863</v>
      </c>
      <c r="J72" s="28">
        <v>59950</v>
      </c>
      <c r="K72" s="32">
        <f>G72*J72</f>
        <v>14102638</v>
      </c>
      <c r="L72" s="26"/>
      <c r="M72" s="28">
        <v>10859995</v>
      </c>
      <c r="N72" s="28"/>
      <c r="O72" s="28">
        <v>2699647</v>
      </c>
      <c r="P72" s="28"/>
      <c r="Q72" s="28"/>
      <c r="R72" s="49"/>
      <c r="S72" s="49"/>
    </row>
    <row r="73" spans="1:19" x14ac:dyDescent="0.25">
      <c r="B73" s="26"/>
      <c r="C73" s="26" t="s">
        <v>13</v>
      </c>
      <c r="D73" s="55"/>
      <c r="E73" s="30"/>
      <c r="F73" s="63"/>
      <c r="G73" s="26"/>
      <c r="H73" s="28">
        <f>SUM(H67:H72)</f>
        <v>68960113.609999985</v>
      </c>
      <c r="I73" s="71">
        <f>SUM(I67:I72)</f>
        <v>155462851.44819099</v>
      </c>
      <c r="J73" s="28"/>
      <c r="K73" s="32">
        <f t="shared" si="11"/>
        <v>0</v>
      </c>
      <c r="L73" s="26"/>
      <c r="M73" s="28"/>
      <c r="N73" s="28"/>
      <c r="O73" s="28"/>
      <c r="P73" s="28"/>
      <c r="Q73" s="28"/>
      <c r="R73" s="49"/>
      <c r="S73" s="49"/>
    </row>
    <row r="74" spans="1:19" x14ac:dyDescent="0.25">
      <c r="B74" s="25"/>
      <c r="C74" s="25"/>
      <c r="D74" s="48"/>
      <c r="E74" s="50"/>
      <c r="F74" s="94"/>
      <c r="G74" s="25"/>
      <c r="H74" s="49"/>
      <c r="I74" s="49"/>
      <c r="J74" s="57"/>
      <c r="K74" s="25"/>
      <c r="L74" s="49"/>
      <c r="M74" s="49"/>
      <c r="N74" s="49"/>
      <c r="O74" s="49"/>
      <c r="P74" s="49"/>
      <c r="Q74" s="49"/>
      <c r="R74" s="49"/>
      <c r="S74" s="49"/>
    </row>
    <row r="75" spans="1:19" x14ac:dyDescent="0.25">
      <c r="B75" s="25"/>
      <c r="C75" s="25"/>
      <c r="D75" s="48"/>
      <c r="E75" s="50"/>
      <c r="F75" s="50"/>
      <c r="G75" s="25"/>
      <c r="H75" s="49"/>
      <c r="I75" s="49"/>
      <c r="J75" s="57"/>
      <c r="K75" s="25"/>
      <c r="L75" s="49"/>
      <c r="M75" s="49"/>
      <c r="N75" s="49"/>
      <c r="O75" s="49"/>
      <c r="P75" s="49"/>
      <c r="Q75" s="49"/>
      <c r="R75" s="49"/>
    </row>
    <row r="76" spans="1:19" x14ac:dyDescent="0.25">
      <c r="B76" s="26">
        <v>7</v>
      </c>
      <c r="C76" s="26" t="s">
        <v>35</v>
      </c>
      <c r="D76" s="58"/>
      <c r="E76" s="59"/>
      <c r="F76" s="59">
        <v>110</v>
      </c>
      <c r="G76" s="26"/>
      <c r="H76" s="28"/>
      <c r="I76" s="71">
        <f>(M76+N76+O76)*G102</f>
        <v>0</v>
      </c>
      <c r="J76" s="28"/>
      <c r="K76" s="32">
        <f t="shared" si="11"/>
        <v>0</v>
      </c>
      <c r="L76" s="26"/>
      <c r="M76" s="28"/>
      <c r="N76" s="28"/>
      <c r="O76" s="28"/>
      <c r="P76" s="28"/>
      <c r="Q76" s="28"/>
      <c r="R76" s="49"/>
    </row>
    <row r="77" spans="1:19" x14ac:dyDescent="0.25">
      <c r="B77" s="26"/>
      <c r="C77" s="26" t="s">
        <v>34</v>
      </c>
      <c r="D77" s="58"/>
      <c r="E77" s="59"/>
      <c r="F77" s="59">
        <v>235.24</v>
      </c>
      <c r="G77" s="26">
        <v>235.24</v>
      </c>
      <c r="H77" s="28">
        <f>H17</f>
        <v>8151066</v>
      </c>
      <c r="I77" s="71">
        <f>(M77+N77+O77)*G91</f>
        <v>8099269.7269305093</v>
      </c>
      <c r="J77" s="28">
        <v>34650</v>
      </c>
      <c r="K77" s="32">
        <f>G77*J77</f>
        <v>8151066</v>
      </c>
      <c r="L77" s="26"/>
      <c r="M77" s="28"/>
      <c r="N77" s="28"/>
      <c r="O77" s="28">
        <v>7828284</v>
      </c>
      <c r="P77" s="28"/>
      <c r="Q77" s="28"/>
      <c r="R77" s="49"/>
      <c r="S77" s="49"/>
    </row>
    <row r="78" spans="1:19" x14ac:dyDescent="0.25">
      <c r="B78" s="26"/>
      <c r="C78" s="26" t="s">
        <v>103</v>
      </c>
      <c r="D78" s="26"/>
      <c r="E78" s="26"/>
      <c r="F78" s="26"/>
      <c r="G78" s="26"/>
      <c r="H78" s="28"/>
      <c r="I78" s="71">
        <f>-(R39+R49+R61)*G91</f>
        <v>710182.31137620553</v>
      </c>
      <c r="J78" s="26"/>
      <c r="K78" s="26"/>
      <c r="L78" s="26"/>
      <c r="M78" s="28"/>
      <c r="N78" s="28"/>
      <c r="O78" s="28"/>
      <c r="P78" s="28"/>
      <c r="Q78" s="28"/>
      <c r="R78" s="49"/>
      <c r="S78" s="49"/>
    </row>
    <row r="79" spans="1:19" x14ac:dyDescent="0.25">
      <c r="B79" s="26"/>
      <c r="C79" s="26" t="s">
        <v>13</v>
      </c>
      <c r="D79" s="26"/>
      <c r="E79" s="26"/>
      <c r="F79" s="26"/>
      <c r="G79" s="26"/>
      <c r="H79" s="28"/>
      <c r="I79" s="71">
        <f>SUM(I77:I78)</f>
        <v>8809452.038306715</v>
      </c>
      <c r="J79" s="26"/>
      <c r="K79" s="26"/>
      <c r="L79" s="26"/>
      <c r="M79" s="28"/>
      <c r="N79" s="28"/>
      <c r="O79" s="28"/>
      <c r="P79" s="28"/>
      <c r="Q79" s="28"/>
      <c r="R79" s="49"/>
      <c r="S79" s="49"/>
    </row>
    <row r="80" spans="1:19" x14ac:dyDescent="0.25">
      <c r="C80" s="24" t="s">
        <v>116</v>
      </c>
      <c r="H80" s="57">
        <f>H29+H39+H51+H61+H73+H77</f>
        <v>141338381.10999998</v>
      </c>
      <c r="R80" s="49"/>
      <c r="S80" s="49"/>
    </row>
    <row r="83" spans="3:16" x14ac:dyDescent="0.25">
      <c r="C83" s="24" t="s">
        <v>63</v>
      </c>
      <c r="D83" s="45"/>
      <c r="E83" s="45" t="s">
        <v>63</v>
      </c>
      <c r="F83" s="45" t="s">
        <v>93</v>
      </c>
      <c r="G83" s="45"/>
      <c r="H83" s="49"/>
      <c r="I83" s="45"/>
      <c r="J83" s="24" t="s">
        <v>131</v>
      </c>
      <c r="O83" s="24" t="s">
        <v>137</v>
      </c>
    </row>
    <row r="84" spans="3:16" ht="15.75" thickBot="1" x14ac:dyDescent="0.3">
      <c r="C84" s="45" t="s">
        <v>19</v>
      </c>
      <c r="E84" s="45">
        <v>166950</v>
      </c>
      <c r="F84" s="45">
        <f>11998785-E84</f>
        <v>11831835</v>
      </c>
      <c r="G84" s="60">
        <f>E84/F84</f>
        <v>1.4110237338502439E-2</v>
      </c>
      <c r="H84" s="49"/>
      <c r="I84" s="45"/>
      <c r="K84" s="45">
        <v>730683</v>
      </c>
      <c r="L84" s="45">
        <v>-537378</v>
      </c>
      <c r="O84" s="24" t="s">
        <v>12</v>
      </c>
      <c r="P84" s="45">
        <v>4450290</v>
      </c>
    </row>
    <row r="85" spans="3:16" ht="15.75" thickBot="1" x14ac:dyDescent="0.3">
      <c r="C85" s="45" t="s">
        <v>73</v>
      </c>
      <c r="E85" s="45"/>
      <c r="F85" s="45"/>
      <c r="G85" s="76">
        <f>G84+1</f>
        <v>1.0141102373385025</v>
      </c>
      <c r="H85" s="49"/>
      <c r="I85" s="45"/>
      <c r="K85" s="45">
        <v>135798</v>
      </c>
      <c r="L85" s="45">
        <v>-507682</v>
      </c>
      <c r="P85" s="45">
        <v>6409703</v>
      </c>
    </row>
    <row r="86" spans="3:16" x14ac:dyDescent="0.25">
      <c r="C86" s="45"/>
      <c r="E86" s="45"/>
      <c r="F86" s="45"/>
      <c r="G86" s="60"/>
      <c r="H86" s="49"/>
      <c r="I86" s="45"/>
      <c r="K86" s="45">
        <v>389741.5</v>
      </c>
      <c r="L86" s="45"/>
      <c r="O86" s="24" t="s">
        <v>9</v>
      </c>
      <c r="P86" s="45">
        <v>4134999</v>
      </c>
    </row>
    <row r="87" spans="3:16" x14ac:dyDescent="0.25">
      <c r="C87" s="45" t="s">
        <v>9</v>
      </c>
      <c r="E87" s="45">
        <v>1035246</v>
      </c>
      <c r="F87" s="45">
        <v>27625981</v>
      </c>
      <c r="G87" s="60">
        <f>E87/F87</f>
        <v>3.7473637587747563E-2</v>
      </c>
      <c r="H87" s="49"/>
      <c r="I87" s="45"/>
      <c r="J87" s="24" t="s">
        <v>13</v>
      </c>
      <c r="K87" s="45">
        <f>SUM(K84:K86)</f>
        <v>1256222.5</v>
      </c>
      <c r="L87" s="45">
        <f>SUM(L84:L86)</f>
        <v>-1045060</v>
      </c>
      <c r="M87" s="61"/>
      <c r="O87" s="24" t="s">
        <v>10</v>
      </c>
      <c r="P87" s="45">
        <v>6995538</v>
      </c>
    </row>
    <row r="88" spans="3:16" x14ac:dyDescent="0.25">
      <c r="C88" s="45" t="s">
        <v>10</v>
      </c>
      <c r="E88" s="45">
        <v>1781276</v>
      </c>
      <c r="F88" s="45">
        <v>59394724</v>
      </c>
      <c r="G88" s="60">
        <f>E88/F88</f>
        <v>2.9990475248272894E-2</v>
      </c>
      <c r="H88" s="49"/>
      <c r="I88" s="45"/>
      <c r="K88" s="45"/>
      <c r="L88" s="45"/>
      <c r="O88" s="24" t="s">
        <v>11</v>
      </c>
      <c r="P88" s="45">
        <v>4090511</v>
      </c>
    </row>
    <row r="89" spans="3:16" x14ac:dyDescent="0.25">
      <c r="C89" s="45" t="s">
        <v>11</v>
      </c>
      <c r="E89" s="45">
        <v>1026601</v>
      </c>
      <c r="F89" s="45">
        <v>28215265</v>
      </c>
      <c r="G89" s="60">
        <f>E89/F89</f>
        <v>3.6384595359993964E-2</v>
      </c>
      <c r="H89" s="49"/>
      <c r="I89" s="45"/>
      <c r="P89" s="45"/>
    </row>
    <row r="90" spans="3:16" ht="15.75" thickBot="1" x14ac:dyDescent="0.3">
      <c r="C90" s="45" t="s">
        <v>64</v>
      </c>
      <c r="E90" s="45">
        <f>SUM(E87:E89)</f>
        <v>3843123</v>
      </c>
      <c r="F90" s="45">
        <f>SUM(F87:F89)-E90</f>
        <v>111392847</v>
      </c>
      <c r="G90" s="60">
        <f>SUM(G87:G89)/3</f>
        <v>3.4616236065338139E-2</v>
      </c>
      <c r="H90" s="49"/>
      <c r="I90" s="45"/>
      <c r="O90" s="24" t="s">
        <v>13</v>
      </c>
      <c r="P90" s="45">
        <f>SUM(P84:P89)</f>
        <v>26081041</v>
      </c>
    </row>
    <row r="91" spans="3:16" ht="15.75" thickBot="1" x14ac:dyDescent="0.3">
      <c r="C91" s="45" t="s">
        <v>73</v>
      </c>
      <c r="E91" s="45"/>
      <c r="F91" s="45"/>
      <c r="G91" s="76">
        <f>G90+1</f>
        <v>1.0346162360653381</v>
      </c>
      <c r="H91" s="49"/>
      <c r="I91" s="45"/>
    </row>
    <row r="92" spans="3:16" x14ac:dyDescent="0.25">
      <c r="C92" s="45"/>
      <c r="E92" s="45"/>
      <c r="F92" s="45"/>
      <c r="G92" s="60"/>
      <c r="H92" s="49"/>
      <c r="I92" s="45"/>
    </row>
    <row r="93" spans="3:16" ht="15.75" thickBot="1" x14ac:dyDescent="0.3">
      <c r="C93" s="45" t="s">
        <v>12</v>
      </c>
      <c r="E93" s="45">
        <v>5172026</v>
      </c>
      <c r="F93" s="45">
        <f>157879369-E93</f>
        <v>152707343</v>
      </c>
      <c r="G93" s="60">
        <f>E93/F93</f>
        <v>3.386887557856337E-2</v>
      </c>
      <c r="H93" s="49"/>
      <c r="I93" s="45"/>
    </row>
    <row r="94" spans="3:16" ht="15.75" thickBot="1" x14ac:dyDescent="0.3">
      <c r="C94" s="45" t="s">
        <v>73</v>
      </c>
      <c r="E94" s="45"/>
      <c r="F94" s="45"/>
      <c r="G94" s="76">
        <f>1+G93</f>
        <v>1.0338688755785634</v>
      </c>
      <c r="H94" s="49"/>
      <c r="I94" s="45"/>
    </row>
    <row r="95" spans="3:16" x14ac:dyDescent="0.25">
      <c r="D95" s="45"/>
      <c r="E95" s="45"/>
      <c r="F95" s="45"/>
      <c r="G95" s="45"/>
      <c r="H95" s="49"/>
      <c r="I95" s="45"/>
    </row>
    <row r="96" spans="3:16" x14ac:dyDescent="0.25">
      <c r="D96" s="45"/>
      <c r="E96" s="45"/>
      <c r="F96" s="45"/>
    </row>
    <row r="98" spans="2:21" x14ac:dyDescent="0.25">
      <c r="D98" s="61"/>
      <c r="E98" s="61"/>
    </row>
    <row r="99" spans="2:21" x14ac:dyDescent="0.25">
      <c r="B99" s="45"/>
      <c r="C99" s="45"/>
      <c r="D99" s="45"/>
      <c r="E99" s="45"/>
      <c r="F99" s="45"/>
    </row>
    <row r="102" spans="2:21" x14ac:dyDescent="0.25">
      <c r="L102" s="45"/>
    </row>
    <row r="103" spans="2:21" x14ac:dyDescent="0.25">
      <c r="J103" s="45"/>
      <c r="L103" s="45"/>
    </row>
    <row r="104" spans="2:21" x14ac:dyDescent="0.25">
      <c r="J104" s="45"/>
      <c r="K104" s="45"/>
      <c r="L104" s="45"/>
    </row>
    <row r="105" spans="2:21" x14ac:dyDescent="0.25">
      <c r="E105" s="61"/>
      <c r="F105" s="45"/>
      <c r="K105" s="45"/>
      <c r="L105" s="45"/>
      <c r="M105" s="45"/>
      <c r="N105" s="45"/>
      <c r="O105" s="45"/>
      <c r="P105" s="45"/>
      <c r="Q105" s="45"/>
    </row>
    <row r="106" spans="2:21" x14ac:dyDescent="0.25">
      <c r="E106" s="61"/>
      <c r="F106" s="45"/>
      <c r="J106" s="45"/>
      <c r="K106" s="45"/>
      <c r="L106" s="45"/>
      <c r="R106" s="45"/>
      <c r="S106" s="45"/>
      <c r="T106" s="45"/>
      <c r="U106" s="45"/>
    </row>
    <row r="107" spans="2:21" x14ac:dyDescent="0.25">
      <c r="D107" s="45"/>
      <c r="E107" s="45"/>
      <c r="F107" s="45"/>
      <c r="J107" s="45"/>
      <c r="K107" s="45"/>
      <c r="L107" s="62"/>
    </row>
    <row r="108" spans="2:21" x14ac:dyDescent="0.25">
      <c r="D108" s="45"/>
      <c r="E108" s="45"/>
      <c r="F108" s="45"/>
      <c r="J108" s="45"/>
      <c r="K108" s="62"/>
      <c r="L108" s="45"/>
    </row>
    <row r="109" spans="2:21" x14ac:dyDescent="0.25">
      <c r="D109" s="45"/>
      <c r="E109" s="45"/>
      <c r="F109" s="45"/>
      <c r="J109" s="45"/>
      <c r="K109" s="45"/>
      <c r="L109" s="45"/>
    </row>
    <row r="110" spans="2:21" x14ac:dyDescent="0.25">
      <c r="D110" s="45"/>
      <c r="E110" s="45"/>
      <c r="F110" s="45"/>
      <c r="J110" s="45"/>
      <c r="K110" s="45"/>
      <c r="L110" s="45"/>
    </row>
    <row r="111" spans="2:21" x14ac:dyDescent="0.25">
      <c r="K111" s="45"/>
    </row>
    <row r="116" spans="4:6" x14ac:dyDescent="0.25">
      <c r="E116" s="61"/>
      <c r="F116" s="45"/>
    </row>
    <row r="117" spans="4:6" x14ac:dyDescent="0.25">
      <c r="E117" s="61"/>
      <c r="F117" s="45"/>
    </row>
    <row r="118" spans="4:6" x14ac:dyDescent="0.25">
      <c r="D118" s="45"/>
      <c r="E118" s="45"/>
      <c r="F118" s="45"/>
    </row>
    <row r="119" spans="4:6" x14ac:dyDescent="0.25">
      <c r="D119" s="45"/>
      <c r="E119" s="45"/>
      <c r="F119" s="45"/>
    </row>
    <row r="120" spans="4:6" x14ac:dyDescent="0.25">
      <c r="D120" s="45"/>
      <c r="E120" s="45"/>
      <c r="F120" s="45"/>
    </row>
    <row r="121" spans="4:6" x14ac:dyDescent="0.25">
      <c r="D121" s="45"/>
      <c r="E121" s="45"/>
      <c r="F121" s="45"/>
    </row>
    <row r="122" spans="4:6" x14ac:dyDescent="0.25">
      <c r="D122" s="45"/>
      <c r="E122" s="45"/>
      <c r="F122" s="45"/>
    </row>
  </sheetData>
  <pageMargins left="0.7" right="0.7" top="0.78740157499999996" bottom="0.78740157499999996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94"/>
  <sheetViews>
    <sheetView workbookViewId="0">
      <selection activeCell="G44" sqref="G44"/>
    </sheetView>
  </sheetViews>
  <sheetFormatPr defaultRowHeight="15" x14ac:dyDescent="0.25"/>
  <cols>
    <col min="1" max="1" width="2" customWidth="1"/>
    <col min="2" max="2" width="4.7109375" customWidth="1"/>
    <col min="3" max="3" width="22.42578125" customWidth="1"/>
    <col min="4" max="4" width="13.5703125" customWidth="1"/>
    <col min="5" max="5" width="14.5703125" customWidth="1"/>
    <col min="6" max="6" width="13.7109375" customWidth="1"/>
    <col min="7" max="8" width="14.5703125" customWidth="1"/>
    <col min="9" max="9" width="15.42578125" bestFit="1" customWidth="1"/>
    <col min="10" max="10" width="17.5703125" customWidth="1"/>
    <col min="11" max="11" width="4.28515625" customWidth="1"/>
    <col min="12" max="14" width="13" customWidth="1"/>
    <col min="15" max="15" width="14" customWidth="1"/>
    <col min="16" max="16" width="13.85546875" customWidth="1"/>
    <col min="17" max="17" width="15" bestFit="1" customWidth="1"/>
    <col min="18" max="18" width="12.7109375" bestFit="1" customWidth="1"/>
    <col min="19" max="19" width="14.28515625" customWidth="1"/>
    <col min="20" max="21" width="12.7109375" bestFit="1" customWidth="1"/>
    <col min="22" max="24" width="14" bestFit="1" customWidth="1"/>
  </cols>
  <sheetData>
    <row r="2" spans="2:20" x14ac:dyDescent="0.25">
      <c r="C2" t="s">
        <v>0</v>
      </c>
    </row>
    <row r="4" spans="2:20" x14ac:dyDescent="0.25">
      <c r="H4" t="s">
        <v>38</v>
      </c>
      <c r="I4" s="21">
        <v>45386</v>
      </c>
      <c r="L4" t="s">
        <v>39</v>
      </c>
    </row>
    <row r="5" spans="2:20" x14ac:dyDescent="0.25">
      <c r="C5" t="s">
        <v>26</v>
      </c>
      <c r="H5" s="19" t="s">
        <v>5</v>
      </c>
      <c r="I5" s="20" t="s">
        <v>5</v>
      </c>
      <c r="J5" s="2" t="s">
        <v>6</v>
      </c>
      <c r="K5" s="2"/>
      <c r="L5" s="2"/>
      <c r="M5" s="2"/>
      <c r="N5" s="2"/>
      <c r="O5" s="2" t="s">
        <v>18</v>
      </c>
      <c r="P5" s="2"/>
      <c r="Q5" s="2"/>
      <c r="R5" s="2"/>
      <c r="S5" s="2"/>
      <c r="T5" s="2"/>
    </row>
    <row r="6" spans="2:20" x14ac:dyDescent="0.25">
      <c r="B6">
        <v>1</v>
      </c>
      <c r="C6" t="s">
        <v>1</v>
      </c>
      <c r="H6" s="13">
        <v>10096.799999999999</v>
      </c>
      <c r="I6" s="2">
        <v>10083</v>
      </c>
      <c r="J6" s="2">
        <v>45536568</v>
      </c>
      <c r="K6" s="2"/>
      <c r="L6" s="2">
        <f>I21</f>
        <v>10592.3</v>
      </c>
      <c r="M6" s="2"/>
      <c r="N6" s="2"/>
      <c r="O6" s="2">
        <f>I48</f>
        <v>12905.8</v>
      </c>
      <c r="P6" s="2"/>
      <c r="Q6" s="2"/>
      <c r="R6" s="2"/>
      <c r="S6" s="2"/>
      <c r="T6" s="2"/>
    </row>
    <row r="7" spans="2:20" x14ac:dyDescent="0.25">
      <c r="B7">
        <v>2</v>
      </c>
      <c r="C7" t="s">
        <v>27</v>
      </c>
      <c r="H7" s="13">
        <v>5004</v>
      </c>
      <c r="I7" s="2">
        <v>5004</v>
      </c>
      <c r="J7" s="2">
        <v>17065004</v>
      </c>
      <c r="K7" s="2"/>
      <c r="L7" s="2">
        <f>I22</f>
        <v>4577.5</v>
      </c>
      <c r="M7" s="2"/>
      <c r="N7" s="2"/>
      <c r="O7" s="2">
        <f>I49</f>
        <v>4535.6000000000004</v>
      </c>
      <c r="P7" s="2"/>
      <c r="Q7" s="2"/>
      <c r="R7" s="2"/>
      <c r="S7" s="2"/>
      <c r="T7" s="2"/>
    </row>
    <row r="8" spans="2:20" x14ac:dyDescent="0.25">
      <c r="B8">
        <v>3</v>
      </c>
      <c r="C8" t="s">
        <v>2</v>
      </c>
      <c r="F8" s="14"/>
      <c r="H8" s="13">
        <v>4341.51</v>
      </c>
      <c r="I8" s="2">
        <v>4306.8</v>
      </c>
      <c r="J8" s="2">
        <v>46562695</v>
      </c>
      <c r="K8" s="2"/>
      <c r="L8" s="2">
        <f>I24</f>
        <v>4543.5</v>
      </c>
      <c r="M8" s="2"/>
      <c r="N8" s="2"/>
      <c r="O8" s="2">
        <f>I50</f>
        <v>4260.3999999999996</v>
      </c>
      <c r="P8" s="2"/>
      <c r="Q8" s="2"/>
      <c r="R8" s="2"/>
      <c r="S8" s="2"/>
      <c r="T8" s="2"/>
    </row>
    <row r="9" spans="2:20" x14ac:dyDescent="0.25">
      <c r="B9">
        <v>4</v>
      </c>
      <c r="C9" t="s">
        <v>3</v>
      </c>
      <c r="H9" s="13">
        <v>1766.4</v>
      </c>
      <c r="I9" s="2">
        <v>1497</v>
      </c>
      <c r="J9" s="2">
        <v>6606336</v>
      </c>
      <c r="K9" s="2"/>
      <c r="L9" s="2"/>
      <c r="M9" s="2"/>
      <c r="N9" s="2"/>
      <c r="O9" s="2">
        <f>I51</f>
        <v>1847</v>
      </c>
      <c r="P9" s="2"/>
      <c r="Q9" s="2"/>
      <c r="R9" s="2"/>
      <c r="S9" s="2"/>
      <c r="T9" s="2"/>
    </row>
    <row r="10" spans="2:20" x14ac:dyDescent="0.25">
      <c r="B10">
        <v>5</v>
      </c>
      <c r="C10" t="s">
        <v>4</v>
      </c>
      <c r="F10" s="15"/>
      <c r="H10" s="13">
        <v>10587.6</v>
      </c>
      <c r="I10" s="2">
        <v>3458.35</v>
      </c>
      <c r="J10" s="2">
        <v>14557909</v>
      </c>
      <c r="K10" s="2"/>
      <c r="L10" s="2"/>
      <c r="M10" s="2"/>
      <c r="N10" s="2"/>
      <c r="O10" s="2">
        <f>I52</f>
        <v>3311</v>
      </c>
      <c r="P10" s="2"/>
      <c r="Q10" s="2"/>
      <c r="R10" s="2"/>
      <c r="S10" s="2"/>
      <c r="T10" s="2"/>
    </row>
    <row r="11" spans="2:20" x14ac:dyDescent="0.25">
      <c r="B11">
        <v>6</v>
      </c>
      <c r="C11" t="s">
        <v>8</v>
      </c>
      <c r="H11" s="13">
        <v>201.6</v>
      </c>
      <c r="I11" s="1">
        <v>235.24</v>
      </c>
      <c r="J11" s="2">
        <v>12085920</v>
      </c>
      <c r="K11" s="2"/>
      <c r="L11" s="2"/>
      <c r="M11" s="2"/>
      <c r="N11" s="2"/>
      <c r="O11" s="2">
        <v>235</v>
      </c>
      <c r="P11" s="2"/>
      <c r="Q11" s="2"/>
      <c r="R11" s="2"/>
      <c r="S11" s="2"/>
      <c r="T11" s="2"/>
    </row>
    <row r="12" spans="2:20" x14ac:dyDescent="0.25">
      <c r="B12">
        <v>7</v>
      </c>
      <c r="C12" t="s">
        <v>7</v>
      </c>
      <c r="I12" s="2"/>
      <c r="J12" s="2">
        <v>6985440</v>
      </c>
      <c r="K12" s="2"/>
      <c r="L12" s="2"/>
      <c r="M12" s="2"/>
      <c r="N12" s="2"/>
      <c r="O12" s="2">
        <f>J81</f>
        <v>0</v>
      </c>
      <c r="P12" s="2"/>
      <c r="Q12" s="2"/>
      <c r="R12" s="2"/>
      <c r="S12" s="2"/>
      <c r="T12" s="2"/>
    </row>
    <row r="13" spans="2:20" x14ac:dyDescent="0.25">
      <c r="B13" s="6">
        <v>8</v>
      </c>
      <c r="C13" s="6" t="s">
        <v>29</v>
      </c>
      <c r="D13" s="6"/>
      <c r="I13" s="2">
        <v>0</v>
      </c>
      <c r="J13" s="2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x14ac:dyDescent="0.25">
      <c r="B14" s="6">
        <v>9</v>
      </c>
      <c r="C14" s="6" t="s">
        <v>28</v>
      </c>
      <c r="D14" s="6"/>
      <c r="I14" s="2">
        <v>0</v>
      </c>
      <c r="J14" s="2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x14ac:dyDescent="0.25">
      <c r="J15" s="3">
        <f>SUM(J6:J14)</f>
        <v>149399872</v>
      </c>
    </row>
    <row r="18" spans="2:9" x14ac:dyDescent="0.25">
      <c r="C18" t="s">
        <v>17</v>
      </c>
    </row>
    <row r="19" spans="2:9" x14ac:dyDescent="0.25">
      <c r="D19" t="s">
        <v>20</v>
      </c>
    </row>
    <row r="20" spans="2:9" x14ac:dyDescent="0.25">
      <c r="D20" s="22" t="s">
        <v>19</v>
      </c>
      <c r="E20" s="18" t="s">
        <v>9</v>
      </c>
      <c r="F20" s="18" t="s">
        <v>10</v>
      </c>
      <c r="G20" s="19" t="s">
        <v>11</v>
      </c>
      <c r="H20" s="19" t="s">
        <v>12</v>
      </c>
      <c r="I20" s="16" t="s">
        <v>13</v>
      </c>
    </row>
    <row r="21" spans="2:9" x14ac:dyDescent="0.25">
      <c r="B21">
        <v>1</v>
      </c>
      <c r="C21" t="s">
        <v>14</v>
      </c>
      <c r="D21" s="9">
        <v>1540.8</v>
      </c>
      <c r="E21">
        <v>1471.4</v>
      </c>
      <c r="F21">
        <v>2208.1999999999998</v>
      </c>
      <c r="G21">
        <v>1511</v>
      </c>
      <c r="H21">
        <v>3860.9</v>
      </c>
      <c r="I21">
        <f>D21+E21+F21+G21+H21</f>
        <v>10592.3</v>
      </c>
    </row>
    <row r="22" spans="2:9" x14ac:dyDescent="0.25">
      <c r="B22">
        <v>2</v>
      </c>
      <c r="C22" t="s">
        <v>15</v>
      </c>
      <c r="D22" s="9">
        <v>7.6</v>
      </c>
      <c r="E22">
        <v>586.9</v>
      </c>
      <c r="F22">
        <v>829.9</v>
      </c>
      <c r="G22">
        <v>693.8</v>
      </c>
      <c r="H22">
        <v>2459.3000000000002</v>
      </c>
      <c r="I22">
        <f t="shared" ref="I22:I29" si="0">D22+E22+F22+G22+H22</f>
        <v>4577.5</v>
      </c>
    </row>
    <row r="23" spans="2:9" x14ac:dyDescent="0.25">
      <c r="B23" s="6">
        <v>9</v>
      </c>
      <c r="C23" s="6" t="s">
        <v>23</v>
      </c>
      <c r="D23" s="6">
        <v>645.9</v>
      </c>
      <c r="E23" s="6">
        <v>714.4</v>
      </c>
      <c r="F23" s="6">
        <v>147.80000000000001</v>
      </c>
      <c r="G23" s="6">
        <v>745.5</v>
      </c>
      <c r="H23" s="6">
        <v>1501.9</v>
      </c>
      <c r="I23" s="6">
        <f t="shared" si="0"/>
        <v>3755.5</v>
      </c>
    </row>
    <row r="24" spans="2:9" x14ac:dyDescent="0.25">
      <c r="B24">
        <v>3</v>
      </c>
      <c r="C24" t="s">
        <v>16</v>
      </c>
      <c r="D24" s="9">
        <v>309.39999999999998</v>
      </c>
      <c r="E24">
        <v>454.2</v>
      </c>
      <c r="F24">
        <v>945.1</v>
      </c>
      <c r="G24">
        <v>378.1</v>
      </c>
      <c r="H24">
        <v>2456.6999999999998</v>
      </c>
      <c r="I24">
        <f t="shared" si="0"/>
        <v>4543.5</v>
      </c>
    </row>
    <row r="25" spans="2:9" x14ac:dyDescent="0.25">
      <c r="B25">
        <v>4</v>
      </c>
      <c r="C25" t="s">
        <v>41</v>
      </c>
      <c r="D25" s="9"/>
    </row>
    <row r="26" spans="2:9" x14ac:dyDescent="0.25">
      <c r="B26">
        <v>5</v>
      </c>
      <c r="C26" t="s">
        <v>42</v>
      </c>
      <c r="D26" s="9"/>
    </row>
    <row r="27" spans="2:9" x14ac:dyDescent="0.25">
      <c r="C27" t="s">
        <v>22</v>
      </c>
      <c r="D27" s="9"/>
      <c r="E27">
        <v>23</v>
      </c>
      <c r="F27">
        <v>0</v>
      </c>
      <c r="G27">
        <v>0</v>
      </c>
      <c r="H27">
        <v>217.9</v>
      </c>
      <c r="I27">
        <f t="shared" si="0"/>
        <v>240.9</v>
      </c>
    </row>
    <row r="28" spans="2:9" x14ac:dyDescent="0.25">
      <c r="C28" t="s">
        <v>24</v>
      </c>
      <c r="D28" s="9">
        <v>35.799999999999997</v>
      </c>
      <c r="E28">
        <v>11.5</v>
      </c>
      <c r="F28">
        <v>829.8</v>
      </c>
      <c r="G28">
        <v>0</v>
      </c>
      <c r="H28">
        <v>0</v>
      </c>
      <c r="I28">
        <f t="shared" si="0"/>
        <v>877.09999999999991</v>
      </c>
    </row>
    <row r="29" spans="2:9" x14ac:dyDescent="0.25">
      <c r="B29" s="6">
        <v>8</v>
      </c>
      <c r="C29" s="6" t="s">
        <v>25</v>
      </c>
      <c r="D29" s="6">
        <v>635.1</v>
      </c>
      <c r="E29" s="6">
        <v>0</v>
      </c>
      <c r="F29" s="6">
        <v>0</v>
      </c>
      <c r="G29" s="6">
        <v>0</v>
      </c>
      <c r="H29" s="6">
        <v>1575.7</v>
      </c>
      <c r="I29" s="6">
        <f t="shared" si="0"/>
        <v>2210.8000000000002</v>
      </c>
    </row>
    <row r="30" spans="2:9" x14ac:dyDescent="0.25">
      <c r="D30" s="8"/>
    </row>
    <row r="31" spans="2:9" x14ac:dyDescent="0.25">
      <c r="C31" t="s">
        <v>17</v>
      </c>
    </row>
    <row r="32" spans="2:9" x14ac:dyDescent="0.25">
      <c r="D32" t="s">
        <v>40</v>
      </c>
    </row>
    <row r="33" spans="2:17" x14ac:dyDescent="0.25">
      <c r="D33" s="23" t="s">
        <v>19</v>
      </c>
      <c r="E33" s="19" t="s">
        <v>9</v>
      </c>
      <c r="F33" s="18" t="s">
        <v>10</v>
      </c>
      <c r="G33" s="19" t="s">
        <v>11</v>
      </c>
      <c r="H33" s="19" t="s">
        <v>12</v>
      </c>
      <c r="I33" s="17" t="s">
        <v>13</v>
      </c>
    </row>
    <row r="34" spans="2:17" x14ac:dyDescent="0.25">
      <c r="B34">
        <v>1</v>
      </c>
      <c r="C34" t="s">
        <v>14</v>
      </c>
      <c r="D34" s="9">
        <v>1540.8</v>
      </c>
      <c r="E34">
        <v>1434.85</v>
      </c>
      <c r="F34">
        <v>2268.2199999999998</v>
      </c>
      <c r="G34">
        <v>1059.8399999999999</v>
      </c>
      <c r="H34">
        <v>3779.66</v>
      </c>
      <c r="I34">
        <f>D34+E34+F34+G34+H34</f>
        <v>10083.369999999999</v>
      </c>
    </row>
    <row r="35" spans="2:17" x14ac:dyDescent="0.25">
      <c r="B35">
        <v>2</v>
      </c>
      <c r="C35" t="s">
        <v>15</v>
      </c>
      <c r="D35" s="9">
        <v>7.6</v>
      </c>
      <c r="E35">
        <v>572.1</v>
      </c>
      <c r="F35">
        <v>829.91</v>
      </c>
      <c r="G35">
        <v>676.57</v>
      </c>
      <c r="H35">
        <v>2290.5</v>
      </c>
      <c r="I35">
        <f t="shared" ref="I35:I42" si="1">D35+E35+F35+G35+H35</f>
        <v>4376.68</v>
      </c>
    </row>
    <row r="36" spans="2:17" x14ac:dyDescent="0.25">
      <c r="B36" s="6">
        <v>9</v>
      </c>
      <c r="C36" s="6" t="s">
        <v>23</v>
      </c>
      <c r="D36" s="6">
        <v>645.9</v>
      </c>
      <c r="E36" s="6">
        <v>714.4</v>
      </c>
      <c r="F36" s="6">
        <v>147.80000000000001</v>
      </c>
      <c r="G36" s="6">
        <v>745.5</v>
      </c>
      <c r="H36" s="6">
        <v>1501.9</v>
      </c>
      <c r="I36" s="6">
        <f t="shared" si="1"/>
        <v>3755.5</v>
      </c>
    </row>
    <row r="37" spans="2:17" x14ac:dyDescent="0.25">
      <c r="B37">
        <v>3</v>
      </c>
      <c r="C37" t="s">
        <v>16</v>
      </c>
      <c r="D37" s="9">
        <v>309.39999999999998</v>
      </c>
      <c r="E37">
        <v>454.2</v>
      </c>
      <c r="F37">
        <v>945.1</v>
      </c>
      <c r="G37">
        <v>378.1</v>
      </c>
      <c r="H37">
        <v>2236.14</v>
      </c>
      <c r="I37">
        <f t="shared" si="1"/>
        <v>4322.9399999999996</v>
      </c>
    </row>
    <row r="38" spans="2:17" x14ac:dyDescent="0.25">
      <c r="B38">
        <v>4</v>
      </c>
      <c r="C38" t="s">
        <v>41</v>
      </c>
      <c r="D38" s="9"/>
      <c r="I38">
        <f t="shared" si="1"/>
        <v>0</v>
      </c>
    </row>
    <row r="39" spans="2:17" x14ac:dyDescent="0.25">
      <c r="B39">
        <v>5</v>
      </c>
      <c r="C39" t="s">
        <v>42</v>
      </c>
      <c r="D39" s="9"/>
      <c r="E39">
        <v>526</v>
      </c>
      <c r="F39">
        <v>1476.37</v>
      </c>
      <c r="G39">
        <v>493.27</v>
      </c>
      <c r="H39">
        <v>303.91000000000003</v>
      </c>
      <c r="I39">
        <f t="shared" si="1"/>
        <v>2799.5499999999997</v>
      </c>
      <c r="Q39" t="s">
        <v>47</v>
      </c>
    </row>
    <row r="40" spans="2:17" x14ac:dyDescent="0.25">
      <c r="C40" t="s">
        <v>22</v>
      </c>
      <c r="D40" s="9"/>
      <c r="E40">
        <v>23</v>
      </c>
      <c r="F40">
        <v>0</v>
      </c>
      <c r="G40">
        <v>0</v>
      </c>
      <c r="H40">
        <v>217.9</v>
      </c>
      <c r="I40">
        <f t="shared" si="1"/>
        <v>240.9</v>
      </c>
    </row>
    <row r="41" spans="2:17" x14ac:dyDescent="0.25">
      <c r="C41" t="s">
        <v>24</v>
      </c>
      <c r="D41" s="9">
        <v>35.799999999999997</v>
      </c>
      <c r="E41">
        <v>11.5</v>
      </c>
      <c r="F41">
        <v>829.8</v>
      </c>
      <c r="G41">
        <v>0</v>
      </c>
      <c r="H41">
        <v>0</v>
      </c>
      <c r="I41">
        <f t="shared" si="1"/>
        <v>877.09999999999991</v>
      </c>
    </row>
    <row r="42" spans="2:17" x14ac:dyDescent="0.25">
      <c r="B42" s="6">
        <v>8</v>
      </c>
      <c r="C42" s="6" t="s">
        <v>25</v>
      </c>
      <c r="D42" s="6">
        <v>635.1</v>
      </c>
      <c r="E42" s="6">
        <v>0</v>
      </c>
      <c r="F42" s="6">
        <v>0</v>
      </c>
      <c r="G42" s="6">
        <v>0</v>
      </c>
      <c r="H42" s="6">
        <v>1575.7</v>
      </c>
      <c r="I42" s="6">
        <f t="shared" si="1"/>
        <v>2210.8000000000002</v>
      </c>
    </row>
    <row r="46" spans="2:17" x14ac:dyDescent="0.25">
      <c r="D46" t="s">
        <v>36</v>
      </c>
    </row>
    <row r="47" spans="2:17" x14ac:dyDescent="0.25">
      <c r="D47" t="s">
        <v>19</v>
      </c>
      <c r="E47" t="s">
        <v>9</v>
      </c>
      <c r="F47" t="s">
        <v>10</v>
      </c>
      <c r="G47" t="s">
        <v>11</v>
      </c>
      <c r="H47" t="s">
        <v>12</v>
      </c>
      <c r="I47" t="s">
        <v>13</v>
      </c>
    </row>
    <row r="48" spans="2:17" x14ac:dyDescent="0.25">
      <c r="B48">
        <v>1</v>
      </c>
      <c r="C48" t="s">
        <v>14</v>
      </c>
      <c r="D48" s="12">
        <v>1540.8</v>
      </c>
      <c r="E48">
        <v>1555</v>
      </c>
      <c r="F48">
        <v>2443</v>
      </c>
      <c r="G48">
        <v>1732</v>
      </c>
      <c r="H48">
        <v>5635</v>
      </c>
      <c r="I48">
        <f>D48+E48+F48+G48+H48</f>
        <v>12905.8</v>
      </c>
    </row>
    <row r="49" spans="2:16" x14ac:dyDescent="0.25">
      <c r="B49">
        <v>2</v>
      </c>
      <c r="C49" t="s">
        <v>15</v>
      </c>
      <c r="D49" s="12">
        <v>7.6</v>
      </c>
      <c r="E49">
        <v>610</v>
      </c>
      <c r="F49">
        <v>833</v>
      </c>
      <c r="G49">
        <v>683</v>
      </c>
      <c r="H49">
        <v>2402</v>
      </c>
      <c r="I49">
        <f t="shared" ref="I49:I52" si="2">D49+E49+F49+G49+H49</f>
        <v>4535.6000000000004</v>
      </c>
    </row>
    <row r="50" spans="2:16" x14ac:dyDescent="0.25">
      <c r="B50">
        <v>3</v>
      </c>
      <c r="C50" t="s">
        <v>16</v>
      </c>
      <c r="D50" s="12">
        <v>309.39999999999998</v>
      </c>
      <c r="E50">
        <v>499</v>
      </c>
      <c r="F50">
        <v>742</v>
      </c>
      <c r="G50">
        <v>443</v>
      </c>
      <c r="H50">
        <v>2267</v>
      </c>
      <c r="I50">
        <f t="shared" si="2"/>
        <v>4260.3999999999996</v>
      </c>
    </row>
    <row r="51" spans="2:16" x14ac:dyDescent="0.25">
      <c r="B51">
        <v>4</v>
      </c>
      <c r="C51" t="s">
        <v>37</v>
      </c>
      <c r="D51" s="12"/>
      <c r="H51">
        <v>1847</v>
      </c>
      <c r="I51">
        <f t="shared" si="2"/>
        <v>1847</v>
      </c>
    </row>
    <row r="52" spans="2:16" x14ac:dyDescent="0.25">
      <c r="B52">
        <v>5</v>
      </c>
      <c r="C52" t="s">
        <v>31</v>
      </c>
      <c r="D52" s="12">
        <v>659</v>
      </c>
      <c r="E52">
        <v>547</v>
      </c>
      <c r="F52">
        <v>1311</v>
      </c>
      <c r="G52">
        <v>490</v>
      </c>
      <c r="H52">
        <v>304</v>
      </c>
      <c r="I52">
        <f t="shared" si="2"/>
        <v>3311</v>
      </c>
    </row>
    <row r="53" spans="2:16" x14ac:dyDescent="0.25">
      <c r="B53">
        <v>6</v>
      </c>
      <c r="C53" t="s">
        <v>30</v>
      </c>
      <c r="D53" s="12"/>
      <c r="I53">
        <v>235</v>
      </c>
    </row>
    <row r="54" spans="2:16" x14ac:dyDescent="0.25">
      <c r="B54">
        <v>7</v>
      </c>
      <c r="C54" t="s">
        <v>35</v>
      </c>
      <c r="D54" s="10"/>
      <c r="E54" s="11"/>
      <c r="F54" s="11"/>
      <c r="G54" s="11"/>
      <c r="H54" s="11"/>
      <c r="I54" s="11">
        <v>110</v>
      </c>
    </row>
    <row r="55" spans="2:16" x14ac:dyDescent="0.25">
      <c r="C55" t="s">
        <v>34</v>
      </c>
      <c r="D55" s="10"/>
      <c r="E55" s="11"/>
      <c r="F55" s="11"/>
      <c r="G55" s="11"/>
      <c r="H55" s="11"/>
      <c r="I55" s="11">
        <v>150</v>
      </c>
    </row>
    <row r="56" spans="2:16" x14ac:dyDescent="0.25">
      <c r="B56">
        <v>8</v>
      </c>
      <c r="C56" t="s">
        <v>21</v>
      </c>
    </row>
    <row r="61" spans="2:16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4"/>
    </row>
    <row r="62" spans="2:16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24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24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24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24" x14ac:dyDescent="0.25">
      <c r="D68" s="2"/>
      <c r="E68" s="2"/>
      <c r="F68" s="2"/>
      <c r="G68" s="2"/>
      <c r="H68" s="2"/>
      <c r="I68" s="2"/>
      <c r="J68" s="2"/>
    </row>
    <row r="69" spans="2:24" x14ac:dyDescent="0.25">
      <c r="J69" s="5"/>
    </row>
    <row r="70" spans="2:24" x14ac:dyDescent="0.25">
      <c r="D70" s="5"/>
      <c r="E70" s="5"/>
      <c r="F70" s="5"/>
      <c r="G70" s="5"/>
      <c r="H70" s="5"/>
      <c r="J70" s="5"/>
    </row>
    <row r="71" spans="2:24" x14ac:dyDescent="0.25">
      <c r="B71" s="2"/>
      <c r="C71" s="2"/>
      <c r="D71" s="2"/>
      <c r="E71" s="2"/>
      <c r="F71" s="2"/>
      <c r="G71" s="2"/>
      <c r="H71" s="2"/>
      <c r="I71" s="2"/>
      <c r="J71" s="2"/>
    </row>
    <row r="74" spans="2:24" x14ac:dyDescent="0.25">
      <c r="S74" s="2"/>
      <c r="T74" s="2"/>
      <c r="U74" s="2"/>
    </row>
    <row r="75" spans="2:24" x14ac:dyDescent="0.25">
      <c r="J75" s="2"/>
      <c r="Q75" s="2"/>
      <c r="S75" s="2"/>
      <c r="T75" s="2"/>
      <c r="U75" s="2"/>
    </row>
    <row r="76" spans="2:24" x14ac:dyDescent="0.25">
      <c r="J76" s="2"/>
      <c r="Q76" s="2"/>
      <c r="R76" s="2"/>
      <c r="S76" s="2"/>
      <c r="T76" s="2"/>
      <c r="U76" s="2"/>
    </row>
    <row r="77" spans="2:24" x14ac:dyDescent="0.25">
      <c r="H77" s="5"/>
      <c r="I77" s="2"/>
      <c r="J77" s="2"/>
      <c r="R77" s="2"/>
      <c r="S77" s="2"/>
      <c r="T77" s="2"/>
      <c r="U77" s="2"/>
      <c r="V77" s="2"/>
      <c r="W77" s="2">
        <v>135798</v>
      </c>
      <c r="X77" s="2">
        <v>389742</v>
      </c>
    </row>
    <row r="78" spans="2:24" x14ac:dyDescent="0.25">
      <c r="H78" s="5"/>
      <c r="I78" s="2"/>
      <c r="J78" s="2"/>
      <c r="Q78" s="2"/>
      <c r="R78" s="2"/>
      <c r="S78" s="2"/>
      <c r="T78" s="2"/>
      <c r="U78" s="2"/>
    </row>
    <row r="79" spans="2:24" x14ac:dyDescent="0.25">
      <c r="D79" s="2"/>
      <c r="E79" s="2"/>
      <c r="F79" s="2"/>
      <c r="G79" s="2"/>
      <c r="H79" s="2"/>
      <c r="I79" s="2"/>
      <c r="J79" s="2"/>
      <c r="Q79" s="2"/>
      <c r="R79" s="2"/>
      <c r="S79" s="7"/>
      <c r="T79" s="2"/>
      <c r="U79" s="2"/>
    </row>
    <row r="80" spans="2:24" x14ac:dyDescent="0.25">
      <c r="D80" s="2"/>
      <c r="E80" s="2"/>
      <c r="F80" s="2"/>
      <c r="G80" s="2"/>
      <c r="H80" s="2"/>
      <c r="I80" s="2"/>
      <c r="J80" s="2"/>
      <c r="Q80" s="2"/>
      <c r="R80" s="7"/>
      <c r="S80" s="2"/>
      <c r="T80" s="2"/>
      <c r="U80" s="2"/>
    </row>
    <row r="81" spans="4:21" x14ac:dyDescent="0.25">
      <c r="D81" s="2"/>
      <c r="E81" s="2"/>
      <c r="F81" s="2"/>
      <c r="G81" s="2"/>
      <c r="H81" s="2"/>
      <c r="I81" s="2"/>
      <c r="J81" s="2"/>
      <c r="Q81" s="2"/>
      <c r="R81" s="2"/>
      <c r="S81" s="2"/>
      <c r="T81" s="2"/>
      <c r="U81" s="2"/>
    </row>
    <row r="82" spans="4:21" x14ac:dyDescent="0.25">
      <c r="D82" s="2"/>
      <c r="E82" s="2"/>
      <c r="F82" s="2"/>
      <c r="G82" s="2"/>
      <c r="H82" s="2"/>
      <c r="I82" s="2"/>
      <c r="J82" s="2"/>
      <c r="Q82" s="2"/>
      <c r="R82" s="2"/>
      <c r="S82" s="2"/>
      <c r="T82" s="2"/>
      <c r="U82" s="2"/>
    </row>
    <row r="83" spans="4:21" x14ac:dyDescent="0.25">
      <c r="J83" s="2"/>
      <c r="R83" s="2"/>
    </row>
    <row r="84" spans="4:21" x14ac:dyDescent="0.25">
      <c r="J84" s="2"/>
    </row>
    <row r="86" spans="4:21" x14ac:dyDescent="0.25">
      <c r="J86" s="2"/>
    </row>
    <row r="87" spans="4:21" x14ac:dyDescent="0.25">
      <c r="J87" s="2"/>
    </row>
    <row r="88" spans="4:21" x14ac:dyDescent="0.25">
      <c r="H88" s="5"/>
      <c r="I88" s="2"/>
      <c r="J88" s="2"/>
    </row>
    <row r="89" spans="4:21" x14ac:dyDescent="0.25">
      <c r="H89" s="5"/>
      <c r="I89" s="2"/>
      <c r="J89" s="2"/>
    </row>
    <row r="90" spans="4:21" x14ac:dyDescent="0.25">
      <c r="D90" s="2"/>
      <c r="E90" s="2"/>
      <c r="F90" s="2"/>
      <c r="G90" s="2"/>
      <c r="H90" s="2"/>
      <c r="I90" s="2"/>
      <c r="J90" s="2"/>
    </row>
    <row r="91" spans="4:21" x14ac:dyDescent="0.25">
      <c r="D91" s="2"/>
      <c r="E91" s="2"/>
      <c r="F91" s="2"/>
      <c r="G91" s="2"/>
      <c r="H91" s="2"/>
      <c r="I91" s="2"/>
      <c r="J91" s="2"/>
    </row>
    <row r="92" spans="4:21" x14ac:dyDescent="0.25">
      <c r="D92" s="2"/>
      <c r="E92" s="2"/>
      <c r="F92" s="2"/>
      <c r="G92" s="2"/>
      <c r="H92" s="2"/>
      <c r="I92" s="2"/>
      <c r="J92" s="2"/>
    </row>
    <row r="93" spans="4:21" x14ac:dyDescent="0.25">
      <c r="D93" s="2"/>
      <c r="E93" s="2"/>
      <c r="F93" s="2"/>
      <c r="G93" s="2"/>
      <c r="H93" s="2"/>
      <c r="I93" s="2"/>
      <c r="J93" s="2"/>
    </row>
    <row r="94" spans="4:21" x14ac:dyDescent="0.25">
      <c r="D94" s="2"/>
      <c r="E94" s="2"/>
      <c r="F94" s="2"/>
      <c r="G94" s="2"/>
      <c r="H94" s="2"/>
      <c r="I94" s="2"/>
      <c r="J94" s="2"/>
    </row>
  </sheetData>
  <pageMargins left="0.7" right="0.7" top="0.78740157499999996" bottom="0.78740157499999996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topLeftCell="A13" workbookViewId="0">
      <selection activeCell="E47" sqref="E47"/>
    </sheetView>
  </sheetViews>
  <sheetFormatPr defaultRowHeight="15" x14ac:dyDescent="0.25"/>
  <cols>
    <col min="5" max="5" width="11.140625" customWidth="1"/>
  </cols>
  <sheetData>
    <row r="1" spans="1:8" x14ac:dyDescent="0.25">
      <c r="A1" t="s">
        <v>89</v>
      </c>
    </row>
    <row r="2" spans="1:8" x14ac:dyDescent="0.25">
      <c r="A2" t="s">
        <v>48</v>
      </c>
    </row>
    <row r="4" spans="1:8" x14ac:dyDescent="0.25">
      <c r="B4" t="s">
        <v>19</v>
      </c>
      <c r="H4">
        <v>659</v>
      </c>
    </row>
    <row r="6" spans="1:8" x14ac:dyDescent="0.25">
      <c r="B6" t="s">
        <v>9</v>
      </c>
      <c r="C6" t="s">
        <v>33</v>
      </c>
      <c r="D6">
        <v>117</v>
      </c>
      <c r="E6">
        <v>1</v>
      </c>
      <c r="F6">
        <f>D6*E6</f>
        <v>117</v>
      </c>
    </row>
    <row r="7" spans="1:8" x14ac:dyDescent="0.25">
      <c r="C7" t="s">
        <v>32</v>
      </c>
      <c r="D7">
        <v>86</v>
      </c>
      <c r="E7">
        <v>1</v>
      </c>
      <c r="F7">
        <f>D7*E7</f>
        <v>86</v>
      </c>
    </row>
    <row r="8" spans="1:8" x14ac:dyDescent="0.25">
      <c r="C8" t="s">
        <v>49</v>
      </c>
      <c r="D8">
        <v>86</v>
      </c>
      <c r="E8">
        <v>4</v>
      </c>
      <c r="F8">
        <f>D8*E8</f>
        <v>344</v>
      </c>
    </row>
    <row r="9" spans="1:8" x14ac:dyDescent="0.25">
      <c r="C9" t="s">
        <v>13</v>
      </c>
      <c r="F9">
        <f>SUM(F6:F8)</f>
        <v>547</v>
      </c>
      <c r="H9">
        <f>F9</f>
        <v>547</v>
      </c>
    </row>
    <row r="11" spans="1:8" x14ac:dyDescent="0.25">
      <c r="B11" t="s">
        <v>10</v>
      </c>
      <c r="C11" t="s">
        <v>33</v>
      </c>
      <c r="D11">
        <v>167</v>
      </c>
      <c r="E11">
        <v>1</v>
      </c>
      <c r="F11">
        <f>D11*E11</f>
        <v>167</v>
      </c>
    </row>
    <row r="12" spans="1:8" x14ac:dyDescent="0.25">
      <c r="C12" t="s">
        <v>32</v>
      </c>
      <c r="D12">
        <v>164</v>
      </c>
      <c r="E12">
        <v>1</v>
      </c>
      <c r="F12">
        <f t="shared" ref="F12:F13" si="0">D12*E12</f>
        <v>164</v>
      </c>
    </row>
    <row r="13" spans="1:8" x14ac:dyDescent="0.25">
      <c r="C13" t="s">
        <v>50</v>
      </c>
      <c r="D13">
        <v>140</v>
      </c>
      <c r="E13">
        <v>7</v>
      </c>
      <c r="F13">
        <f t="shared" si="0"/>
        <v>980</v>
      </c>
    </row>
    <row r="14" spans="1:8" x14ac:dyDescent="0.25">
      <c r="C14" t="s">
        <v>13</v>
      </c>
      <c r="F14">
        <f>SUM(F11:F13)</f>
        <v>1311</v>
      </c>
      <c r="H14">
        <f>F14</f>
        <v>1311</v>
      </c>
    </row>
    <row r="16" spans="1:8" x14ac:dyDescent="0.25">
      <c r="B16" t="s">
        <v>11</v>
      </c>
      <c r="C16" t="s">
        <v>32</v>
      </c>
      <c r="D16">
        <v>130</v>
      </c>
      <c r="E16">
        <v>1</v>
      </c>
      <c r="F16">
        <f>D16*E16</f>
        <v>130</v>
      </c>
    </row>
    <row r="17" spans="2:8" x14ac:dyDescent="0.25">
      <c r="C17" t="s">
        <v>51</v>
      </c>
      <c r="D17">
        <v>120</v>
      </c>
      <c r="E17">
        <v>2</v>
      </c>
      <c r="F17">
        <f t="shared" ref="F17:F18" si="1">D17*E17</f>
        <v>240</v>
      </c>
    </row>
    <row r="18" spans="2:8" x14ac:dyDescent="0.25">
      <c r="C18" t="s">
        <v>52</v>
      </c>
      <c r="D18">
        <v>120</v>
      </c>
      <c r="E18">
        <v>1</v>
      </c>
      <c r="F18">
        <f t="shared" si="1"/>
        <v>120</v>
      </c>
    </row>
    <row r="19" spans="2:8" x14ac:dyDescent="0.25">
      <c r="C19" t="s">
        <v>13</v>
      </c>
      <c r="F19">
        <f>SUM(F16:F18)</f>
        <v>490</v>
      </c>
      <c r="H19">
        <f>F19</f>
        <v>490</v>
      </c>
    </row>
    <row r="21" spans="2:8" x14ac:dyDescent="0.25">
      <c r="B21" t="s">
        <v>12</v>
      </c>
      <c r="H21">
        <v>304</v>
      </c>
    </row>
    <row r="23" spans="2:8" x14ac:dyDescent="0.25">
      <c r="B23" t="s">
        <v>53</v>
      </c>
      <c r="H23">
        <f>SUM(H4:H22)</f>
        <v>3311</v>
      </c>
    </row>
    <row r="24" spans="2:8" x14ac:dyDescent="0.25">
      <c r="B24" t="s">
        <v>26</v>
      </c>
      <c r="H24">
        <v>3458</v>
      </c>
    </row>
    <row r="27" spans="2:8" x14ac:dyDescent="0.25">
      <c r="B27" t="s">
        <v>12</v>
      </c>
    </row>
    <row r="28" spans="2:8" x14ac:dyDescent="0.25">
      <c r="D28" t="s">
        <v>38</v>
      </c>
      <c r="F28" t="s">
        <v>87</v>
      </c>
    </row>
    <row r="29" spans="2:8" x14ac:dyDescent="0.25">
      <c r="C29" t="s">
        <v>33</v>
      </c>
      <c r="D29">
        <v>0</v>
      </c>
      <c r="F29">
        <v>58.87</v>
      </c>
    </row>
    <row r="30" spans="2:8" x14ac:dyDescent="0.25">
      <c r="C30" t="s">
        <v>32</v>
      </c>
      <c r="D30">
        <v>85</v>
      </c>
      <c r="F30">
        <v>517.11</v>
      </c>
    </row>
    <row r="31" spans="2:8" x14ac:dyDescent="0.25">
      <c r="C31" t="s">
        <v>82</v>
      </c>
      <c r="D31" t="s">
        <v>88</v>
      </c>
      <c r="F31">
        <v>0</v>
      </c>
    </row>
    <row r="32" spans="2:8" x14ac:dyDescent="0.25">
      <c r="C32" t="s">
        <v>83</v>
      </c>
      <c r="D32">
        <v>0</v>
      </c>
      <c r="F32">
        <v>64.400000000000006</v>
      </c>
    </row>
    <row r="33" spans="2:8" x14ac:dyDescent="0.25">
      <c r="C33" t="s">
        <v>52</v>
      </c>
      <c r="D33">
        <v>91</v>
      </c>
      <c r="F33">
        <v>58.69</v>
      </c>
    </row>
    <row r="34" spans="2:8" x14ac:dyDescent="0.25">
      <c r="C34" t="s">
        <v>84</v>
      </c>
      <c r="D34">
        <v>55</v>
      </c>
      <c r="F34">
        <v>58.5</v>
      </c>
    </row>
    <row r="35" spans="2:8" x14ac:dyDescent="0.25">
      <c r="C35" t="s">
        <v>86</v>
      </c>
      <c r="D35">
        <v>91</v>
      </c>
      <c r="F35">
        <v>58.5</v>
      </c>
    </row>
    <row r="36" spans="2:8" x14ac:dyDescent="0.25">
      <c r="C36" t="s">
        <v>85</v>
      </c>
      <c r="D36" t="s">
        <v>88</v>
      </c>
      <c r="F36">
        <v>0</v>
      </c>
    </row>
    <row r="38" spans="2:8" x14ac:dyDescent="0.25">
      <c r="C38" t="s">
        <v>13</v>
      </c>
      <c r="D38">
        <f>SUM(D29:D37)</f>
        <v>322</v>
      </c>
      <c r="F38">
        <f>SUM(F29:F37)</f>
        <v>816.06999999999994</v>
      </c>
      <c r="H38">
        <f>F38</f>
        <v>816.06999999999994</v>
      </c>
    </row>
    <row r="39" spans="2:8" x14ac:dyDescent="0.25">
      <c r="C39" t="s">
        <v>90</v>
      </c>
      <c r="D39">
        <v>304</v>
      </c>
    </row>
    <row r="40" spans="2:8" x14ac:dyDescent="0.25">
      <c r="C40" t="s">
        <v>91</v>
      </c>
      <c r="F40">
        <f>F38-D39</f>
        <v>512.06999999999994</v>
      </c>
    </row>
    <row r="42" spans="2:8" x14ac:dyDescent="0.25">
      <c r="B42" t="s">
        <v>92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rozdělení BÚ na objekty</vt:lpstr>
      <vt:lpstr>dodatek D2 YCDE</vt:lpstr>
      <vt:lpstr>15082024 </vt:lpstr>
      <vt:lpstr>14082024</vt:lpstr>
      <vt:lpstr>finalní podklad pro Petru</vt:lpstr>
      <vt:lpstr>List rekapitulace</vt:lpstr>
      <vt:lpstr>původní</vt:lpstr>
      <vt:lpstr>podl.plocha Malenda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Říha Martin, Ing.</dc:creator>
  <cp:lastModifiedBy>Foukalová Petra, Mgr.</cp:lastModifiedBy>
  <cp:lastPrinted>2024-08-16T06:53:16Z</cp:lastPrinted>
  <dcterms:created xsi:type="dcterms:W3CDTF">2024-06-12T11:58:44Z</dcterms:created>
  <dcterms:modified xsi:type="dcterms:W3CDTF">2024-08-19T08:53:22Z</dcterms:modified>
</cp:coreProperties>
</file>