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828\Desktop\"/>
    </mc:Choice>
  </mc:AlternateContent>
  <xr:revisionPtr revIDLastSave="0" documentId="13_ncr:1_{79CADF27-4A3F-4A70-8BDF-1383B6C54DBC}" xr6:coauthVersionLast="36" xr6:coauthVersionMax="36" xr10:uidLastSave="{00000000-0000-0000-0000-000000000000}"/>
  <bookViews>
    <workbookView xWindow="0" yWindow="0" windowWidth="23250" windowHeight="12195" xr2:uid="{00000000-000D-0000-FFFF-FFFF00000000}"/>
  </bookViews>
  <sheets>
    <sheet name="List rekapitulace" sheetId="3" r:id="rId1"/>
    <sheet name="původní" sheetId="1" r:id="rId2"/>
    <sheet name="podl.plocha Malenda" sheetId="4" r:id="rId3"/>
    <sheet name="List2" sheetId="5" r:id="rId4"/>
    <sheet name="List3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3" l="1"/>
  <c r="V19" i="3" l="1"/>
  <c r="I13" i="3" l="1"/>
  <c r="Z9" i="3" l="1"/>
  <c r="Y9" i="3"/>
  <c r="X9" i="3"/>
  <c r="P15" i="3"/>
  <c r="I15" i="3"/>
  <c r="I72" i="3"/>
  <c r="I56" i="3"/>
  <c r="I45" i="3"/>
  <c r="I36" i="3"/>
  <c r="I25" i="3"/>
  <c r="I23" i="3"/>
  <c r="I21" i="3"/>
  <c r="I22" i="3"/>
  <c r="F77" i="3"/>
  <c r="M21" i="3"/>
  <c r="I71" i="3"/>
  <c r="F83" i="3" l="1"/>
  <c r="E83" i="3"/>
  <c r="F86" i="3"/>
  <c r="W7" i="3" l="1"/>
  <c r="W9" i="3" s="1"/>
  <c r="W6" i="3"/>
  <c r="W5" i="3"/>
  <c r="P14" i="3"/>
  <c r="I68" i="3"/>
  <c r="I70" i="3"/>
  <c r="K71" i="3" l="1"/>
  <c r="O64" i="3"/>
  <c r="N64" i="3"/>
  <c r="G11" i="3"/>
  <c r="K65" i="3"/>
  <c r="L11" i="3" l="1"/>
  <c r="H38" i="4" l="1"/>
  <c r="F40" i="4"/>
  <c r="F38" i="4"/>
  <c r="D38" i="4"/>
  <c r="K67" i="3"/>
  <c r="L13" i="3" s="1"/>
  <c r="G42" i="3"/>
  <c r="J13" i="3"/>
  <c r="J14" i="3"/>
  <c r="J15" i="3"/>
  <c r="G15" i="3"/>
  <c r="F10" i="3"/>
  <c r="J10" i="3" s="1"/>
  <c r="E10" i="3"/>
  <c r="E11" i="3"/>
  <c r="E12" i="3"/>
  <c r="E21" i="3"/>
  <c r="E8" i="3" s="1"/>
  <c r="E22" i="3"/>
  <c r="E9" i="3" s="1"/>
  <c r="X19" i="3" l="1"/>
  <c r="G77" i="3" l="1"/>
  <c r="G78" i="3" s="1"/>
  <c r="G81" i="3"/>
  <c r="G82" i="3"/>
  <c r="G86" i="3"/>
  <c r="G87" i="3" s="1"/>
  <c r="G80" i="3"/>
  <c r="G83" i="3" s="1"/>
  <c r="G84" i="3" s="1"/>
  <c r="K15" i="3"/>
  <c r="K55" i="3"/>
  <c r="I55" i="3" l="1"/>
  <c r="I51" i="3"/>
  <c r="I42" i="3"/>
  <c r="I35" i="3"/>
  <c r="I31" i="3"/>
  <c r="I54" i="3"/>
  <c r="I34" i="3"/>
  <c r="I53" i="3"/>
  <c r="I44" i="3"/>
  <c r="I40" i="3"/>
  <c r="I33" i="3"/>
  <c r="I52" i="3"/>
  <c r="I41" i="3"/>
  <c r="I32" i="3"/>
  <c r="I66" i="3"/>
  <c r="I12" i="3" s="1"/>
  <c r="P12" i="3" s="1"/>
  <c r="I65" i="3"/>
  <c r="I43" i="3"/>
  <c r="I62" i="3"/>
  <c r="I67" i="3"/>
  <c r="I63" i="3"/>
  <c r="I64" i="3"/>
  <c r="K13" i="3"/>
  <c r="K14" i="3"/>
  <c r="Y22" i="3" l="1"/>
  <c r="X22" i="3"/>
  <c r="G25" i="3"/>
  <c r="K22" i="3"/>
  <c r="K24" i="3"/>
  <c r="K63" i="3"/>
  <c r="K64" i="3"/>
  <c r="K66" i="3"/>
  <c r="K68" i="3"/>
  <c r="K70" i="3"/>
  <c r="L15" i="3"/>
  <c r="K62" i="3"/>
  <c r="X24" i="3" l="1"/>
  <c r="I10" i="3"/>
  <c r="P10" i="3" s="1"/>
  <c r="I11" i="3"/>
  <c r="W22" i="3"/>
  <c r="W23" i="3" s="1"/>
  <c r="V22" i="3"/>
  <c r="Y21" i="3"/>
  <c r="Y23" i="3" s="1"/>
  <c r="I9" i="3"/>
  <c r="P9" i="3" s="1"/>
  <c r="X21" i="3"/>
  <c r="X23" i="3" s="1"/>
  <c r="V21" i="3"/>
  <c r="Z23" i="3"/>
  <c r="K25" i="3"/>
  <c r="G12" i="3"/>
  <c r="K52" i="3"/>
  <c r="K53" i="3"/>
  <c r="K51" i="3"/>
  <c r="K41" i="3"/>
  <c r="K42" i="3"/>
  <c r="K43" i="3"/>
  <c r="K44" i="3"/>
  <c r="K40" i="3"/>
  <c r="K35" i="3"/>
  <c r="K34" i="3"/>
  <c r="K33" i="3"/>
  <c r="K32" i="3"/>
  <c r="K31" i="3"/>
  <c r="Z24" i="3" l="1"/>
  <c r="W24" i="3"/>
  <c r="P11" i="3"/>
  <c r="Y24" i="3"/>
  <c r="P13" i="3"/>
  <c r="AA22" i="3"/>
  <c r="AA21" i="3"/>
  <c r="L12" i="3"/>
  <c r="L9" i="3"/>
  <c r="H16" i="3"/>
  <c r="G21" i="3" l="1"/>
  <c r="K21" i="3" s="1"/>
  <c r="G23" i="3"/>
  <c r="G9" i="3"/>
  <c r="H23" i="4"/>
  <c r="F17" i="4"/>
  <c r="F18" i="4"/>
  <c r="F16" i="4"/>
  <c r="H14" i="4"/>
  <c r="F14" i="4"/>
  <c r="F12" i="4"/>
  <c r="F13" i="4"/>
  <c r="F11" i="4"/>
  <c r="H9" i="4"/>
  <c r="F9" i="4"/>
  <c r="F8" i="4"/>
  <c r="F7" i="4"/>
  <c r="F6" i="4"/>
  <c r="G8" i="3" l="1"/>
  <c r="L8" i="3"/>
  <c r="G10" i="3"/>
  <c r="K23" i="3"/>
  <c r="L10" i="3" s="1"/>
  <c r="F19" i="4"/>
  <c r="H19" i="4" s="1"/>
  <c r="F12" i="3"/>
  <c r="J12" i="3" s="1"/>
  <c r="F11" i="3"/>
  <c r="J11" i="3" s="1"/>
  <c r="K11" i="3" s="1"/>
  <c r="F9" i="3"/>
  <c r="J9" i="3" s="1"/>
  <c r="F8" i="3"/>
  <c r="J8" i="3" s="1"/>
  <c r="L16" i="3" l="1"/>
  <c r="K8" i="3"/>
  <c r="K12" i="3"/>
  <c r="K9" i="3"/>
  <c r="K10" i="3"/>
  <c r="I38" i="1"/>
  <c r="I39" i="1"/>
  <c r="I42" i="1"/>
  <c r="I41" i="1"/>
  <c r="I40" i="1"/>
  <c r="I37" i="1"/>
  <c r="I36" i="1"/>
  <c r="I35" i="1"/>
  <c r="I34" i="1"/>
  <c r="K16" i="3" l="1"/>
  <c r="I52" i="1"/>
  <c r="O10" i="1" s="1"/>
  <c r="I51" i="1"/>
  <c r="O9" i="1" s="1"/>
  <c r="I50" i="1"/>
  <c r="O8" i="1" s="1"/>
  <c r="I49" i="1"/>
  <c r="O7" i="1" s="1"/>
  <c r="I48" i="1"/>
  <c r="O6" i="1" s="1"/>
  <c r="J15" i="1" l="1"/>
  <c r="I22" i="1" l="1"/>
  <c r="L7" i="1" s="1"/>
  <c r="I23" i="1"/>
  <c r="I24" i="1"/>
  <c r="L8" i="1" s="1"/>
  <c r="I27" i="1"/>
  <c r="I28" i="1"/>
  <c r="I29" i="1"/>
  <c r="I21" i="1"/>
  <c r="L6" i="1" s="1"/>
  <c r="O12" i="1" l="1"/>
  <c r="I8" i="3" l="1"/>
  <c r="I16" i="3" s="1"/>
  <c r="AA24" i="3" s="1"/>
  <c r="AA19" i="3"/>
  <c r="V23" i="3" l="1"/>
  <c r="AA23" i="3" s="1"/>
  <c r="P8" i="3"/>
  <c r="P16" i="3" s="1"/>
  <c r="V24" i="3"/>
  <c r="M24" i="3"/>
</calcChain>
</file>

<file path=xl/sharedStrings.xml><?xml version="1.0" encoding="utf-8"?>
<sst xmlns="http://schemas.openxmlformats.org/spreadsheetml/2006/main" count="222" uniqueCount="113">
  <si>
    <t>Zateplení ubytoven a DK</t>
  </si>
  <si>
    <t>výměra zateplovaných obvodových stěn</t>
  </si>
  <si>
    <t>výměra vyměňovaných výplní otvorů</t>
  </si>
  <si>
    <t>výměra stíněných ploch s ručním elektr. ovl.</t>
  </si>
  <si>
    <t>výměra ost. ploch s automat ovlád. osvtělení</t>
  </si>
  <si>
    <t>m2</t>
  </si>
  <si>
    <t>Kč</t>
  </si>
  <si>
    <t>akumulace k FVE</t>
  </si>
  <si>
    <t>špičkový výkon instalované FVE  /kW/</t>
  </si>
  <si>
    <t>YC</t>
  </si>
  <si>
    <t>YD</t>
  </si>
  <si>
    <t>YE</t>
  </si>
  <si>
    <t>Q</t>
  </si>
  <si>
    <t>součet</t>
  </si>
  <si>
    <t>stěny</t>
  </si>
  <si>
    <t>střechy</t>
  </si>
  <si>
    <t>výplně</t>
  </si>
  <si>
    <t xml:space="preserve">po objektech </t>
  </si>
  <si>
    <t>SoD</t>
  </si>
  <si>
    <t>YA</t>
  </si>
  <si>
    <t>PENB /parametrické údaje/</t>
  </si>
  <si>
    <t>hromosvod</t>
  </si>
  <si>
    <t>podl. nad venk</t>
  </si>
  <si>
    <t>k zemíně</t>
  </si>
  <si>
    <t>kce k soused.</t>
  </si>
  <si>
    <t>k nevytápěným</t>
  </si>
  <si>
    <t>kumulativní rozpočet</t>
  </si>
  <si>
    <t>výměra zateplovaných plochých  a šikm. střech</t>
  </si>
  <si>
    <t>výměra k zemině</t>
  </si>
  <si>
    <t>výměra k nevytápěným prostorům</t>
  </si>
  <si>
    <t>FVE /kW/</t>
  </si>
  <si>
    <t>osvětlení  /m2 podl. pl./</t>
  </si>
  <si>
    <t>I.NP</t>
  </si>
  <si>
    <t>I.PP</t>
  </si>
  <si>
    <t>úložiště /kW/  kapacita</t>
  </si>
  <si>
    <t>úložiště /kW/ jmenovitý</t>
  </si>
  <si>
    <t>údaje ze smlouvy ve znění dodatku /parametrické údaje/</t>
  </si>
  <si>
    <t xml:space="preserve">výměra stíněných ploch </t>
  </si>
  <si>
    <t>původní</t>
  </si>
  <si>
    <t xml:space="preserve">       PENB</t>
  </si>
  <si>
    <t>EP /parametrické údaje/</t>
  </si>
  <si>
    <t>výměra stíněných ploch</t>
  </si>
  <si>
    <t xml:space="preserve">výměra osvětl. ploch </t>
  </si>
  <si>
    <t>EP 2022</t>
  </si>
  <si>
    <t>EP 2024</t>
  </si>
  <si>
    <t>výkon FVE</t>
  </si>
  <si>
    <t>FVE /kWp/</t>
  </si>
  <si>
    <t>výměry již měně výpl. 0,73</t>
  </si>
  <si>
    <t>výměry již měně výpl. 0,83</t>
  </si>
  <si>
    <t>špičkový výkon instalované FVE  /kWp/</t>
  </si>
  <si>
    <t>koncept</t>
  </si>
  <si>
    <t>podl.plocha Malenda</t>
  </si>
  <si>
    <t>II.-V. NP</t>
  </si>
  <si>
    <t>II-VII</t>
  </si>
  <si>
    <t>II-III. NP</t>
  </si>
  <si>
    <t>IV.NP</t>
  </si>
  <si>
    <t>celkem</t>
  </si>
  <si>
    <t>podm.dotace</t>
  </si>
  <si>
    <t>akumulace k FVE /kW/</t>
  </si>
  <si>
    <t>akt x podm.dot</t>
  </si>
  <si>
    <t>výměra zatepl. plochých  a šikm. střech</t>
  </si>
  <si>
    <t>výměra stíněných pl. s ručním elektr. ovl.</t>
  </si>
  <si>
    <t>výměra ost. ploch s automat ovlád. osv.</t>
  </si>
  <si>
    <t>způsobilé /kum</t>
  </si>
  <si>
    <t>součtově /ctrl</t>
  </si>
  <si>
    <t>akt. zhot.par</t>
  </si>
  <si>
    <t>VRN</t>
  </si>
  <si>
    <t>průměr</t>
  </si>
  <si>
    <t>SoD  zhot. Kč</t>
  </si>
  <si>
    <t>součet EP 22</t>
  </si>
  <si>
    <t>zateplení</t>
  </si>
  <si>
    <t>YC+YD+YE</t>
  </si>
  <si>
    <t>stínění</t>
  </si>
  <si>
    <t>osvětlení</t>
  </si>
  <si>
    <t>FVE</t>
  </si>
  <si>
    <t>akumulace</t>
  </si>
  <si>
    <t>koeficient</t>
  </si>
  <si>
    <t>vč. alikq VRN</t>
  </si>
  <si>
    <t>součet EP 24</t>
  </si>
  <si>
    <t>kumul.roz. 24</t>
  </si>
  <si>
    <t>kumul. roz.24</t>
  </si>
  <si>
    <t>výzva x 1,1</t>
  </si>
  <si>
    <t>D1 MNP</t>
  </si>
  <si>
    <t>D1 VCP</t>
  </si>
  <si>
    <t>SoD kmen</t>
  </si>
  <si>
    <t>vč. 286,27 AL</t>
  </si>
  <si>
    <t>II.NP</t>
  </si>
  <si>
    <t>III.NP</t>
  </si>
  <si>
    <t>V.NP</t>
  </si>
  <si>
    <t>VII.NP</t>
  </si>
  <si>
    <t>VI.NP</t>
  </si>
  <si>
    <t>aktuálně</t>
  </si>
  <si>
    <t xml:space="preserve">provedeno - nelze </t>
  </si>
  <si>
    <t>ve výkazech výměr není uveden parametr podlahové plochy úprav vnitřního osvětlení</t>
  </si>
  <si>
    <t>kumulák</t>
  </si>
  <si>
    <t>rozdíl /navýšení</t>
  </si>
  <si>
    <t>plochy zjištěny planimetricky z aktuální PD</t>
  </si>
  <si>
    <t>kontrola</t>
  </si>
  <si>
    <t>Cena</t>
  </si>
  <si>
    <t>SOD I.</t>
  </si>
  <si>
    <t>SOD II.</t>
  </si>
  <si>
    <t>SOD III.</t>
  </si>
  <si>
    <t>neuznatelené</t>
  </si>
  <si>
    <t>D</t>
  </si>
  <si>
    <t>II.</t>
  </si>
  <si>
    <t>III.</t>
  </si>
  <si>
    <t>Wp</t>
  </si>
  <si>
    <t>odpočet EPS FVE</t>
  </si>
  <si>
    <t>přílušná část EPS</t>
  </si>
  <si>
    <t>I. vč. Wp</t>
  </si>
  <si>
    <t>DPH</t>
  </si>
  <si>
    <t>neuznatelné</t>
  </si>
  <si>
    <t>FNOL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</si>
</sst>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č_-;\-* #,##0.00\ _K_č_-;_-* &quot;-&quot;??\ _K_č_-;_-@_-"/>
    <numFmt numFmtId="164" formatCode="_-* #,##0.0\ _K_č_-;\-* #,##0.0\ _K_č_-;_-* &quot;-&quot;??\ _K_č_-;_-@_-"/>
    <numFmt numFmtId="165" formatCode="_-* #,##0\ _K_č_-;\-* #,##0\ _K_č_-;_-* &quot;-&quot;??\ _K_č_-;_-@_-"/>
    <numFmt numFmtId="166" formatCode="_-* #,##0.0000000\ _K_č_-;\-* #,##0.0000000\ _K_č_-;_-* &quot;-&quot;??\ _K_č_-;_-@_-"/>
    <numFmt numFmtId="167" formatCode="_-* #,##0.0000\ _K_č_-;\-* #,##0.0000\ _K_č_-;_-* &quot;-&quot;??\ _K_č_-;_-@_-"/>
    <numFmt numFmtId="168" formatCode="_-* #,##0.000\ _K_č_-;\-* #,##0.000\ _K_č_-;_-* &quot;-&quot;??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2" fillId="0" borderId="0" xfId="0" applyFont="1"/>
    <xf numFmtId="165" fontId="3" fillId="0" borderId="0" xfId="1" applyNumberFormat="1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165" fontId="0" fillId="0" borderId="0" xfId="1" applyNumberFormat="1" applyFont="1" applyAlignment="1">
      <alignment horizontal="left" indent="6"/>
    </xf>
    <xf numFmtId="14" fontId="0" fillId="0" borderId="0" xfId="0" applyNumberFormat="1"/>
    <xf numFmtId="0" fontId="0" fillId="0" borderId="0" xfId="0" applyFont="1" applyAlignment="1">
      <alignment horizontal="left" indent="6"/>
    </xf>
    <xf numFmtId="0" fontId="0" fillId="0" borderId="0" xfId="0" applyFont="1" applyAlignment="1">
      <alignment horizontal="left" indent="7"/>
    </xf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5" xfId="0" applyFill="1" applyBorder="1"/>
    <xf numFmtId="165" fontId="0" fillId="2" borderId="1" xfId="1" applyNumberFormat="1" applyFont="1" applyFill="1" applyBorder="1"/>
    <xf numFmtId="165" fontId="0" fillId="2" borderId="5" xfId="1" applyNumberFormat="1" applyFont="1" applyFill="1" applyBorder="1"/>
    <xf numFmtId="1" fontId="0" fillId="2" borderId="1" xfId="0" applyNumberFormat="1" applyFill="1" applyBorder="1"/>
    <xf numFmtId="165" fontId="1" fillId="2" borderId="1" xfId="1" applyNumberFormat="1" applyFont="1" applyFill="1" applyBorder="1"/>
    <xf numFmtId="165" fontId="0" fillId="2" borderId="1" xfId="0" applyNumberFormat="1" applyFill="1" applyBorder="1"/>
    <xf numFmtId="165" fontId="0" fillId="2" borderId="5" xfId="0" applyNumberFormat="1" applyFill="1" applyBorder="1"/>
    <xf numFmtId="0" fontId="0" fillId="2" borderId="6" xfId="0" applyFill="1" applyBorder="1" applyAlignment="1">
      <alignment horizontal="left" indent="4"/>
    </xf>
    <xf numFmtId="0" fontId="0" fillId="2" borderId="1" xfId="0" applyFill="1" applyBorder="1" applyAlignment="1">
      <alignment horizontal="left" indent="4"/>
    </xf>
    <xf numFmtId="0" fontId="0" fillId="2" borderId="6" xfId="0" applyFill="1" applyBorder="1" applyAlignment="1">
      <alignment horizontal="left" indent="7"/>
    </xf>
    <xf numFmtId="0" fontId="0" fillId="2" borderId="1" xfId="0" applyFill="1" applyBorder="1" applyAlignment="1">
      <alignment horizontal="left" indent="8"/>
    </xf>
    <xf numFmtId="1" fontId="0" fillId="2" borderId="6" xfId="0" applyNumberFormat="1" applyFill="1" applyBorder="1"/>
    <xf numFmtId="0" fontId="0" fillId="2" borderId="1" xfId="0" applyFont="1" applyFill="1" applyBorder="1"/>
    <xf numFmtId="165" fontId="6" fillId="2" borderId="5" xfId="0" applyNumberFormat="1" applyFont="1" applyFill="1" applyBorder="1"/>
    <xf numFmtId="1" fontId="0" fillId="2" borderId="6" xfId="0" applyNumberFormat="1" applyFill="1" applyBorder="1" applyAlignment="1">
      <alignment horizontal="left" indent="4"/>
    </xf>
    <xf numFmtId="1" fontId="0" fillId="2" borderId="1" xfId="0" applyNumberFormat="1" applyFill="1" applyBorder="1" applyAlignment="1">
      <alignment horizontal="left" indent="4"/>
    </xf>
    <xf numFmtId="1" fontId="0" fillId="2" borderId="6" xfId="0" applyNumberFormat="1" applyFill="1" applyBorder="1" applyAlignment="1">
      <alignment horizontal="left" indent="7"/>
    </xf>
    <xf numFmtId="1" fontId="0" fillId="2" borderId="1" xfId="0" applyNumberFormat="1" applyFill="1" applyBorder="1" applyAlignment="1">
      <alignment horizontal="left" indent="8"/>
    </xf>
    <xf numFmtId="165" fontId="0" fillId="2" borderId="0" xfId="1" applyNumberFormat="1" applyFont="1" applyFill="1"/>
    <xf numFmtId="0" fontId="6" fillId="2" borderId="1" xfId="0" applyFont="1" applyFill="1" applyBorder="1"/>
    <xf numFmtId="0" fontId="0" fillId="2" borderId="6" xfId="0" applyFill="1" applyBorder="1"/>
    <xf numFmtId="0" fontId="0" fillId="2" borderId="3" xfId="0" applyFill="1" applyBorder="1"/>
    <xf numFmtId="1" fontId="0" fillId="2" borderId="7" xfId="0" applyNumberFormat="1" applyFill="1" applyBorder="1"/>
    <xf numFmtId="1" fontId="0" fillId="2" borderId="3" xfId="0" applyNumberFormat="1" applyFill="1" applyBorder="1"/>
    <xf numFmtId="0" fontId="0" fillId="2" borderId="4" xfId="0" applyFill="1" applyBorder="1"/>
    <xf numFmtId="0" fontId="7" fillId="2" borderId="0" xfId="0" applyFont="1" applyFill="1" applyBorder="1"/>
    <xf numFmtId="1" fontId="0" fillId="2" borderId="4" xfId="0" applyNumberFormat="1" applyFill="1" applyBorder="1"/>
    <xf numFmtId="165" fontId="0" fillId="2" borderId="0" xfId="1" applyNumberFormat="1" applyFont="1" applyFill="1" applyBorder="1"/>
    <xf numFmtId="1" fontId="0" fillId="2" borderId="0" xfId="0" applyNumberFormat="1" applyFill="1" applyBorder="1"/>
    <xf numFmtId="0" fontId="0" fillId="2" borderId="2" xfId="0" applyFill="1" applyBorder="1"/>
    <xf numFmtId="0" fontId="7" fillId="2" borderId="2" xfId="0" applyFont="1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7" fillId="2" borderId="1" xfId="0" applyFont="1" applyFill="1" applyBorder="1"/>
    <xf numFmtId="165" fontId="1" fillId="2" borderId="5" xfId="1" applyNumberFormat="1" applyFont="1" applyFill="1" applyBorder="1"/>
    <xf numFmtId="165" fontId="0" fillId="2" borderId="0" xfId="0" applyNumberFormat="1" applyFill="1" applyBorder="1"/>
    <xf numFmtId="0" fontId="5" fillId="2" borderId="1" xfId="0" applyFont="1" applyFill="1" applyBorder="1"/>
    <xf numFmtId="1" fontId="6" fillId="2" borderId="1" xfId="0" applyNumberFormat="1" applyFont="1" applyFill="1" applyBorder="1"/>
    <xf numFmtId="167" fontId="0" fillId="2" borderId="0" xfId="1" applyNumberFormat="1" applyFont="1" applyFill="1"/>
    <xf numFmtId="165" fontId="0" fillId="2" borderId="0" xfId="0" applyNumberFormat="1" applyFill="1"/>
    <xf numFmtId="165" fontId="3" fillId="2" borderId="0" xfId="1" applyNumberFormat="1" applyFont="1" applyFill="1"/>
    <xf numFmtId="1" fontId="3" fillId="2" borderId="1" xfId="0" applyNumberFormat="1" applyFont="1" applyFill="1" applyBorder="1"/>
    <xf numFmtId="0" fontId="3" fillId="2" borderId="1" xfId="0" applyFont="1" applyFill="1" applyBorder="1"/>
    <xf numFmtId="165" fontId="6" fillId="2" borderId="5" xfId="1" applyNumberFormat="1" applyFont="1" applyFill="1" applyBorder="1"/>
    <xf numFmtId="165" fontId="3" fillId="2" borderId="1" xfId="1" applyNumberFormat="1" applyFont="1" applyFill="1" applyBorder="1"/>
    <xf numFmtId="0" fontId="0" fillId="3" borderId="5" xfId="0" applyFill="1" applyBorder="1"/>
    <xf numFmtId="165" fontId="0" fillId="3" borderId="5" xfId="1" applyNumberFormat="1" applyFont="1" applyFill="1" applyBorder="1"/>
    <xf numFmtId="167" fontId="0" fillId="3" borderId="1" xfId="0" applyNumberFormat="1" applyFill="1" applyBorder="1"/>
    <xf numFmtId="165" fontId="0" fillId="3" borderId="5" xfId="0" applyNumberFormat="1" applyFill="1" applyBorder="1"/>
    <xf numFmtId="165" fontId="6" fillId="3" borderId="5" xfId="0" applyNumberFormat="1" applyFont="1" applyFill="1" applyBorder="1"/>
    <xf numFmtId="165" fontId="0" fillId="3" borderId="1" xfId="1" applyNumberFormat="1" applyFont="1" applyFill="1" applyBorder="1"/>
    <xf numFmtId="0" fontId="0" fillId="2" borderId="0" xfId="0" applyFill="1" applyAlignment="1">
      <alignment horizontal="right"/>
    </xf>
    <xf numFmtId="165" fontId="0" fillId="0" borderId="0" xfId="1" applyNumberFormat="1" applyFont="1" applyFill="1" applyBorder="1"/>
    <xf numFmtId="0" fontId="0" fillId="2" borderId="1" xfId="0" applyFill="1" applyBorder="1" applyAlignment="1">
      <alignment horizontal="left" indent="2"/>
    </xf>
    <xf numFmtId="165" fontId="0" fillId="2" borderId="1" xfId="0" applyNumberFormat="1" applyFont="1" applyFill="1" applyBorder="1"/>
    <xf numFmtId="167" fontId="0" fillId="2" borderId="8" xfId="1" applyNumberFormat="1" applyFont="1" applyFill="1" applyBorder="1"/>
    <xf numFmtId="168" fontId="0" fillId="2" borderId="1" xfId="0" applyNumberFormat="1" applyFill="1" applyBorder="1"/>
    <xf numFmtId="168" fontId="0" fillId="2" borderId="0" xfId="0" applyNumberFormat="1" applyFill="1" applyBorder="1"/>
    <xf numFmtId="165" fontId="6" fillId="2" borderId="1" xfId="0" applyNumberFormat="1" applyFont="1" applyFill="1" applyBorder="1"/>
    <xf numFmtId="165" fontId="7" fillId="2" borderId="1" xfId="1" applyNumberFormat="1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15"/>
  <sheetViews>
    <sheetView tabSelected="1" topLeftCell="J13" workbookViewId="0">
      <selection activeCell="Z21" sqref="Z21"/>
    </sheetView>
  </sheetViews>
  <sheetFormatPr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5" width="13.28515625" style="24" customWidth="1"/>
    <col min="6" max="6" width="14.85546875" style="24" bestFit="1" customWidth="1"/>
    <col min="7" max="7" width="11.28515625" style="24" customWidth="1"/>
    <col min="8" max="8" width="14.5703125" style="25" customWidth="1"/>
    <col min="9" max="9" width="14.5703125" style="24" customWidth="1"/>
    <col min="10" max="10" width="13.140625" style="24" customWidth="1"/>
    <col min="11" max="11" width="16.28515625" style="24" customWidth="1"/>
    <col min="12" max="12" width="14.5703125" style="24" customWidth="1"/>
    <col min="13" max="13" width="14" style="24" customWidth="1"/>
    <col min="14" max="14" width="12.5703125" style="24" customWidth="1"/>
    <col min="15" max="19" width="16.140625" style="24" customWidth="1"/>
    <col min="20" max="20" width="14.140625" style="24" customWidth="1"/>
    <col min="21" max="21" width="17.5703125" style="24" bestFit="1" customWidth="1"/>
    <col min="22" max="22" width="15.42578125" style="24" bestFit="1" customWidth="1"/>
    <col min="23" max="23" width="14.7109375" style="24" customWidth="1"/>
    <col min="24" max="24" width="13.85546875" style="24" bestFit="1" customWidth="1"/>
    <col min="25" max="27" width="14.85546875" style="24" bestFit="1" customWidth="1"/>
    <col min="28" max="16384" width="9.140625" style="24"/>
  </cols>
  <sheetData>
    <row r="2" spans="2:26" x14ac:dyDescent="0.25">
      <c r="C2" s="24" t="s">
        <v>0</v>
      </c>
    </row>
    <row r="4" spans="2:26" x14ac:dyDescent="0.25">
      <c r="B4" s="26"/>
      <c r="C4" s="26"/>
      <c r="D4" s="26"/>
      <c r="E4" s="26" t="s">
        <v>69</v>
      </c>
      <c r="F4" s="26" t="s">
        <v>78</v>
      </c>
      <c r="G4" s="26" t="s">
        <v>65</v>
      </c>
      <c r="H4" s="26" t="s">
        <v>63</v>
      </c>
      <c r="I4" s="72" t="s">
        <v>68</v>
      </c>
      <c r="J4" s="26" t="s">
        <v>57</v>
      </c>
      <c r="K4" s="27" t="s">
        <v>59</v>
      </c>
      <c r="L4" s="27" t="s">
        <v>64</v>
      </c>
      <c r="M4" s="26" t="s">
        <v>84</v>
      </c>
      <c r="N4" s="26" t="s">
        <v>82</v>
      </c>
      <c r="O4" s="26" t="s">
        <v>83</v>
      </c>
      <c r="P4" s="26" t="s">
        <v>102</v>
      </c>
      <c r="Q4" s="26"/>
      <c r="R4" s="25"/>
      <c r="S4" s="25"/>
      <c r="T4" s="26"/>
      <c r="U4" s="26" t="s">
        <v>18</v>
      </c>
      <c r="V4" s="26" t="s">
        <v>103</v>
      </c>
      <c r="W4" s="26" t="s">
        <v>13</v>
      </c>
      <c r="X4" s="26" t="s">
        <v>110</v>
      </c>
      <c r="Y4" s="26" t="s">
        <v>111</v>
      </c>
      <c r="Z4" s="26" t="s">
        <v>112</v>
      </c>
    </row>
    <row r="5" spans="2:26" x14ac:dyDescent="0.25">
      <c r="B5" s="26"/>
      <c r="C5" s="26"/>
      <c r="D5" s="26"/>
      <c r="E5" s="26"/>
      <c r="F5" s="26" t="s">
        <v>80</v>
      </c>
      <c r="G5" s="26"/>
      <c r="H5" s="26" t="s">
        <v>79</v>
      </c>
      <c r="I5" s="73" t="s">
        <v>77</v>
      </c>
      <c r="J5" s="26" t="s">
        <v>81</v>
      </c>
      <c r="K5" s="27"/>
      <c r="L5" s="27"/>
      <c r="M5" s="26"/>
      <c r="N5" s="26"/>
      <c r="O5" s="26"/>
      <c r="P5" s="26"/>
      <c r="Q5" s="26"/>
      <c r="R5" s="25"/>
      <c r="S5" s="25"/>
      <c r="T5" s="26" t="s">
        <v>109</v>
      </c>
      <c r="U5" s="28">
        <v>157879368.69</v>
      </c>
      <c r="V5" s="28">
        <v>21289452</v>
      </c>
      <c r="W5" s="28">
        <f>SUM(U5:V5)</f>
        <v>179168820.69</v>
      </c>
      <c r="X5" s="26"/>
      <c r="Y5" s="26"/>
      <c r="Z5" s="26"/>
    </row>
    <row r="6" spans="2:26" x14ac:dyDescent="0.25">
      <c r="B6" s="26"/>
      <c r="C6" s="26"/>
      <c r="D6" s="26"/>
      <c r="E6" s="26" t="s">
        <v>5</v>
      </c>
      <c r="F6" s="26" t="s">
        <v>5</v>
      </c>
      <c r="G6" s="28" t="s">
        <v>5</v>
      </c>
      <c r="H6" s="28" t="s">
        <v>6</v>
      </c>
      <c r="I6" s="74"/>
      <c r="J6" s="28"/>
      <c r="K6" s="29"/>
      <c r="L6" s="29"/>
      <c r="M6" s="26"/>
      <c r="N6" s="26"/>
      <c r="O6" s="26"/>
      <c r="P6" s="26"/>
      <c r="Q6" s="26"/>
      <c r="R6" s="25"/>
      <c r="S6" s="25"/>
      <c r="T6" s="26" t="s">
        <v>104</v>
      </c>
      <c r="U6" s="28">
        <v>115235970.64</v>
      </c>
      <c r="V6" s="28">
        <v>7296345.4699999997</v>
      </c>
      <c r="W6" s="28">
        <f>SUM(U6:V6)</f>
        <v>122532316.11</v>
      </c>
      <c r="X6" s="26"/>
      <c r="Y6" s="26"/>
      <c r="Z6" s="26"/>
    </row>
    <row r="7" spans="2:26" x14ac:dyDescent="0.25">
      <c r="B7" s="26"/>
      <c r="C7" s="26" t="s">
        <v>26</v>
      </c>
      <c r="D7" s="26"/>
      <c r="E7" s="26"/>
      <c r="F7" s="26"/>
      <c r="G7" s="28"/>
      <c r="H7" s="28"/>
      <c r="I7" s="73"/>
      <c r="J7" s="28"/>
      <c r="K7" s="29"/>
      <c r="L7" s="29"/>
      <c r="M7" s="26"/>
      <c r="N7" s="26"/>
      <c r="O7" s="26"/>
      <c r="P7" s="26"/>
      <c r="Q7" s="26"/>
      <c r="R7" s="25"/>
      <c r="S7" s="25"/>
      <c r="T7" s="26" t="s">
        <v>105</v>
      </c>
      <c r="U7" s="28">
        <v>11998785</v>
      </c>
      <c r="V7" s="28">
        <v>2728550</v>
      </c>
      <c r="W7" s="28">
        <f>SUM(U7:V7)</f>
        <v>14727335</v>
      </c>
      <c r="X7" s="26"/>
      <c r="Y7" s="26"/>
      <c r="Z7" s="26"/>
    </row>
    <row r="8" spans="2:26" x14ac:dyDescent="0.25">
      <c r="B8" s="26">
        <v>1</v>
      </c>
      <c r="C8" s="26" t="s">
        <v>1</v>
      </c>
      <c r="D8" s="26"/>
      <c r="E8" s="30">
        <f>E21+E31+E40+E51+E62</f>
        <v>10059.91</v>
      </c>
      <c r="F8" s="30">
        <f>F21++F31+F40+F51+F62</f>
        <v>10083.15</v>
      </c>
      <c r="G8" s="28">
        <f>G21+G31+G40+G51+G62</f>
        <v>12904.18</v>
      </c>
      <c r="H8" s="28">
        <v>45474826</v>
      </c>
      <c r="I8" s="73">
        <f>I21+I31+I74+I40+I51+I62</f>
        <v>89589437.215059921</v>
      </c>
      <c r="J8" s="28">
        <f>H8/F8</f>
        <v>4509.9820988480787</v>
      </c>
      <c r="K8" s="29">
        <f t="shared" ref="K8:K14" si="0">G8*J8</f>
        <v>58197620.800313406</v>
      </c>
      <c r="L8" s="29">
        <f>K21+K31+K40+K51+K62</f>
        <v>58197851.799999997</v>
      </c>
      <c r="M8" s="26"/>
      <c r="N8" s="26"/>
      <c r="O8" s="26"/>
      <c r="P8" s="32">
        <f>I8-H8</f>
        <v>44114611.215059921</v>
      </c>
      <c r="Q8" s="26"/>
      <c r="R8" s="25"/>
      <c r="S8" s="25"/>
      <c r="T8" s="60" t="s">
        <v>106</v>
      </c>
      <c r="U8" s="60"/>
      <c r="V8" s="86">
        <v>9394916</v>
      </c>
      <c r="W8" s="26"/>
      <c r="X8" s="26"/>
      <c r="Y8" s="26"/>
      <c r="Z8" s="26"/>
    </row>
    <row r="9" spans="2:26" x14ac:dyDescent="0.25">
      <c r="B9" s="26">
        <v>2</v>
      </c>
      <c r="C9" s="26" t="s">
        <v>60</v>
      </c>
      <c r="D9" s="26"/>
      <c r="E9" s="30">
        <f>E22+E32+E41+E52+E63</f>
        <v>4968.75</v>
      </c>
      <c r="F9" s="30">
        <f>F22+F32+F41+F52+F63</f>
        <v>5004.26</v>
      </c>
      <c r="G9" s="28">
        <f>G22+G32+G41+G52+G63</f>
        <v>5146.91</v>
      </c>
      <c r="H9" s="28">
        <v>17065004</v>
      </c>
      <c r="I9" s="73">
        <f>I22+I32+I41+I52+I63</f>
        <v>43481253.985494167</v>
      </c>
      <c r="J9" s="28">
        <f>H9/F9</f>
        <v>3410.0953987202902</v>
      </c>
      <c r="K9" s="29">
        <f t="shared" si="0"/>
        <v>17551454.10862745</v>
      </c>
      <c r="L9" s="70">
        <f>K22+K32+K41+K52+K63</f>
        <v>17550963.100000001</v>
      </c>
      <c r="M9" s="26"/>
      <c r="N9" s="26"/>
      <c r="O9" s="26"/>
      <c r="P9" s="32">
        <f t="shared" ref="P9:P14" si="1">I9-H9</f>
        <v>26416249.985494167</v>
      </c>
      <c r="Q9" s="26"/>
      <c r="R9" s="25"/>
      <c r="S9" s="25"/>
      <c r="T9" s="26" t="s">
        <v>13</v>
      </c>
      <c r="U9" s="26"/>
      <c r="V9" s="26"/>
      <c r="W9" s="32">
        <f>SUM(W5:W8)</f>
        <v>316428471.80000001</v>
      </c>
      <c r="X9" s="32">
        <f>W9*0.21</f>
        <v>66449979.078000002</v>
      </c>
      <c r="Y9" s="32">
        <f>P16</f>
        <v>122240901.47827759</v>
      </c>
      <c r="Z9" s="32">
        <f>W9+X9-H16</f>
        <v>241539665.87800002</v>
      </c>
    </row>
    <row r="10" spans="2:26" x14ac:dyDescent="0.25">
      <c r="B10" s="26">
        <v>3</v>
      </c>
      <c r="C10" s="26" t="s">
        <v>2</v>
      </c>
      <c r="D10" s="26"/>
      <c r="E10" s="30">
        <f>E23+E33+E42+E53+E64</f>
        <v>4341.7899999999991</v>
      </c>
      <c r="F10" s="30">
        <f>F23+F33+F42+F53+F64</f>
        <v>4306.74</v>
      </c>
      <c r="G10" s="28">
        <f>G23+G33+G42+G53+G64</f>
        <v>4530.41</v>
      </c>
      <c r="H10" s="28">
        <v>46189894</v>
      </c>
      <c r="I10" s="73">
        <f>I23+I33+I42+I53+I64</f>
        <v>83678988.961756974</v>
      </c>
      <c r="J10" s="28">
        <f>H10/F10</f>
        <v>10725.02496087528</v>
      </c>
      <c r="K10" s="29">
        <f t="shared" si="0"/>
        <v>48588760.332998976</v>
      </c>
      <c r="L10" s="70">
        <f>K23+K33+K42+K53+K64</f>
        <v>48588647.25</v>
      </c>
      <c r="M10" s="26"/>
      <c r="N10" s="26"/>
      <c r="O10" s="26"/>
      <c r="P10" s="32">
        <f t="shared" si="1"/>
        <v>37489094.961756974</v>
      </c>
      <c r="Q10" s="26"/>
      <c r="R10" s="25"/>
      <c r="S10" s="25"/>
    </row>
    <row r="11" spans="2:26" x14ac:dyDescent="0.25">
      <c r="B11" s="26">
        <v>4</v>
      </c>
      <c r="C11" s="26" t="s">
        <v>61</v>
      </c>
      <c r="D11" s="26"/>
      <c r="E11" s="30">
        <f>E65</f>
        <v>1766.4</v>
      </c>
      <c r="F11" s="30">
        <f>F65</f>
        <v>1497.4</v>
      </c>
      <c r="G11" s="28">
        <f>G65</f>
        <v>1847</v>
      </c>
      <c r="H11" s="28">
        <v>5600126</v>
      </c>
      <c r="I11" s="73">
        <f>I65</f>
        <v>5797267.7410820844</v>
      </c>
      <c r="J11" s="28">
        <f>H11/F11</f>
        <v>3739.8998263657004</v>
      </c>
      <c r="K11" s="29">
        <f>G11*J11</f>
        <v>6907594.9792974489</v>
      </c>
      <c r="L11" s="29">
        <f>K65</f>
        <v>6907595.2999999998</v>
      </c>
      <c r="M11" s="26"/>
      <c r="N11" s="26"/>
      <c r="O11" s="26"/>
      <c r="P11" s="32">
        <f t="shared" si="1"/>
        <v>197141.74108208437</v>
      </c>
      <c r="Q11" s="26"/>
      <c r="R11" s="25"/>
      <c r="S11" s="25"/>
    </row>
    <row r="12" spans="2:26" x14ac:dyDescent="0.25">
      <c r="B12" s="26">
        <v>5</v>
      </c>
      <c r="C12" s="26" t="s">
        <v>62</v>
      </c>
      <c r="D12" s="26"/>
      <c r="E12" s="30">
        <f>E25+E35+E44+E55+E66</f>
        <v>10587.529999999999</v>
      </c>
      <c r="F12" s="30">
        <f>F25+F35+F44+F55+F66</f>
        <v>3458.35</v>
      </c>
      <c r="G12" s="28">
        <f>G25+G35+G44+G55+G66</f>
        <v>3821.81</v>
      </c>
      <c r="H12" s="28">
        <v>4755231</v>
      </c>
      <c r="I12" s="73">
        <f>(I25+I35++I44+I55++I66)</f>
        <v>9130422.3374083377</v>
      </c>
      <c r="J12" s="28">
        <f>H12/F12</f>
        <v>1374.9999277111917</v>
      </c>
      <c r="K12" s="29">
        <f t="shared" si="0"/>
        <v>5254988.4737259094</v>
      </c>
      <c r="L12" s="61">
        <f>K25+K35+K44+K55+K66</f>
        <v>5254988.75</v>
      </c>
      <c r="M12" s="26"/>
      <c r="N12" s="26"/>
      <c r="O12" s="26"/>
      <c r="P12" s="32">
        <f t="shared" si="1"/>
        <v>4375191.3374083377</v>
      </c>
      <c r="Q12" s="26"/>
      <c r="R12" s="25"/>
      <c r="S12" s="25"/>
    </row>
    <row r="13" spans="2:26" x14ac:dyDescent="0.25">
      <c r="B13" s="26">
        <v>6</v>
      </c>
      <c r="C13" s="26" t="s">
        <v>8</v>
      </c>
      <c r="D13" s="26"/>
      <c r="E13" s="30">
        <v>202</v>
      </c>
      <c r="F13" s="30">
        <v>235.24</v>
      </c>
      <c r="G13" s="28">
        <v>235.24</v>
      </c>
      <c r="H13" s="28">
        <v>14102638</v>
      </c>
      <c r="I13" s="73">
        <f>I36+I45+I56+I67</f>
        <v>23092864.199169405</v>
      </c>
      <c r="J13" s="28">
        <f t="shared" ref="J13:J15" si="2">H13/F13</f>
        <v>59950</v>
      </c>
      <c r="K13" s="29">
        <f t="shared" si="0"/>
        <v>14102638</v>
      </c>
      <c r="L13" s="70">
        <f>K67</f>
        <v>14102638</v>
      </c>
      <c r="M13" s="26"/>
      <c r="N13" s="26"/>
      <c r="O13" s="26"/>
      <c r="P13" s="32">
        <f t="shared" si="1"/>
        <v>8990226.1991694048</v>
      </c>
      <c r="Q13" s="26"/>
      <c r="R13" s="25"/>
      <c r="S13" s="25"/>
    </row>
    <row r="14" spans="2:26" x14ac:dyDescent="0.25">
      <c r="B14" s="26"/>
      <c r="C14" s="26" t="s">
        <v>49</v>
      </c>
      <c r="D14" s="26"/>
      <c r="E14" s="30">
        <v>128.69999999999999</v>
      </c>
      <c r="F14" s="64">
        <v>162.24</v>
      </c>
      <c r="G14" s="28"/>
      <c r="I14" s="73"/>
      <c r="J14" s="28">
        <f t="shared" si="2"/>
        <v>0</v>
      </c>
      <c r="K14" s="29">
        <f t="shared" si="0"/>
        <v>0</v>
      </c>
      <c r="L14" s="29"/>
      <c r="M14" s="26"/>
      <c r="N14" s="26"/>
      <c r="O14" s="26"/>
      <c r="P14" s="32">
        <f t="shared" si="1"/>
        <v>0</v>
      </c>
      <c r="Q14" s="26"/>
      <c r="R14" s="25"/>
      <c r="S14" s="25"/>
    </row>
    <row r="15" spans="2:26" x14ac:dyDescent="0.25">
      <c r="B15" s="26">
        <v>7</v>
      </c>
      <c r="C15" s="26" t="s">
        <v>58</v>
      </c>
      <c r="D15" s="69"/>
      <c r="E15" s="26"/>
      <c r="F15" s="64">
        <v>235.24</v>
      </c>
      <c r="G15" s="28">
        <f>F15</f>
        <v>235.24</v>
      </c>
      <c r="H15" s="28">
        <v>8151066</v>
      </c>
      <c r="I15" s="73">
        <f>I71+I72</f>
        <v>8809452.038306715</v>
      </c>
      <c r="J15" s="28">
        <f t="shared" si="2"/>
        <v>34650</v>
      </c>
      <c r="K15" s="29">
        <f>G15*J15</f>
        <v>8151066</v>
      </c>
      <c r="L15" s="70">
        <f>K71</f>
        <v>8151066</v>
      </c>
      <c r="M15" s="26"/>
      <c r="N15" s="26"/>
      <c r="O15" s="26"/>
      <c r="P15" s="85">
        <f>I15-H15</f>
        <v>658386.03830671497</v>
      </c>
      <c r="Q15" s="26"/>
      <c r="R15" s="25"/>
      <c r="S15" s="25"/>
    </row>
    <row r="16" spans="2:26" x14ac:dyDescent="0.25">
      <c r="B16" s="26"/>
      <c r="C16" s="26"/>
      <c r="D16" s="26"/>
      <c r="E16" s="26"/>
      <c r="F16" s="26"/>
      <c r="G16" s="26"/>
      <c r="H16" s="32">
        <f>SUM(H8:H15)</f>
        <v>141338785</v>
      </c>
      <c r="I16" s="75">
        <f>SUM(I8:I15)</f>
        <v>263579686.47827759</v>
      </c>
      <c r="J16" s="26"/>
      <c r="K16" s="29">
        <f>SUM(K8:K15)</f>
        <v>158754122.69496319</v>
      </c>
      <c r="L16" s="33">
        <f>SUM(L8:L15)</f>
        <v>158753750.19999999</v>
      </c>
      <c r="M16" s="26"/>
      <c r="N16" s="26"/>
      <c r="O16" s="26"/>
      <c r="P16" s="32">
        <f>SUM(P8:P15)</f>
        <v>122240901.47827759</v>
      </c>
      <c r="Q16" s="26"/>
      <c r="R16" s="25"/>
      <c r="S16" s="25"/>
    </row>
    <row r="17" spans="2:27" x14ac:dyDescent="0.25">
      <c r="B17" s="26"/>
      <c r="C17" s="26" t="s">
        <v>17</v>
      </c>
      <c r="D17" s="26"/>
      <c r="E17" s="26"/>
      <c r="F17" s="26"/>
      <c r="G17" s="26"/>
      <c r="H17" s="26"/>
      <c r="I17" s="72"/>
      <c r="J17" s="26"/>
      <c r="K17" s="33"/>
      <c r="L17" s="27"/>
      <c r="M17" s="26"/>
      <c r="N17" s="26"/>
      <c r="O17" s="26"/>
      <c r="P17" s="26"/>
      <c r="Q17" s="26"/>
      <c r="R17" s="25"/>
      <c r="S17" s="25"/>
      <c r="U17" s="26"/>
      <c r="V17" s="26" t="s">
        <v>70</v>
      </c>
      <c r="W17" s="26" t="s">
        <v>72</v>
      </c>
      <c r="X17" s="26" t="s">
        <v>73</v>
      </c>
      <c r="Y17" s="26" t="s">
        <v>74</v>
      </c>
      <c r="Z17" s="26" t="s">
        <v>75</v>
      </c>
      <c r="AA17" s="24" t="s">
        <v>56</v>
      </c>
    </row>
    <row r="18" spans="2:27" ht="6" customHeight="1" x14ac:dyDescent="0.25">
      <c r="B18" s="26"/>
      <c r="C18" s="26"/>
      <c r="D18" s="26"/>
      <c r="E18" s="26"/>
      <c r="F18" s="26"/>
      <c r="G18" s="26"/>
      <c r="H18" s="26"/>
      <c r="I18" s="72"/>
      <c r="J18" s="26"/>
      <c r="K18" s="27"/>
      <c r="L18" s="27"/>
      <c r="M18" s="26"/>
      <c r="N18" s="26"/>
      <c r="O18" s="26"/>
      <c r="P18" s="26"/>
      <c r="Q18" s="26"/>
      <c r="R18" s="25"/>
      <c r="S18" s="25"/>
      <c r="U18" s="26"/>
      <c r="V18" s="26"/>
      <c r="W18" s="26"/>
      <c r="X18" s="26"/>
      <c r="Y18" s="26"/>
      <c r="Z18" s="26"/>
    </row>
    <row r="19" spans="2:27" x14ac:dyDescent="0.25">
      <c r="B19" s="26"/>
      <c r="C19" s="26" t="s">
        <v>19</v>
      </c>
      <c r="D19" s="26"/>
      <c r="E19" s="34" t="s">
        <v>43</v>
      </c>
      <c r="F19" s="35" t="s">
        <v>44</v>
      </c>
      <c r="G19" s="26"/>
      <c r="H19" s="26"/>
      <c r="I19" s="72"/>
      <c r="J19" s="26"/>
      <c r="K19" s="27"/>
      <c r="L19" s="27"/>
      <c r="M19" s="26"/>
      <c r="N19" s="26"/>
      <c r="O19" s="26"/>
      <c r="P19" s="26"/>
      <c r="Q19" s="26"/>
      <c r="R19" s="25"/>
      <c r="S19" s="25"/>
      <c r="T19" s="78" t="s">
        <v>101</v>
      </c>
      <c r="U19" s="26" t="s">
        <v>19</v>
      </c>
      <c r="V19" s="32">
        <f>SUM(I21:I23)</f>
        <v>10594424.861128896</v>
      </c>
      <c r="W19" s="26"/>
      <c r="X19" s="32">
        <f>I25</f>
        <v>401551.14601750282</v>
      </c>
      <c r="Y19" s="26"/>
      <c r="Z19" s="26"/>
      <c r="AA19" s="66">
        <f>SUM(V19:Z19)</f>
        <v>10995976.007146399</v>
      </c>
    </row>
    <row r="20" spans="2:27" ht="5.45" customHeight="1" x14ac:dyDescent="0.25">
      <c r="B20" s="26"/>
      <c r="C20" s="26"/>
      <c r="D20" s="26"/>
      <c r="E20" s="36"/>
      <c r="F20" s="37"/>
      <c r="G20" s="26"/>
      <c r="H20" s="26"/>
      <c r="I20" s="72"/>
      <c r="J20" s="26"/>
      <c r="K20" s="27"/>
      <c r="L20" s="27"/>
      <c r="M20" s="26"/>
      <c r="N20" s="26"/>
      <c r="O20" s="26"/>
      <c r="P20" s="26"/>
      <c r="Q20" s="26"/>
      <c r="R20" s="25"/>
      <c r="S20" s="25"/>
      <c r="T20" s="78"/>
      <c r="U20" s="26"/>
      <c r="V20" s="26"/>
      <c r="W20" s="26"/>
      <c r="X20" s="26"/>
      <c r="Y20" s="26"/>
      <c r="Z20" s="26"/>
    </row>
    <row r="21" spans="2:27" x14ac:dyDescent="0.25">
      <c r="B21" s="26">
        <v>1</v>
      </c>
      <c r="C21" s="26" t="s">
        <v>14</v>
      </c>
      <c r="D21" s="26"/>
      <c r="E21" s="38">
        <f>F21</f>
        <v>1540.18</v>
      </c>
      <c r="F21" s="30">
        <v>1540.18</v>
      </c>
      <c r="G21" s="39">
        <f>F21</f>
        <v>1540.18</v>
      </c>
      <c r="H21" s="28"/>
      <c r="I21" s="76">
        <f>(M21+N21+O21)*G78</f>
        <v>5965134.3350173496</v>
      </c>
      <c r="J21" s="28">
        <v>4510</v>
      </c>
      <c r="K21" s="33">
        <f>G21*J21</f>
        <v>6946211.8000000007</v>
      </c>
      <c r="L21" s="27"/>
      <c r="M21" s="40">
        <f>5882136</f>
        <v>5882136</v>
      </c>
      <c r="N21" s="26"/>
      <c r="O21" s="83"/>
      <c r="P21" s="83"/>
      <c r="Q21" s="83"/>
      <c r="R21" s="84"/>
      <c r="S21" s="84"/>
      <c r="T21" s="78" t="s">
        <v>100</v>
      </c>
      <c r="U21" s="26" t="s">
        <v>71</v>
      </c>
      <c r="V21" s="32">
        <f>SUM(I31:I33,I40:I42,I51:I53)</f>
        <v>73400783.686832547</v>
      </c>
      <c r="W21" s="26"/>
      <c r="X21" s="32">
        <f>SUM(I35+I44+I55)</f>
        <v>5836650.9264194444</v>
      </c>
      <c r="Y21" s="32">
        <f>SUM(I36+I45+I56)</f>
        <v>9073972.3713815399</v>
      </c>
      <c r="Z21" s="32">
        <f>I71+I72</f>
        <v>8809452.038306715</v>
      </c>
      <c r="AA21" s="66">
        <f>SUM(V21:Z21)</f>
        <v>97120859.022940233</v>
      </c>
    </row>
    <row r="22" spans="2:27" x14ac:dyDescent="0.25">
      <c r="B22" s="26">
        <v>2</v>
      </c>
      <c r="C22" s="26" t="s">
        <v>15</v>
      </c>
      <c r="D22" s="26"/>
      <c r="E22" s="38">
        <f>F22</f>
        <v>635.17999999999995</v>
      </c>
      <c r="F22" s="30">
        <v>635.17999999999995</v>
      </c>
      <c r="G22" s="39">
        <v>635</v>
      </c>
      <c r="H22" s="28"/>
      <c r="I22" s="76">
        <f>(M22+N22+O22)*G78</f>
        <v>451372.35375746875</v>
      </c>
      <c r="J22" s="28">
        <v>3410</v>
      </c>
      <c r="K22" s="33">
        <f>G22*J22</f>
        <v>2165350</v>
      </c>
      <c r="L22" s="27"/>
      <c r="M22" s="40">
        <v>445092</v>
      </c>
      <c r="N22" s="26"/>
      <c r="O22" s="26"/>
      <c r="P22" s="26"/>
      <c r="Q22" s="26"/>
      <c r="R22" s="84"/>
      <c r="S22" s="84"/>
      <c r="T22" s="78" t="s">
        <v>99</v>
      </c>
      <c r="U22" s="26" t="s">
        <v>12</v>
      </c>
      <c r="V22" s="32">
        <f>SUM(I62:I64)</f>
        <v>132754471.61434962</v>
      </c>
      <c r="W22" s="32">
        <f>I65</f>
        <v>5797267.7410820844</v>
      </c>
      <c r="X22" s="32">
        <f>I66</f>
        <v>2892220.2649713908</v>
      </c>
      <c r="Y22" s="32">
        <f>I67</f>
        <v>14018891.827787863</v>
      </c>
      <c r="Z22" s="26"/>
      <c r="AA22" s="66">
        <f>SUM(V22:Z22)</f>
        <v>155462851.44819099</v>
      </c>
    </row>
    <row r="23" spans="2:27" x14ac:dyDescent="0.25">
      <c r="B23" s="26">
        <v>3</v>
      </c>
      <c r="C23" s="26" t="s">
        <v>16</v>
      </c>
      <c r="D23" s="26"/>
      <c r="E23" s="38">
        <v>309.39999999999998</v>
      </c>
      <c r="F23" s="30">
        <v>293.2</v>
      </c>
      <c r="G23" s="39">
        <f>F23</f>
        <v>293.2</v>
      </c>
      <c r="H23" s="28"/>
      <c r="I23" s="76">
        <f>(M23+N23+O23)*G78</f>
        <v>4177918.172354077</v>
      </c>
      <c r="J23" s="28">
        <v>10725</v>
      </c>
      <c r="K23" s="33">
        <f>G23*J23</f>
        <v>3144570</v>
      </c>
      <c r="L23" s="27"/>
      <c r="M23" s="40">
        <v>4119787</v>
      </c>
      <c r="N23" s="26"/>
      <c r="O23" s="26"/>
      <c r="P23" s="26"/>
      <c r="Q23" s="26"/>
      <c r="R23" s="84"/>
      <c r="S23" s="84"/>
      <c r="V23" s="66">
        <f>SUM(V19:V22)</f>
        <v>216749680.16231108</v>
      </c>
      <c r="W23" s="66">
        <f t="shared" ref="W23:Z23" si="3">SUM(W19:W22)</f>
        <v>5797267.7410820844</v>
      </c>
      <c r="X23" s="66">
        <f>SUM(X19:X22)*I6</f>
        <v>0</v>
      </c>
      <c r="Y23" s="66">
        <f t="shared" si="3"/>
        <v>23092864.199169405</v>
      </c>
      <c r="Z23" s="66">
        <f t="shared" si="3"/>
        <v>8809452.038306715</v>
      </c>
      <c r="AA23" s="66">
        <f>SUM(V23:Z23)</f>
        <v>254449264.14086926</v>
      </c>
    </row>
    <row r="24" spans="2:27" x14ac:dyDescent="0.25">
      <c r="B24" s="26">
        <v>4</v>
      </c>
      <c r="C24" s="26" t="s">
        <v>41</v>
      </c>
      <c r="D24" s="26"/>
      <c r="E24" s="38">
        <v>0</v>
      </c>
      <c r="F24" s="30">
        <v>0</v>
      </c>
      <c r="G24" s="39"/>
      <c r="H24" s="28"/>
      <c r="I24" s="76"/>
      <c r="J24" s="28">
        <v>3740</v>
      </c>
      <c r="K24" s="33">
        <f>G24*J24</f>
        <v>0</v>
      </c>
      <c r="L24" s="27"/>
      <c r="M24" s="40">
        <f t="shared" ref="M24" si="4">I24</f>
        <v>0</v>
      </c>
      <c r="N24" s="26"/>
      <c r="O24" s="26"/>
      <c r="P24" s="26"/>
      <c r="Q24" s="26"/>
      <c r="R24" s="25"/>
      <c r="S24" s="25"/>
      <c r="U24" s="24" t="s">
        <v>97</v>
      </c>
      <c r="V24" s="66">
        <f>SUM(I8:I10)</f>
        <v>216749680.16231108</v>
      </c>
      <c r="W24" s="66">
        <f>I11</f>
        <v>5797267.7410820844</v>
      </c>
      <c r="X24" s="66">
        <f>I12</f>
        <v>9130422.3374083377</v>
      </c>
      <c r="Y24" s="66">
        <f>I13</f>
        <v>23092864.199169405</v>
      </c>
      <c r="Z24" s="66">
        <f>I15</f>
        <v>8809452.038306715</v>
      </c>
      <c r="AA24" s="66">
        <f>I16</f>
        <v>263579686.47827759</v>
      </c>
    </row>
    <row r="25" spans="2:27" x14ac:dyDescent="0.25">
      <c r="B25" s="26">
        <v>5</v>
      </c>
      <c r="C25" s="26" t="s">
        <v>42</v>
      </c>
      <c r="D25" s="26"/>
      <c r="E25" s="38">
        <v>2511</v>
      </c>
      <c r="F25" s="30">
        <v>658.81</v>
      </c>
      <c r="G25" s="39">
        <f>F25</f>
        <v>658.81</v>
      </c>
      <c r="H25" s="28"/>
      <c r="I25" s="76">
        <f>(M25+N25+O25)*G78</f>
        <v>401551.14601750282</v>
      </c>
      <c r="J25" s="28">
        <v>1375</v>
      </c>
      <c r="K25" s="33">
        <f>G25*J25</f>
        <v>905863.74999999988</v>
      </c>
      <c r="L25" s="27"/>
      <c r="M25" s="40">
        <v>395964</v>
      </c>
      <c r="N25" s="26"/>
      <c r="O25" s="26"/>
      <c r="P25" s="26"/>
      <c r="Q25" s="26"/>
      <c r="R25" s="84"/>
      <c r="S25" s="84"/>
    </row>
    <row r="26" spans="2:27" x14ac:dyDescent="0.25">
      <c r="B26" s="26">
        <v>6</v>
      </c>
      <c r="C26" s="26" t="s">
        <v>45</v>
      </c>
      <c r="D26" s="26"/>
      <c r="E26" s="38"/>
      <c r="F26" s="30">
        <v>0</v>
      </c>
      <c r="G26" s="26"/>
      <c r="H26" s="28"/>
      <c r="I26" s="73">
        <v>0</v>
      </c>
      <c r="J26" s="26"/>
      <c r="K26" s="27"/>
      <c r="L26" s="27"/>
      <c r="M26" s="29"/>
      <c r="N26" s="26"/>
      <c r="O26" s="26"/>
      <c r="P26" s="26"/>
      <c r="Q26" s="26"/>
      <c r="R26" s="25"/>
      <c r="S26" s="25"/>
    </row>
    <row r="27" spans="2:27" x14ac:dyDescent="0.25">
      <c r="B27" s="26"/>
      <c r="C27" s="26"/>
      <c r="D27" s="26"/>
      <c r="E27" s="38"/>
      <c r="F27" s="30"/>
      <c r="G27" s="26"/>
      <c r="H27" s="28"/>
      <c r="I27" s="73"/>
      <c r="J27" s="26"/>
      <c r="K27" s="27"/>
      <c r="L27" s="27"/>
      <c r="M27" s="29"/>
      <c r="N27" s="26"/>
      <c r="O27" s="26"/>
      <c r="P27" s="26"/>
      <c r="Q27" s="26"/>
      <c r="R27" s="84"/>
      <c r="S27" s="84"/>
    </row>
    <row r="28" spans="2:27" ht="5.25" customHeight="1" x14ac:dyDescent="0.25">
      <c r="B28" s="26"/>
      <c r="C28" s="26"/>
      <c r="D28" s="26"/>
      <c r="E28" s="38"/>
      <c r="F28" s="30"/>
      <c r="G28" s="26"/>
      <c r="H28" s="28"/>
      <c r="I28" s="72"/>
      <c r="J28" s="26"/>
      <c r="K28" s="27"/>
      <c r="L28" s="27"/>
      <c r="M28" s="26"/>
      <c r="N28" s="26"/>
      <c r="O28" s="26"/>
      <c r="P28" s="26"/>
      <c r="Q28" s="26"/>
      <c r="R28" s="25"/>
      <c r="S28" s="25"/>
    </row>
    <row r="29" spans="2:27" x14ac:dyDescent="0.25">
      <c r="B29" s="26"/>
      <c r="C29" s="26" t="s">
        <v>9</v>
      </c>
      <c r="D29" s="26"/>
      <c r="E29" s="41"/>
      <c r="F29" s="42"/>
      <c r="G29" s="26"/>
      <c r="H29" s="28"/>
      <c r="I29" s="72"/>
      <c r="J29" s="26"/>
      <c r="K29" s="27"/>
      <c r="L29" s="27"/>
      <c r="M29" s="26"/>
      <c r="N29" s="26"/>
      <c r="O29" s="26"/>
      <c r="P29" s="26"/>
      <c r="Q29" s="26"/>
      <c r="R29" s="25"/>
      <c r="S29" s="25"/>
    </row>
    <row r="30" spans="2:27" ht="6" customHeight="1" x14ac:dyDescent="0.25">
      <c r="B30" s="26"/>
      <c r="C30" s="26"/>
      <c r="D30" s="26"/>
      <c r="E30" s="43"/>
      <c r="F30" s="44"/>
      <c r="G30" s="26"/>
      <c r="H30" s="28"/>
      <c r="I30" s="72"/>
      <c r="J30" s="26"/>
      <c r="K30" s="27"/>
      <c r="L30" s="27"/>
      <c r="M30" s="26"/>
      <c r="N30" s="26"/>
      <c r="O30" s="26"/>
      <c r="P30" s="26"/>
      <c r="Q30" s="26"/>
      <c r="R30" s="25"/>
      <c r="S30" s="25"/>
    </row>
    <row r="31" spans="2:27" x14ac:dyDescent="0.25">
      <c r="B31" s="26">
        <v>1</v>
      </c>
      <c r="C31" s="26" t="s">
        <v>14</v>
      </c>
      <c r="D31" s="26"/>
      <c r="E31" s="38">
        <v>1434.85</v>
      </c>
      <c r="F31" s="30">
        <v>1434.85</v>
      </c>
      <c r="G31" s="26">
        <v>1555</v>
      </c>
      <c r="I31" s="77">
        <f>(M31+N31+O31)*G84</f>
        <v>7796592.7470695945</v>
      </c>
      <c r="J31" s="28">
        <v>4510</v>
      </c>
      <c r="K31" s="33">
        <f>G31*J31</f>
        <v>7013050</v>
      </c>
      <c r="L31" s="27"/>
      <c r="M31" s="28">
        <v>7535734</v>
      </c>
      <c r="N31" s="28"/>
      <c r="O31" s="28"/>
      <c r="P31" s="28"/>
      <c r="Q31" s="28"/>
      <c r="R31" s="54"/>
      <c r="S31" s="54"/>
    </row>
    <row r="32" spans="2:27" x14ac:dyDescent="0.25">
      <c r="B32" s="26">
        <v>2</v>
      </c>
      <c r="C32" s="26" t="s">
        <v>15</v>
      </c>
      <c r="D32" s="26"/>
      <c r="E32" s="38">
        <v>572.1</v>
      </c>
      <c r="F32" s="30">
        <v>572.1</v>
      </c>
      <c r="G32" s="26">
        <v>597</v>
      </c>
      <c r="H32" s="28"/>
      <c r="I32" s="77">
        <f>(M32+N32+O32)*G84</f>
        <v>4956442.8866569698</v>
      </c>
      <c r="J32" s="28">
        <v>3410</v>
      </c>
      <c r="K32" s="33">
        <f>G32*J32</f>
        <v>2035770</v>
      </c>
      <c r="L32" s="27"/>
      <c r="M32" s="28">
        <v>4790610</v>
      </c>
      <c r="N32" s="28"/>
      <c r="O32" s="28"/>
      <c r="P32" s="28"/>
      <c r="Q32" s="28"/>
      <c r="R32" s="54"/>
      <c r="S32" s="54"/>
    </row>
    <row r="33" spans="2:21" x14ac:dyDescent="0.25">
      <c r="B33" s="26">
        <v>3</v>
      </c>
      <c r="C33" s="26" t="s">
        <v>16</v>
      </c>
      <c r="D33" s="26"/>
      <c r="E33" s="38">
        <v>454.2</v>
      </c>
      <c r="F33" s="30">
        <v>454.2</v>
      </c>
      <c r="G33" s="26">
        <v>499</v>
      </c>
      <c r="H33" s="28"/>
      <c r="I33" s="77">
        <f>(M33+N33+O33)*G84</f>
        <v>4896574.8181570489</v>
      </c>
      <c r="J33" s="28">
        <v>10725</v>
      </c>
      <c r="K33" s="33">
        <f>G33*J33</f>
        <v>5351775</v>
      </c>
      <c r="L33" s="27"/>
      <c r="M33" s="28">
        <v>4732745</v>
      </c>
      <c r="N33" s="28"/>
      <c r="O33" s="28"/>
      <c r="P33" s="28"/>
      <c r="Q33" s="28"/>
      <c r="R33" s="54"/>
      <c r="S33" s="54"/>
    </row>
    <row r="34" spans="2:21" x14ac:dyDescent="0.25">
      <c r="B34" s="26">
        <v>4</v>
      </c>
      <c r="C34" s="26" t="s">
        <v>41</v>
      </c>
      <c r="D34" s="26"/>
      <c r="E34" s="38">
        <v>0</v>
      </c>
      <c r="F34" s="30">
        <v>0</v>
      </c>
      <c r="G34" s="26"/>
      <c r="H34" s="28"/>
      <c r="I34" s="77">
        <f>(M34+N34+O34)*G84</f>
        <v>0</v>
      </c>
      <c r="J34" s="28">
        <v>3740</v>
      </c>
      <c r="K34" s="33">
        <f>G34*J34</f>
        <v>0</v>
      </c>
      <c r="L34" s="27"/>
      <c r="M34" s="28"/>
      <c r="N34" s="28"/>
      <c r="O34" s="28"/>
      <c r="P34" s="28"/>
      <c r="Q34" s="28"/>
      <c r="R34" s="54"/>
      <c r="S34" s="54"/>
    </row>
    <row r="35" spans="2:21" x14ac:dyDescent="0.25">
      <c r="B35" s="26">
        <v>5</v>
      </c>
      <c r="C35" s="26" t="s">
        <v>42</v>
      </c>
      <c r="D35" s="26"/>
      <c r="E35" s="38">
        <v>1004.03</v>
      </c>
      <c r="F35" s="30">
        <v>525.99</v>
      </c>
      <c r="G35" s="39">
        <v>546</v>
      </c>
      <c r="H35" s="28"/>
      <c r="I35" s="77">
        <f>(M35+N35+O35)*G84</f>
        <v>1507998.6871796171</v>
      </c>
      <c r="J35" s="28">
        <v>1375</v>
      </c>
      <c r="K35" s="33">
        <f>G35*J35</f>
        <v>750750</v>
      </c>
      <c r="L35" s="27"/>
      <c r="M35" s="28">
        <v>1124947</v>
      </c>
      <c r="N35" s="28">
        <v>-1076580</v>
      </c>
      <c r="O35" s="28">
        <v>1409177</v>
      </c>
      <c r="P35" s="28"/>
      <c r="Q35" s="28"/>
      <c r="R35" s="54"/>
      <c r="S35" s="54"/>
    </row>
    <row r="36" spans="2:21" x14ac:dyDescent="0.25">
      <c r="B36" s="26">
        <v>6</v>
      </c>
      <c r="C36" s="26" t="s">
        <v>45</v>
      </c>
      <c r="D36" s="26"/>
      <c r="E36" s="38"/>
      <c r="F36" s="30">
        <v>0</v>
      </c>
      <c r="G36" s="26"/>
      <c r="H36" s="28"/>
      <c r="I36" s="77">
        <f>(M36+N36+O36+R36)*G84</f>
        <v>2764784.2753126817</v>
      </c>
      <c r="J36" s="26"/>
      <c r="K36" s="27"/>
      <c r="L36" s="27"/>
      <c r="M36" s="28">
        <v>4134999</v>
      </c>
      <c r="N36" s="28">
        <v>-1230563</v>
      </c>
      <c r="O36" s="28"/>
      <c r="P36" s="28"/>
      <c r="Q36" s="28"/>
      <c r="R36" s="54">
        <v>-232156</v>
      </c>
      <c r="S36" s="54" t="s">
        <v>107</v>
      </c>
      <c r="T36" s="45"/>
      <c r="U36" s="45"/>
    </row>
    <row r="37" spans="2:21" ht="4.9000000000000004" customHeight="1" x14ac:dyDescent="0.25">
      <c r="B37" s="26"/>
      <c r="C37" s="26"/>
      <c r="D37" s="26"/>
      <c r="E37" s="38"/>
      <c r="F37" s="30"/>
      <c r="G37" s="26"/>
      <c r="H37" s="28"/>
      <c r="I37" s="73"/>
      <c r="J37" s="26"/>
      <c r="K37" s="27"/>
      <c r="L37" s="27"/>
      <c r="M37" s="28"/>
      <c r="N37" s="28"/>
      <c r="O37" s="28"/>
      <c r="P37" s="28"/>
      <c r="Q37" s="28"/>
      <c r="R37" s="54"/>
      <c r="S37" s="54"/>
    </row>
    <row r="38" spans="2:21" x14ac:dyDescent="0.25">
      <c r="B38" s="26"/>
      <c r="C38" s="26" t="s">
        <v>10</v>
      </c>
      <c r="D38" s="26"/>
      <c r="E38" s="43"/>
      <c r="F38" s="44"/>
      <c r="G38" s="26"/>
      <c r="H38" s="28"/>
      <c r="I38" s="73"/>
      <c r="J38" s="26"/>
      <c r="K38" s="27"/>
      <c r="L38" s="27"/>
      <c r="M38" s="28"/>
      <c r="N38" s="28"/>
      <c r="O38" s="28"/>
      <c r="P38" s="28"/>
      <c r="Q38" s="28"/>
      <c r="R38" s="54"/>
      <c r="S38" s="54"/>
    </row>
    <row r="39" spans="2:21" ht="4.5" customHeight="1" x14ac:dyDescent="0.25">
      <c r="B39" s="26"/>
      <c r="C39" s="26"/>
      <c r="D39" s="26"/>
      <c r="E39" s="43"/>
      <c r="F39" s="44"/>
      <c r="G39" s="26"/>
      <c r="H39" s="28"/>
      <c r="I39" s="73"/>
      <c r="J39" s="26"/>
      <c r="K39" s="27"/>
      <c r="L39" s="27"/>
      <c r="M39" s="28"/>
      <c r="N39" s="28"/>
      <c r="O39" s="28"/>
      <c r="P39" s="28"/>
      <c r="Q39" s="28"/>
      <c r="R39" s="54"/>
      <c r="S39" s="54"/>
    </row>
    <row r="40" spans="2:21" x14ac:dyDescent="0.25">
      <c r="B40" s="26">
        <v>1</v>
      </c>
      <c r="C40" s="26" t="s">
        <v>14</v>
      </c>
      <c r="D40" s="26"/>
      <c r="E40" s="38">
        <v>2268.2199999999998</v>
      </c>
      <c r="F40" s="30">
        <v>2268.62</v>
      </c>
      <c r="G40" s="26">
        <v>2442</v>
      </c>
      <c r="H40" s="28"/>
      <c r="I40" s="73">
        <f>(M40+N40+O40)*G84</f>
        <v>17851343.02944034</v>
      </c>
      <c r="J40" s="28">
        <v>4510</v>
      </c>
      <c r="K40" s="33">
        <f>G40*J40</f>
        <v>11013420</v>
      </c>
      <c r="L40" s="27"/>
      <c r="M40" s="28">
        <v>17254072</v>
      </c>
      <c r="N40" s="28"/>
      <c r="O40" s="28"/>
      <c r="P40" s="28"/>
      <c r="Q40" s="28"/>
      <c r="R40" s="54"/>
      <c r="S40" s="54"/>
    </row>
    <row r="41" spans="2:21" x14ac:dyDescent="0.25">
      <c r="B41" s="26">
        <v>2</v>
      </c>
      <c r="C41" s="26" t="s">
        <v>15</v>
      </c>
      <c r="D41" s="26"/>
      <c r="E41" s="38">
        <v>829.91</v>
      </c>
      <c r="F41" s="30">
        <v>829.91</v>
      </c>
      <c r="G41" s="46">
        <v>829.91</v>
      </c>
      <c r="H41" s="71">
        <v>811</v>
      </c>
      <c r="I41" s="73">
        <f>(M41+N41+O41)*G84</f>
        <v>7033296.3419825034</v>
      </c>
      <c r="J41" s="28">
        <v>3410</v>
      </c>
      <c r="K41" s="33">
        <f>G41*J41</f>
        <v>2829993.1</v>
      </c>
      <c r="L41" s="27"/>
      <c r="M41" s="28">
        <v>6797976</v>
      </c>
      <c r="N41" s="28"/>
      <c r="O41" s="28"/>
      <c r="P41" s="28"/>
      <c r="Q41" s="28"/>
      <c r="R41" s="54"/>
      <c r="S41" s="54"/>
    </row>
    <row r="42" spans="2:21" x14ac:dyDescent="0.25">
      <c r="B42" s="26">
        <v>3</v>
      </c>
      <c r="C42" s="26" t="s">
        <v>16</v>
      </c>
      <c r="D42" s="26"/>
      <c r="E42" s="38">
        <v>945.1</v>
      </c>
      <c r="F42" s="30">
        <v>945.1</v>
      </c>
      <c r="G42" s="68">
        <f>742+F47</f>
        <v>1028.27</v>
      </c>
      <c r="H42" s="71" t="s">
        <v>85</v>
      </c>
      <c r="I42" s="73">
        <f>(M42+N42+O42)*G84</f>
        <v>12282941.193010502</v>
      </c>
      <c r="J42" s="28">
        <v>10725</v>
      </c>
      <c r="K42" s="33">
        <f>G42*J42</f>
        <v>11028195.75</v>
      </c>
      <c r="L42" s="27"/>
      <c r="M42" s="28">
        <v>11871978</v>
      </c>
      <c r="N42" s="28"/>
      <c r="O42" s="28"/>
      <c r="P42" s="28"/>
      <c r="Q42" s="28"/>
      <c r="R42" s="54"/>
      <c r="S42" s="54"/>
    </row>
    <row r="43" spans="2:21" x14ac:dyDescent="0.25">
      <c r="B43" s="26">
        <v>4</v>
      </c>
      <c r="C43" s="26" t="s">
        <v>41</v>
      </c>
      <c r="D43" s="26"/>
      <c r="E43" s="38">
        <v>0</v>
      </c>
      <c r="F43" s="30">
        <v>0</v>
      </c>
      <c r="G43" s="26"/>
      <c r="H43" s="28"/>
      <c r="I43" s="73">
        <f t="shared" ref="I43" si="5">(M43+N43+O43)*G87</f>
        <v>0</v>
      </c>
      <c r="J43" s="28">
        <v>3740</v>
      </c>
      <c r="K43" s="33">
        <f>G43*J43</f>
        <v>0</v>
      </c>
      <c r="L43" s="27"/>
      <c r="M43" s="28"/>
      <c r="N43" s="28"/>
      <c r="O43" s="28"/>
      <c r="P43" s="28"/>
      <c r="Q43" s="28"/>
      <c r="R43" s="54"/>
      <c r="S43" s="54"/>
    </row>
    <row r="44" spans="2:21" x14ac:dyDescent="0.25">
      <c r="B44" s="26">
        <v>5</v>
      </c>
      <c r="C44" s="26" t="s">
        <v>42</v>
      </c>
      <c r="D44" s="26"/>
      <c r="E44" s="38">
        <v>1958.3</v>
      </c>
      <c r="F44" s="30">
        <v>1476.37</v>
      </c>
      <c r="G44" s="26">
        <v>1311</v>
      </c>
      <c r="H44" s="28"/>
      <c r="I44" s="73">
        <f>(M44+N44+O44)*G84</f>
        <v>2772808.7588396044</v>
      </c>
      <c r="J44" s="28">
        <v>1375</v>
      </c>
      <c r="K44" s="33">
        <f>G44*J44</f>
        <v>1802625</v>
      </c>
      <c r="L44" s="27"/>
      <c r="M44" s="28">
        <v>1126831</v>
      </c>
      <c r="N44" s="28">
        <v>-1073525</v>
      </c>
      <c r="O44" s="28">
        <v>2626730</v>
      </c>
      <c r="P44" s="28"/>
      <c r="Q44" s="28"/>
      <c r="R44" s="54"/>
      <c r="S44" s="54"/>
    </row>
    <row r="45" spans="2:21" x14ac:dyDescent="0.25">
      <c r="B45" s="26">
        <v>6</v>
      </c>
      <c r="C45" s="26" t="s">
        <v>45</v>
      </c>
      <c r="D45" s="26"/>
      <c r="E45" s="38">
        <v>0</v>
      </c>
      <c r="F45" s="30">
        <v>0</v>
      </c>
      <c r="G45" s="26"/>
      <c r="H45" s="28"/>
      <c r="I45" s="73">
        <f>(M45+N45+O45+R45)*G84</f>
        <v>3735788.1667197789</v>
      </c>
      <c r="J45" s="26"/>
      <c r="K45" s="27"/>
      <c r="L45" s="27"/>
      <c r="M45" s="28">
        <v>6995538</v>
      </c>
      <c r="N45" s="28">
        <v>-3154901</v>
      </c>
      <c r="O45" s="28"/>
      <c r="P45" s="28"/>
      <c r="Q45" s="28"/>
      <c r="R45" s="54">
        <v>-229841</v>
      </c>
      <c r="S45" s="54" t="s">
        <v>107</v>
      </c>
      <c r="T45" s="45"/>
      <c r="U45" s="45"/>
    </row>
    <row r="46" spans="2:21" x14ac:dyDescent="0.25">
      <c r="B46" s="26"/>
      <c r="C46" s="26" t="s">
        <v>47</v>
      </c>
      <c r="D46" s="26"/>
      <c r="E46" s="38">
        <v>129.69999999999999</v>
      </c>
      <c r="F46" s="30">
        <v>0</v>
      </c>
      <c r="G46" s="26"/>
      <c r="H46" s="28"/>
      <c r="I46" s="73"/>
      <c r="J46" s="26"/>
      <c r="K46" s="27"/>
      <c r="L46" s="27"/>
      <c r="M46" s="28"/>
      <c r="N46" s="28"/>
      <c r="O46" s="28"/>
      <c r="P46" s="28"/>
      <c r="Q46" s="28"/>
      <c r="R46" s="54"/>
      <c r="S46" s="54"/>
    </row>
    <row r="47" spans="2:21" x14ac:dyDescent="0.25">
      <c r="B47" s="26"/>
      <c r="C47" s="26" t="s">
        <v>48</v>
      </c>
      <c r="D47" s="26"/>
      <c r="E47" s="38">
        <v>0</v>
      </c>
      <c r="F47" s="30">
        <v>286.27</v>
      </c>
      <c r="G47" s="26"/>
      <c r="H47" s="28"/>
      <c r="I47" s="73"/>
      <c r="J47" s="26"/>
      <c r="K47" s="27"/>
      <c r="L47" s="27"/>
      <c r="M47" s="28"/>
      <c r="N47" s="28"/>
      <c r="O47" s="28"/>
      <c r="P47" s="28"/>
      <c r="Q47" s="28"/>
      <c r="R47" s="54"/>
      <c r="S47" s="54"/>
    </row>
    <row r="48" spans="2:21" ht="5.45" customHeight="1" x14ac:dyDescent="0.25">
      <c r="B48" s="26"/>
      <c r="C48" s="26"/>
      <c r="D48" s="26"/>
      <c r="E48" s="47"/>
      <c r="F48" s="26"/>
      <c r="G48" s="26"/>
      <c r="H48" s="28"/>
      <c r="I48" s="73"/>
      <c r="J48" s="26"/>
      <c r="K48" s="27"/>
      <c r="L48" s="27"/>
      <c r="M48" s="28"/>
      <c r="N48" s="28"/>
      <c r="O48" s="28"/>
      <c r="P48" s="28"/>
      <c r="Q48" s="28"/>
      <c r="R48" s="54"/>
      <c r="S48" s="54"/>
    </row>
    <row r="49" spans="1:21" x14ac:dyDescent="0.25">
      <c r="B49" s="26"/>
      <c r="C49" s="26" t="s">
        <v>11</v>
      </c>
      <c r="D49" s="26"/>
      <c r="E49" s="47"/>
      <c r="F49" s="26"/>
      <c r="G49" s="26"/>
      <c r="H49" s="28"/>
      <c r="I49" s="73"/>
      <c r="J49" s="26"/>
      <c r="K49" s="27"/>
      <c r="L49" s="27"/>
      <c r="M49" s="28"/>
      <c r="N49" s="28"/>
      <c r="O49" s="28"/>
      <c r="P49" s="28"/>
      <c r="Q49" s="28"/>
      <c r="R49" s="54"/>
      <c r="S49" s="54"/>
    </row>
    <row r="50" spans="1:21" ht="6.6" customHeight="1" x14ac:dyDescent="0.25">
      <c r="B50" s="26"/>
      <c r="C50" s="26"/>
      <c r="D50" s="26"/>
      <c r="E50" s="47"/>
      <c r="F50" s="26"/>
      <c r="G50" s="26"/>
      <c r="H50" s="28"/>
      <c r="I50" s="73"/>
      <c r="J50" s="26"/>
      <c r="K50" s="27"/>
      <c r="L50" s="27"/>
      <c r="M50" s="28"/>
      <c r="N50" s="28"/>
      <c r="O50" s="28"/>
      <c r="P50" s="28"/>
      <c r="Q50" s="28"/>
      <c r="R50" s="54"/>
      <c r="S50" s="54"/>
    </row>
    <row r="51" spans="1:21" x14ac:dyDescent="0.25">
      <c r="B51" s="26">
        <v>1</v>
      </c>
      <c r="C51" s="26" t="s">
        <v>14</v>
      </c>
      <c r="D51" s="26"/>
      <c r="E51" s="38">
        <v>1059.8399999999999</v>
      </c>
      <c r="F51" s="30">
        <v>1059.8399999999999</v>
      </c>
      <c r="G51" s="26">
        <v>1732</v>
      </c>
      <c r="H51" s="28"/>
      <c r="I51" s="73">
        <f>(M51+N51+O51)*G84</f>
        <v>8892081.6640000734</v>
      </c>
      <c r="J51" s="28">
        <v>4510</v>
      </c>
      <c r="K51" s="33">
        <f>G51*J51</f>
        <v>7811320</v>
      </c>
      <c r="L51" s="27"/>
      <c r="M51" s="28">
        <v>8594570</v>
      </c>
      <c r="N51" s="28"/>
      <c r="O51" s="28"/>
      <c r="P51" s="28"/>
      <c r="Q51" s="28"/>
      <c r="R51" s="54"/>
      <c r="S51" s="54"/>
    </row>
    <row r="52" spans="1:21" x14ac:dyDescent="0.25">
      <c r="B52" s="26">
        <v>2</v>
      </c>
      <c r="C52" s="26" t="s">
        <v>15</v>
      </c>
      <c r="D52" s="26"/>
      <c r="E52" s="38">
        <v>676.57</v>
      </c>
      <c r="F52" s="30">
        <v>676.57</v>
      </c>
      <c r="G52" s="26">
        <v>683</v>
      </c>
      <c r="H52" s="28"/>
      <c r="I52" s="73">
        <f>(M52+N52+O52)*G84</f>
        <v>5453648.4112228891</v>
      </c>
      <c r="J52" s="28">
        <v>3410</v>
      </c>
      <c r="K52" s="33">
        <f>G52*J52</f>
        <v>2329030</v>
      </c>
      <c r="L52" s="27"/>
      <c r="M52" s="28">
        <v>5271180</v>
      </c>
      <c r="N52" s="28"/>
      <c r="O52" s="28"/>
      <c r="P52" s="28"/>
      <c r="Q52" s="28"/>
      <c r="R52" s="54"/>
      <c r="S52" s="54"/>
    </row>
    <row r="53" spans="1:21" x14ac:dyDescent="0.25">
      <c r="B53" s="26">
        <v>3</v>
      </c>
      <c r="C53" s="26" t="s">
        <v>16</v>
      </c>
      <c r="D53" s="26"/>
      <c r="E53" s="38">
        <v>378.1</v>
      </c>
      <c r="F53" s="30">
        <v>378.1</v>
      </c>
      <c r="G53" s="26">
        <v>443</v>
      </c>
      <c r="H53" s="28"/>
      <c r="I53" s="73">
        <f>(M53+N53+O53)*G84</f>
        <v>4237862.5952926213</v>
      </c>
      <c r="J53" s="28">
        <v>10725</v>
      </c>
      <c r="K53" s="33">
        <f>G53*J53</f>
        <v>4751175</v>
      </c>
      <c r="L53" s="27"/>
      <c r="M53" s="28">
        <v>4096072</v>
      </c>
      <c r="N53" s="28"/>
      <c r="O53" s="28"/>
      <c r="P53" s="28"/>
      <c r="Q53" s="28"/>
      <c r="R53" s="54"/>
      <c r="S53" s="54"/>
    </row>
    <row r="54" spans="1:21" x14ac:dyDescent="0.25">
      <c r="B54" s="26">
        <v>4</v>
      </c>
      <c r="C54" s="26" t="s">
        <v>37</v>
      </c>
      <c r="D54" s="26"/>
      <c r="E54" s="38">
        <v>0</v>
      </c>
      <c r="F54" s="30">
        <v>0</v>
      </c>
      <c r="G54" s="26"/>
      <c r="H54" s="28"/>
      <c r="I54" s="73">
        <f>(M54+N54+O54)*G84</f>
        <v>0</v>
      </c>
      <c r="J54" s="28">
        <v>3740</v>
      </c>
      <c r="K54" s="27"/>
      <c r="L54" s="27"/>
      <c r="M54" s="28"/>
      <c r="N54" s="28"/>
      <c r="O54" s="28"/>
      <c r="P54" s="28"/>
      <c r="Q54" s="28"/>
      <c r="R54" s="54"/>
      <c r="S54" s="54"/>
    </row>
    <row r="55" spans="1:21" x14ac:dyDescent="0.25">
      <c r="B55" s="26">
        <v>5</v>
      </c>
      <c r="C55" s="26" t="s">
        <v>31</v>
      </c>
      <c r="D55" s="26"/>
      <c r="E55" s="38">
        <v>514.20000000000005</v>
      </c>
      <c r="F55" s="30">
        <v>493.27</v>
      </c>
      <c r="G55" s="26">
        <v>490</v>
      </c>
      <c r="H55" s="28"/>
      <c r="I55" s="73">
        <f>(M55+N55+O55)*G84</f>
        <v>1555843.4804002228</v>
      </c>
      <c r="J55" s="28">
        <v>1375</v>
      </c>
      <c r="K55" s="33">
        <f>G55*J55</f>
        <v>673750</v>
      </c>
      <c r="L55" s="27"/>
      <c r="M55" s="28">
        <v>357962</v>
      </c>
      <c r="N55" s="28">
        <v>-324962</v>
      </c>
      <c r="O55" s="28">
        <v>1470788</v>
      </c>
      <c r="P55" s="28"/>
      <c r="Q55" s="28"/>
      <c r="R55" s="54"/>
      <c r="S55" s="54"/>
    </row>
    <row r="56" spans="1:21" x14ac:dyDescent="0.25">
      <c r="B56" s="48">
        <v>6</v>
      </c>
      <c r="C56" s="48" t="s">
        <v>30</v>
      </c>
      <c r="D56" s="26"/>
      <c r="E56" s="49"/>
      <c r="F56" s="50"/>
      <c r="G56" s="26"/>
      <c r="H56" s="28"/>
      <c r="I56" s="77">
        <f>(M56+N56+O56+R56)*G84</f>
        <v>2573399.9293490797</v>
      </c>
      <c r="J56" s="26"/>
      <c r="K56" s="27"/>
      <c r="L56" s="27"/>
      <c r="M56" s="28">
        <v>4090511</v>
      </c>
      <c r="N56" s="28">
        <v>-1378788</v>
      </c>
      <c r="O56" s="28"/>
      <c r="P56" s="28"/>
      <c r="Q56" s="28"/>
      <c r="R56" s="54">
        <v>-224424</v>
      </c>
      <c r="S56" s="54" t="s">
        <v>107</v>
      </c>
      <c r="T56" s="45"/>
      <c r="U56" s="45"/>
    </row>
    <row r="57" spans="1:21" x14ac:dyDescent="0.25">
      <c r="A57" s="25"/>
      <c r="B57" s="51"/>
      <c r="C57" s="51"/>
      <c r="D57" s="52"/>
      <c r="E57" s="53"/>
      <c r="F57" s="53"/>
      <c r="G57" s="25"/>
      <c r="H57" s="54"/>
      <c r="I57" s="79"/>
      <c r="J57" s="25"/>
      <c r="K57" s="25"/>
      <c r="L57" s="25"/>
      <c r="M57" s="54"/>
      <c r="N57" s="54"/>
      <c r="O57" s="54"/>
      <c r="P57" s="54"/>
      <c r="Q57" s="54"/>
      <c r="R57" s="54"/>
      <c r="S57" s="54"/>
    </row>
    <row r="58" spans="1:21" x14ac:dyDescent="0.25">
      <c r="A58" s="25"/>
      <c r="B58" s="25"/>
      <c r="C58" s="25"/>
      <c r="D58" s="52"/>
      <c r="E58" s="55"/>
      <c r="F58" s="55"/>
      <c r="G58" s="25"/>
      <c r="H58" s="54"/>
      <c r="I58" s="54"/>
      <c r="J58" s="25"/>
      <c r="K58" s="25"/>
      <c r="L58" s="25"/>
      <c r="M58" s="54"/>
      <c r="N58" s="54"/>
      <c r="O58" s="54"/>
      <c r="P58" s="54"/>
      <c r="Q58" s="54"/>
      <c r="R58" s="54"/>
      <c r="S58" s="54"/>
    </row>
    <row r="59" spans="1:21" s="25" customFormat="1" ht="6" customHeight="1" x14ac:dyDescent="0.25">
      <c r="B59" s="56"/>
      <c r="C59" s="56"/>
      <c r="D59" s="57"/>
      <c r="E59" s="58"/>
      <c r="F59" s="58"/>
      <c r="H59" s="59"/>
      <c r="I59" s="79"/>
      <c r="J59" s="56"/>
      <c r="K59" s="56"/>
      <c r="L59" s="56"/>
      <c r="M59" s="59"/>
      <c r="N59" s="59"/>
      <c r="O59" s="59"/>
      <c r="P59" s="54"/>
      <c r="Q59" s="54"/>
      <c r="R59" s="54"/>
      <c r="S59" s="54"/>
    </row>
    <row r="60" spans="1:21" x14ac:dyDescent="0.25">
      <c r="B60" s="26"/>
      <c r="C60" s="26" t="s">
        <v>12</v>
      </c>
      <c r="D60" s="80"/>
      <c r="E60" s="42" t="s">
        <v>43</v>
      </c>
      <c r="F60" s="42" t="s">
        <v>44</v>
      </c>
      <c r="G60" s="26"/>
      <c r="H60" s="28"/>
      <c r="I60" s="77"/>
      <c r="J60" s="26"/>
      <c r="K60" s="26"/>
      <c r="L60" s="26"/>
      <c r="M60" s="28"/>
      <c r="N60" s="28"/>
      <c r="O60" s="28"/>
      <c r="P60" s="28"/>
      <c r="Q60" s="28"/>
      <c r="R60" s="54"/>
      <c r="S60" s="54"/>
    </row>
    <row r="61" spans="1:21" ht="5.45" customHeight="1" x14ac:dyDescent="0.25">
      <c r="B61" s="26"/>
      <c r="C61" s="26"/>
      <c r="D61" s="60"/>
      <c r="E61" s="30"/>
      <c r="F61" s="30"/>
      <c r="G61" s="26"/>
      <c r="H61" s="28"/>
      <c r="I61" s="77"/>
      <c r="J61" s="26"/>
      <c r="K61" s="26"/>
      <c r="L61" s="26"/>
      <c r="M61" s="28"/>
      <c r="N61" s="28"/>
      <c r="O61" s="28"/>
      <c r="P61" s="28"/>
      <c r="Q61" s="28"/>
      <c r="R61" s="54"/>
      <c r="S61" s="54"/>
    </row>
    <row r="62" spans="1:21" x14ac:dyDescent="0.25">
      <c r="B62" s="26">
        <v>1</v>
      </c>
      <c r="C62" s="26" t="s">
        <v>14</v>
      </c>
      <c r="D62" s="26"/>
      <c r="E62" s="30">
        <v>3756.82</v>
      </c>
      <c r="F62" s="30">
        <v>3779.66</v>
      </c>
      <c r="G62" s="26">
        <v>5635</v>
      </c>
      <c r="H62" s="28"/>
      <c r="I62" s="77">
        <f>(M62+N62+O62)*G87</f>
        <v>49084285.439532563</v>
      </c>
      <c r="J62" s="28">
        <v>4510</v>
      </c>
      <c r="K62" s="32">
        <f t="shared" ref="K62:K70" si="6">G62*J62</f>
        <v>25413850</v>
      </c>
      <c r="L62" s="26"/>
      <c r="M62" s="28">
        <v>47476316</v>
      </c>
      <c r="N62" s="28"/>
      <c r="O62" s="28"/>
      <c r="P62" s="28"/>
      <c r="Q62" s="28"/>
      <c r="R62" s="54"/>
      <c r="S62" s="54"/>
    </row>
    <row r="63" spans="1:21" x14ac:dyDescent="0.25">
      <c r="B63" s="26">
        <v>2</v>
      </c>
      <c r="C63" s="26" t="s">
        <v>15</v>
      </c>
      <c r="D63" s="26"/>
      <c r="E63" s="30">
        <v>2254.9899999999998</v>
      </c>
      <c r="F63" s="30">
        <v>2290.5</v>
      </c>
      <c r="G63" s="26">
        <v>2402</v>
      </c>
      <c r="H63" s="28"/>
      <c r="I63" s="77">
        <f>(M63+N63+O63)*G87</f>
        <v>25586493.991874333</v>
      </c>
      <c r="J63" s="28">
        <v>3410</v>
      </c>
      <c r="K63" s="32">
        <f t="shared" si="6"/>
        <v>8190820</v>
      </c>
      <c r="L63" s="26"/>
      <c r="M63" s="28">
        <v>24748297</v>
      </c>
      <c r="N63" s="28"/>
      <c r="O63" s="28"/>
      <c r="P63" s="28"/>
      <c r="Q63" s="28"/>
      <c r="R63" s="54"/>
      <c r="S63" s="54"/>
    </row>
    <row r="64" spans="1:21" x14ac:dyDescent="0.25">
      <c r="B64" s="26">
        <v>3</v>
      </c>
      <c r="C64" s="26" t="s">
        <v>16</v>
      </c>
      <c r="D64" s="26"/>
      <c r="E64" s="30">
        <v>2254.9899999999998</v>
      </c>
      <c r="F64" s="30">
        <v>2236.14</v>
      </c>
      <c r="G64" s="26">
        <v>2266.94</v>
      </c>
      <c r="H64" s="28"/>
      <c r="I64" s="77">
        <f>(M64+N64+O64)*G87</f>
        <v>58083692.182942718</v>
      </c>
      <c r="J64" s="28">
        <v>10725</v>
      </c>
      <c r="K64" s="32">
        <f t="shared" si="6"/>
        <v>24312931.5</v>
      </c>
      <c r="L64" s="26"/>
      <c r="M64" s="28">
        <v>55970136</v>
      </c>
      <c r="N64" s="28">
        <f>-(537738+507682)</f>
        <v>-1045420</v>
      </c>
      <c r="O64" s="28">
        <f>730683+135768+389741</f>
        <v>1256192</v>
      </c>
      <c r="P64" s="28"/>
      <c r="Q64" s="28"/>
      <c r="R64" s="54"/>
      <c r="S64" s="54"/>
    </row>
    <row r="65" spans="2:19" x14ac:dyDescent="0.25">
      <c r="B65" s="26">
        <v>4</v>
      </c>
      <c r="C65" s="26" t="s">
        <v>37</v>
      </c>
      <c r="D65" s="60"/>
      <c r="E65" s="30">
        <v>1766.4</v>
      </c>
      <c r="F65" s="30">
        <v>1497.4</v>
      </c>
      <c r="G65" s="26">
        <v>1847</v>
      </c>
      <c r="H65" s="28"/>
      <c r="I65" s="77">
        <f>(M65+N65+O65)*G87</f>
        <v>5797267.7410820844</v>
      </c>
      <c r="J65" s="28">
        <v>3739.9</v>
      </c>
      <c r="K65" s="32">
        <f>G65*J65</f>
        <v>6907595.2999999998</v>
      </c>
      <c r="L65" s="26"/>
      <c r="M65" s="28"/>
      <c r="N65" s="28">
        <v>-2143248</v>
      </c>
      <c r="O65" s="28">
        <v>7750601</v>
      </c>
      <c r="P65" s="28"/>
      <c r="Q65" s="28"/>
      <c r="R65" s="54"/>
      <c r="S65" s="54"/>
    </row>
    <row r="66" spans="2:19" x14ac:dyDescent="0.25">
      <c r="B66" s="26">
        <v>5</v>
      </c>
      <c r="C66" s="26" t="s">
        <v>31</v>
      </c>
      <c r="D66" s="60"/>
      <c r="E66" s="30">
        <v>4600</v>
      </c>
      <c r="F66" s="30">
        <v>303.91000000000003</v>
      </c>
      <c r="G66" s="39">
        <v>816</v>
      </c>
      <c r="H66" s="28"/>
      <c r="I66" s="77">
        <f>(M66+N66+O66)*G87</f>
        <v>2892220.2649713908</v>
      </c>
      <c r="J66" s="31">
        <v>1375</v>
      </c>
      <c r="K66" s="81">
        <f t="shared" si="6"/>
        <v>1122000</v>
      </c>
      <c r="L66" s="26"/>
      <c r="M66" s="28">
        <v>2797473</v>
      </c>
      <c r="N66" s="28"/>
      <c r="O66" s="28"/>
      <c r="P66" s="28"/>
      <c r="Q66" s="28"/>
      <c r="R66" s="54"/>
      <c r="S66" s="54"/>
    </row>
    <row r="67" spans="2:19" x14ac:dyDescent="0.25">
      <c r="B67" s="26">
        <v>6</v>
      </c>
      <c r="C67" s="26" t="s">
        <v>30</v>
      </c>
      <c r="D67" s="60"/>
      <c r="E67" s="64">
        <v>201.6</v>
      </c>
      <c r="F67" s="30">
        <v>235.24</v>
      </c>
      <c r="G67" s="26">
        <v>235.24</v>
      </c>
      <c r="H67" s="28"/>
      <c r="I67" s="77">
        <f>(M67+N67+O67)*G87</f>
        <v>14018891.827787863</v>
      </c>
      <c r="J67" s="28">
        <v>59950</v>
      </c>
      <c r="K67" s="32">
        <f>G67*J67</f>
        <v>14102638</v>
      </c>
      <c r="L67" s="26"/>
      <c r="M67" s="28">
        <v>10859995</v>
      </c>
      <c r="N67" s="28"/>
      <c r="O67" s="28">
        <v>2699647</v>
      </c>
      <c r="P67" s="28"/>
      <c r="Q67" s="28"/>
      <c r="R67" s="54"/>
      <c r="S67" s="54"/>
    </row>
    <row r="68" spans="2:19" x14ac:dyDescent="0.25">
      <c r="B68" s="26"/>
      <c r="C68" s="26" t="s">
        <v>46</v>
      </c>
      <c r="D68" s="60"/>
      <c r="E68" s="30">
        <v>128.69999999999999</v>
      </c>
      <c r="F68" s="68">
        <v>162.24</v>
      </c>
      <c r="G68" s="26">
        <v>235.2</v>
      </c>
      <c r="H68" s="28"/>
      <c r="I68" s="77">
        <f>(M68+N68+O68)*G93</f>
        <v>0</v>
      </c>
      <c r="J68" s="28"/>
      <c r="K68" s="32">
        <f t="shared" si="6"/>
        <v>0</v>
      </c>
      <c r="L68" s="26"/>
      <c r="M68" s="28"/>
      <c r="N68" s="28"/>
      <c r="O68" s="28"/>
      <c r="P68" s="28"/>
      <c r="Q68" s="28"/>
      <c r="R68" s="54"/>
      <c r="S68" s="54"/>
    </row>
    <row r="69" spans="2:19" x14ac:dyDescent="0.25">
      <c r="B69" s="25"/>
      <c r="C69" s="25"/>
      <c r="D69" s="52"/>
      <c r="E69" s="55"/>
      <c r="F69" s="55"/>
      <c r="G69" s="25"/>
      <c r="H69" s="54"/>
      <c r="I69" s="28"/>
      <c r="J69" s="54"/>
      <c r="K69" s="62"/>
      <c r="L69" s="25"/>
      <c r="M69" s="54"/>
      <c r="N69" s="54"/>
      <c r="O69" s="54"/>
      <c r="P69" s="54"/>
      <c r="Q69" s="54"/>
      <c r="R69" s="54"/>
      <c r="S69" s="54"/>
    </row>
    <row r="70" spans="2:19" x14ac:dyDescent="0.25">
      <c r="B70" s="26">
        <v>7</v>
      </c>
      <c r="C70" s="26" t="s">
        <v>35</v>
      </c>
      <c r="D70" s="63"/>
      <c r="E70" s="64"/>
      <c r="F70" s="64">
        <v>110</v>
      </c>
      <c r="G70" s="26"/>
      <c r="H70" s="28"/>
      <c r="I70" s="77">
        <f>(M70+N70+O70)*G95</f>
        <v>0</v>
      </c>
      <c r="J70" s="28"/>
      <c r="K70" s="32">
        <f t="shared" si="6"/>
        <v>0</v>
      </c>
      <c r="L70" s="26"/>
      <c r="M70" s="28"/>
      <c r="N70" s="28"/>
      <c r="O70" s="28"/>
      <c r="P70" s="28"/>
      <c r="Q70" s="28"/>
      <c r="R70" s="54"/>
      <c r="S70" s="54"/>
    </row>
    <row r="71" spans="2:19" x14ac:dyDescent="0.25">
      <c r="B71" s="26"/>
      <c r="C71" s="26" t="s">
        <v>34</v>
      </c>
      <c r="D71" s="63"/>
      <c r="E71" s="64"/>
      <c r="F71" s="68">
        <v>235.24</v>
      </c>
      <c r="G71" s="26">
        <v>235.24</v>
      </c>
      <c r="H71" s="28"/>
      <c r="I71" s="77">
        <f>(M71+N71+O71)*G84</f>
        <v>8099269.7269305093</v>
      </c>
      <c r="J71" s="28">
        <v>34650</v>
      </c>
      <c r="K71" s="32">
        <f>G71*J71</f>
        <v>8151066</v>
      </c>
      <c r="L71" s="26"/>
      <c r="M71" s="28"/>
      <c r="N71" s="28"/>
      <c r="O71" s="28">
        <v>7828284</v>
      </c>
      <c r="P71" s="28"/>
      <c r="Q71" s="28"/>
      <c r="R71" s="54"/>
      <c r="S71" s="54"/>
    </row>
    <row r="72" spans="2:19" x14ac:dyDescent="0.25">
      <c r="B72" s="26"/>
      <c r="C72" s="26" t="s">
        <v>108</v>
      </c>
      <c r="D72" s="26"/>
      <c r="E72" s="26"/>
      <c r="F72" s="26"/>
      <c r="G72" s="26"/>
      <c r="H72" s="28"/>
      <c r="I72" s="77">
        <f>-(R36+R45+R56)*G84</f>
        <v>710182.31137620553</v>
      </c>
      <c r="J72" s="26"/>
      <c r="K72" s="26"/>
      <c r="L72" s="26"/>
      <c r="M72" s="28"/>
      <c r="N72" s="28"/>
      <c r="O72" s="28"/>
      <c r="P72" s="28"/>
      <c r="Q72" s="28"/>
      <c r="R72" s="54"/>
      <c r="S72" s="54"/>
    </row>
    <row r="76" spans="2:19" x14ac:dyDescent="0.25">
      <c r="C76" s="24" t="s">
        <v>66</v>
      </c>
      <c r="D76" s="45"/>
      <c r="E76" s="45" t="s">
        <v>66</v>
      </c>
      <c r="F76" s="45" t="s">
        <v>98</v>
      </c>
      <c r="G76" s="45"/>
      <c r="H76" s="54"/>
      <c r="I76" s="45"/>
    </row>
    <row r="77" spans="2:19" ht="15.75" thickBot="1" x14ac:dyDescent="0.3">
      <c r="C77" s="45" t="s">
        <v>19</v>
      </c>
      <c r="E77" s="45">
        <v>166950</v>
      </c>
      <c r="F77" s="45">
        <f>11998785-E77</f>
        <v>11831835</v>
      </c>
      <c r="G77" s="65">
        <f>E77/F77</f>
        <v>1.4110237338502439E-2</v>
      </c>
      <c r="H77" s="54"/>
      <c r="I77" s="45"/>
    </row>
    <row r="78" spans="2:19" ht="15.75" thickBot="1" x14ac:dyDescent="0.3">
      <c r="C78" s="45" t="s">
        <v>76</v>
      </c>
      <c r="E78" s="45"/>
      <c r="F78" s="45"/>
      <c r="G78" s="82">
        <f>G77+1</f>
        <v>1.0141102373385025</v>
      </c>
      <c r="H78" s="54"/>
      <c r="I78" s="45"/>
    </row>
    <row r="79" spans="2:19" x14ac:dyDescent="0.25">
      <c r="C79" s="45"/>
      <c r="E79" s="45"/>
      <c r="F79" s="45"/>
      <c r="G79" s="65"/>
      <c r="H79" s="54"/>
      <c r="I79" s="45"/>
    </row>
    <row r="80" spans="2:19" x14ac:dyDescent="0.25">
      <c r="C80" s="45" t="s">
        <v>9</v>
      </c>
      <c r="E80" s="45">
        <v>1035246</v>
      </c>
      <c r="F80" s="45">
        <v>27625981</v>
      </c>
      <c r="G80" s="65">
        <f>E80/F80</f>
        <v>3.7473637587747563E-2</v>
      </c>
      <c r="H80" s="54"/>
      <c r="I80" s="45"/>
    </row>
    <row r="81" spans="2:12" x14ac:dyDescent="0.25">
      <c r="C81" s="45" t="s">
        <v>10</v>
      </c>
      <c r="E81" s="45">
        <v>1781276</v>
      </c>
      <c r="F81" s="45">
        <v>59394724</v>
      </c>
      <c r="G81" s="65">
        <f>E81/F81</f>
        <v>2.9990475248272894E-2</v>
      </c>
      <c r="H81" s="54"/>
      <c r="I81" s="45"/>
    </row>
    <row r="82" spans="2:12" x14ac:dyDescent="0.25">
      <c r="C82" s="45" t="s">
        <v>11</v>
      </c>
      <c r="E82" s="45">
        <v>1026601</v>
      </c>
      <c r="F82" s="45">
        <v>28215265</v>
      </c>
      <c r="G82" s="65">
        <f>E82/F82</f>
        <v>3.6384595359993964E-2</v>
      </c>
      <c r="H82" s="54"/>
      <c r="I82" s="45"/>
    </row>
    <row r="83" spans="2:12" ht="15.75" thickBot="1" x14ac:dyDescent="0.3">
      <c r="C83" s="45" t="s">
        <v>67</v>
      </c>
      <c r="E83" s="45">
        <f>SUM(E80:E82)</f>
        <v>3843123</v>
      </c>
      <c r="F83" s="45">
        <f>SUM(F80:F82)-E83</f>
        <v>111392847</v>
      </c>
      <c r="G83" s="65">
        <f>SUM(G80:G82)/3</f>
        <v>3.4616236065338139E-2</v>
      </c>
      <c r="H83" s="54"/>
      <c r="I83" s="45"/>
    </row>
    <row r="84" spans="2:12" ht="15.75" thickBot="1" x14ac:dyDescent="0.3">
      <c r="C84" s="45" t="s">
        <v>76</v>
      </c>
      <c r="E84" s="45"/>
      <c r="F84" s="45"/>
      <c r="G84" s="82">
        <f>G83+1</f>
        <v>1.0346162360653381</v>
      </c>
      <c r="H84" s="54"/>
      <c r="I84" s="45"/>
    </row>
    <row r="85" spans="2:12" x14ac:dyDescent="0.25">
      <c r="C85" s="45"/>
      <c r="E85" s="45"/>
      <c r="F85" s="45"/>
      <c r="G85" s="65"/>
      <c r="H85" s="54"/>
      <c r="I85" s="45"/>
    </row>
    <row r="86" spans="2:12" ht="15.75" thickBot="1" x14ac:dyDescent="0.3">
      <c r="C86" s="45" t="s">
        <v>12</v>
      </c>
      <c r="E86" s="45">
        <v>5172026</v>
      </c>
      <c r="F86" s="45">
        <f>157879369-E86</f>
        <v>152707343</v>
      </c>
      <c r="G86" s="65">
        <f>E86/F86</f>
        <v>3.386887557856337E-2</v>
      </c>
      <c r="H86" s="54"/>
      <c r="I86" s="45"/>
    </row>
    <row r="87" spans="2:12" ht="15.75" thickBot="1" x14ac:dyDescent="0.3">
      <c r="C87" s="45" t="s">
        <v>76</v>
      </c>
      <c r="E87" s="45"/>
      <c r="F87" s="45"/>
      <c r="G87" s="82">
        <f>1+G86</f>
        <v>1.0338688755785634</v>
      </c>
      <c r="H87" s="54"/>
      <c r="I87" s="45"/>
    </row>
    <row r="88" spans="2:12" x14ac:dyDescent="0.25">
      <c r="D88" s="45"/>
      <c r="E88" s="45"/>
      <c r="F88" s="45"/>
      <c r="G88" s="45"/>
      <c r="H88" s="54"/>
      <c r="I88" s="45"/>
    </row>
    <row r="89" spans="2:12" x14ac:dyDescent="0.25">
      <c r="D89" s="45"/>
      <c r="E89" s="45"/>
      <c r="F89" s="45"/>
    </row>
    <row r="91" spans="2:12" x14ac:dyDescent="0.25">
      <c r="D91" s="66"/>
      <c r="E91" s="66"/>
    </row>
    <row r="92" spans="2:12" x14ac:dyDescent="0.25">
      <c r="B92" s="45"/>
      <c r="C92" s="45"/>
      <c r="D92" s="45"/>
      <c r="E92" s="45"/>
      <c r="F92" s="45"/>
    </row>
    <row r="95" spans="2:12" x14ac:dyDescent="0.25">
      <c r="L95" s="45"/>
    </row>
    <row r="96" spans="2:12" x14ac:dyDescent="0.25">
      <c r="J96" s="45"/>
      <c r="L96" s="45"/>
    </row>
    <row r="97" spans="4:21" x14ac:dyDescent="0.25">
      <c r="J97" s="45"/>
      <c r="K97" s="45"/>
      <c r="L97" s="45"/>
    </row>
    <row r="98" spans="4:21" x14ac:dyDescent="0.25">
      <c r="E98" s="66"/>
      <c r="F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</row>
    <row r="99" spans="4:21" x14ac:dyDescent="0.25">
      <c r="E99" s="66"/>
      <c r="F99" s="45"/>
      <c r="J99" s="45"/>
      <c r="K99" s="45"/>
      <c r="L99" s="45"/>
    </row>
    <row r="100" spans="4:21" x14ac:dyDescent="0.25">
      <c r="D100" s="45"/>
      <c r="E100" s="45"/>
      <c r="F100" s="45"/>
      <c r="J100" s="45"/>
      <c r="K100" s="45"/>
      <c r="L100" s="67"/>
    </row>
    <row r="101" spans="4:21" x14ac:dyDescent="0.25">
      <c r="D101" s="45"/>
      <c r="E101" s="45"/>
      <c r="F101" s="45"/>
      <c r="J101" s="45"/>
      <c r="K101" s="67"/>
      <c r="L101" s="45"/>
    </row>
    <row r="102" spans="4:21" x14ac:dyDescent="0.25">
      <c r="D102" s="45"/>
      <c r="E102" s="45"/>
      <c r="F102" s="45"/>
      <c r="J102" s="45"/>
      <c r="K102" s="45"/>
      <c r="L102" s="45"/>
    </row>
    <row r="103" spans="4:21" x14ac:dyDescent="0.25">
      <c r="D103" s="45"/>
      <c r="E103" s="45"/>
      <c r="F103" s="45"/>
      <c r="J103" s="45"/>
      <c r="K103" s="45"/>
      <c r="L103" s="45"/>
    </row>
    <row r="104" spans="4:21" x14ac:dyDescent="0.25">
      <c r="K104" s="45"/>
    </row>
    <row r="109" spans="4:21" x14ac:dyDescent="0.25">
      <c r="E109" s="66"/>
      <c r="F109" s="45"/>
    </row>
    <row r="110" spans="4:21" x14ac:dyDescent="0.25">
      <c r="E110" s="66"/>
      <c r="F110" s="45"/>
    </row>
    <row r="111" spans="4:21" x14ac:dyDescent="0.25">
      <c r="D111" s="45"/>
      <c r="E111" s="45"/>
      <c r="F111" s="45"/>
    </row>
    <row r="112" spans="4:21" x14ac:dyDescent="0.25">
      <c r="D112" s="45"/>
      <c r="E112" s="45"/>
      <c r="F112" s="45"/>
    </row>
    <row r="113" spans="4:6" x14ac:dyDescent="0.25">
      <c r="D113" s="45"/>
      <c r="E113" s="45"/>
      <c r="F113" s="45"/>
    </row>
    <row r="114" spans="4:6" x14ac:dyDescent="0.25">
      <c r="D114" s="45"/>
      <c r="E114" s="45"/>
      <c r="F114" s="45"/>
    </row>
    <row r="115" spans="4:6" x14ac:dyDescent="0.25">
      <c r="D115" s="45"/>
      <c r="E115" s="45"/>
      <c r="F115" s="4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94"/>
  <sheetViews>
    <sheetView workbookViewId="0">
      <selection activeCell="G44" sqref="G44"/>
    </sheetView>
  </sheetViews>
  <sheetFormatPr defaultRowHeight="15" x14ac:dyDescent="0.25"/>
  <cols>
    <col min="1" max="1" width="2" customWidth="1"/>
    <col min="2" max="2" width="4.7109375" customWidth="1"/>
    <col min="3" max="3" width="22.42578125" customWidth="1"/>
    <col min="4" max="4" width="13.5703125" customWidth="1"/>
    <col min="5" max="5" width="14.5703125" customWidth="1"/>
    <col min="6" max="6" width="13.7109375" customWidth="1"/>
    <col min="7" max="8" width="14.5703125" customWidth="1"/>
    <col min="9" max="9" width="15.42578125" bestFit="1" customWidth="1"/>
    <col min="10" max="10" width="17.5703125" customWidth="1"/>
    <col min="11" max="11" width="4.28515625" customWidth="1"/>
    <col min="12" max="14" width="13" customWidth="1"/>
    <col min="15" max="15" width="14" customWidth="1"/>
    <col min="16" max="16" width="13.85546875" customWidth="1"/>
    <col min="17" max="17" width="15" bestFit="1" customWidth="1"/>
    <col min="18" max="18" width="12.7109375" bestFit="1" customWidth="1"/>
    <col min="19" max="19" width="14.28515625" customWidth="1"/>
    <col min="20" max="21" width="12.7109375" bestFit="1" customWidth="1"/>
    <col min="22" max="24" width="14" bestFit="1" customWidth="1"/>
  </cols>
  <sheetData>
    <row r="2" spans="2:20" x14ac:dyDescent="0.25">
      <c r="C2" t="s">
        <v>0</v>
      </c>
    </row>
    <row r="4" spans="2:20" x14ac:dyDescent="0.25">
      <c r="H4" t="s">
        <v>38</v>
      </c>
      <c r="I4" s="21">
        <v>45386</v>
      </c>
      <c r="L4" t="s">
        <v>39</v>
      </c>
    </row>
    <row r="5" spans="2:20" x14ac:dyDescent="0.25">
      <c r="C5" t="s">
        <v>26</v>
      </c>
      <c r="H5" s="19" t="s">
        <v>5</v>
      </c>
      <c r="I5" s="20" t="s">
        <v>5</v>
      </c>
      <c r="J5" s="2" t="s">
        <v>6</v>
      </c>
      <c r="K5" s="2"/>
      <c r="L5" s="2"/>
      <c r="M5" s="2"/>
      <c r="N5" s="2"/>
      <c r="O5" s="2" t="s">
        <v>18</v>
      </c>
      <c r="P5" s="2"/>
      <c r="Q5" s="2"/>
      <c r="R5" s="2"/>
      <c r="S5" s="2"/>
      <c r="T5" s="2"/>
    </row>
    <row r="6" spans="2:20" x14ac:dyDescent="0.25">
      <c r="B6">
        <v>1</v>
      </c>
      <c r="C6" t="s">
        <v>1</v>
      </c>
      <c r="H6" s="13">
        <v>10096.799999999999</v>
      </c>
      <c r="I6" s="2">
        <v>10083</v>
      </c>
      <c r="J6" s="2">
        <v>45536568</v>
      </c>
      <c r="K6" s="2"/>
      <c r="L6" s="2">
        <f>I21</f>
        <v>10592.3</v>
      </c>
      <c r="M6" s="2"/>
      <c r="N6" s="2"/>
      <c r="O6" s="2">
        <f>I48</f>
        <v>12905.8</v>
      </c>
      <c r="P6" s="2"/>
      <c r="Q6" s="2"/>
      <c r="R6" s="2"/>
      <c r="S6" s="2"/>
      <c r="T6" s="2"/>
    </row>
    <row r="7" spans="2:20" x14ac:dyDescent="0.25">
      <c r="B7">
        <v>2</v>
      </c>
      <c r="C7" t="s">
        <v>27</v>
      </c>
      <c r="H7" s="13">
        <v>5004</v>
      </c>
      <c r="I7" s="2">
        <v>5004</v>
      </c>
      <c r="J7" s="2">
        <v>17065004</v>
      </c>
      <c r="K7" s="2"/>
      <c r="L7" s="2">
        <f>I22</f>
        <v>4577.5</v>
      </c>
      <c r="M7" s="2"/>
      <c r="N7" s="2"/>
      <c r="O7" s="2">
        <f>I49</f>
        <v>4535.6000000000004</v>
      </c>
      <c r="P7" s="2"/>
      <c r="Q7" s="2"/>
      <c r="R7" s="2"/>
      <c r="S7" s="2"/>
      <c r="T7" s="2"/>
    </row>
    <row r="8" spans="2:20" x14ac:dyDescent="0.25">
      <c r="B8">
        <v>3</v>
      </c>
      <c r="C8" t="s">
        <v>2</v>
      </c>
      <c r="F8" s="14"/>
      <c r="H8" s="13">
        <v>4341.51</v>
      </c>
      <c r="I8" s="2">
        <v>4306.8</v>
      </c>
      <c r="J8" s="2">
        <v>46562695</v>
      </c>
      <c r="K8" s="2"/>
      <c r="L8" s="2">
        <f>I24</f>
        <v>4543.5</v>
      </c>
      <c r="M8" s="2"/>
      <c r="N8" s="2"/>
      <c r="O8" s="2">
        <f>I50</f>
        <v>4260.3999999999996</v>
      </c>
      <c r="P8" s="2"/>
      <c r="Q8" s="2"/>
      <c r="R8" s="2"/>
      <c r="S8" s="2"/>
      <c r="T8" s="2"/>
    </row>
    <row r="9" spans="2:20" x14ac:dyDescent="0.25">
      <c r="B9">
        <v>4</v>
      </c>
      <c r="C9" t="s">
        <v>3</v>
      </c>
      <c r="H9" s="13">
        <v>1766.4</v>
      </c>
      <c r="I9" s="2">
        <v>1497</v>
      </c>
      <c r="J9" s="2">
        <v>6606336</v>
      </c>
      <c r="K9" s="2"/>
      <c r="L9" s="2"/>
      <c r="M9" s="2"/>
      <c r="N9" s="2"/>
      <c r="O9" s="2">
        <f>I51</f>
        <v>1847</v>
      </c>
      <c r="P9" s="2"/>
      <c r="Q9" s="2"/>
      <c r="R9" s="2"/>
      <c r="S9" s="2"/>
      <c r="T9" s="2"/>
    </row>
    <row r="10" spans="2:20" x14ac:dyDescent="0.25">
      <c r="B10">
        <v>5</v>
      </c>
      <c r="C10" t="s">
        <v>4</v>
      </c>
      <c r="F10" s="15"/>
      <c r="H10" s="13">
        <v>10587.6</v>
      </c>
      <c r="I10" s="2">
        <v>3458.35</v>
      </c>
      <c r="J10" s="2">
        <v>14557909</v>
      </c>
      <c r="K10" s="2"/>
      <c r="L10" s="2"/>
      <c r="M10" s="2"/>
      <c r="N10" s="2"/>
      <c r="O10" s="2">
        <f>I52</f>
        <v>3311</v>
      </c>
      <c r="P10" s="2"/>
      <c r="Q10" s="2"/>
      <c r="R10" s="2"/>
      <c r="S10" s="2"/>
      <c r="T10" s="2"/>
    </row>
    <row r="11" spans="2:20" x14ac:dyDescent="0.25">
      <c r="B11">
        <v>6</v>
      </c>
      <c r="C11" t="s">
        <v>8</v>
      </c>
      <c r="H11" s="13">
        <v>201.6</v>
      </c>
      <c r="I11" s="1">
        <v>235.24</v>
      </c>
      <c r="J11" s="2">
        <v>12085920</v>
      </c>
      <c r="K11" s="2"/>
      <c r="L11" s="2"/>
      <c r="M11" s="2"/>
      <c r="N11" s="2"/>
      <c r="O11" s="2">
        <v>235</v>
      </c>
      <c r="P11" s="2"/>
      <c r="Q11" s="2"/>
      <c r="R11" s="2"/>
      <c r="S11" s="2"/>
      <c r="T11" s="2"/>
    </row>
    <row r="12" spans="2:20" x14ac:dyDescent="0.25">
      <c r="B12">
        <v>7</v>
      </c>
      <c r="C12" t="s">
        <v>7</v>
      </c>
      <c r="I12" s="2"/>
      <c r="J12" s="2">
        <v>6985440</v>
      </c>
      <c r="K12" s="2"/>
      <c r="L12" s="2"/>
      <c r="M12" s="2"/>
      <c r="N12" s="2"/>
      <c r="O12" s="2">
        <f>J81</f>
        <v>0</v>
      </c>
      <c r="P12" s="2"/>
      <c r="Q12" s="2"/>
      <c r="R12" s="2"/>
      <c r="S12" s="2"/>
      <c r="T12" s="2"/>
    </row>
    <row r="13" spans="2:20" x14ac:dyDescent="0.25">
      <c r="B13" s="6">
        <v>8</v>
      </c>
      <c r="C13" s="6" t="s">
        <v>29</v>
      </c>
      <c r="D13" s="6"/>
      <c r="I13" s="2">
        <v>0</v>
      </c>
      <c r="J13" s="2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x14ac:dyDescent="0.25">
      <c r="B14" s="6">
        <v>9</v>
      </c>
      <c r="C14" s="6" t="s">
        <v>28</v>
      </c>
      <c r="D14" s="6"/>
      <c r="I14" s="2">
        <v>0</v>
      </c>
      <c r="J14" s="2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x14ac:dyDescent="0.25">
      <c r="J15" s="3">
        <f>SUM(J6:J14)</f>
        <v>149399872</v>
      </c>
    </row>
    <row r="18" spans="2:9" x14ac:dyDescent="0.25">
      <c r="C18" t="s">
        <v>17</v>
      </c>
    </row>
    <row r="19" spans="2:9" x14ac:dyDescent="0.25">
      <c r="D19" t="s">
        <v>20</v>
      </c>
    </row>
    <row r="20" spans="2:9" x14ac:dyDescent="0.25">
      <c r="D20" s="22" t="s">
        <v>19</v>
      </c>
      <c r="E20" s="18" t="s">
        <v>9</v>
      </c>
      <c r="F20" s="18" t="s">
        <v>10</v>
      </c>
      <c r="G20" s="19" t="s">
        <v>11</v>
      </c>
      <c r="H20" s="19" t="s">
        <v>12</v>
      </c>
      <c r="I20" s="16" t="s">
        <v>13</v>
      </c>
    </row>
    <row r="21" spans="2:9" x14ac:dyDescent="0.25">
      <c r="B21">
        <v>1</v>
      </c>
      <c r="C21" t="s">
        <v>14</v>
      </c>
      <c r="D21" s="9">
        <v>1540.8</v>
      </c>
      <c r="E21">
        <v>1471.4</v>
      </c>
      <c r="F21">
        <v>2208.1999999999998</v>
      </c>
      <c r="G21">
        <v>1511</v>
      </c>
      <c r="H21">
        <v>3860.9</v>
      </c>
      <c r="I21">
        <f>D21+E21+F21+G21+H21</f>
        <v>10592.3</v>
      </c>
    </row>
    <row r="22" spans="2:9" x14ac:dyDescent="0.25">
      <c r="B22">
        <v>2</v>
      </c>
      <c r="C22" t="s">
        <v>15</v>
      </c>
      <c r="D22" s="9">
        <v>7.6</v>
      </c>
      <c r="E22">
        <v>586.9</v>
      </c>
      <c r="F22">
        <v>829.9</v>
      </c>
      <c r="G22">
        <v>693.8</v>
      </c>
      <c r="H22">
        <v>2459.3000000000002</v>
      </c>
      <c r="I22">
        <f t="shared" ref="I22:I29" si="0">D22+E22+F22+G22+H22</f>
        <v>4577.5</v>
      </c>
    </row>
    <row r="23" spans="2:9" x14ac:dyDescent="0.25">
      <c r="B23" s="6">
        <v>9</v>
      </c>
      <c r="C23" s="6" t="s">
        <v>23</v>
      </c>
      <c r="D23" s="6">
        <v>645.9</v>
      </c>
      <c r="E23" s="6">
        <v>714.4</v>
      </c>
      <c r="F23" s="6">
        <v>147.80000000000001</v>
      </c>
      <c r="G23" s="6">
        <v>745.5</v>
      </c>
      <c r="H23" s="6">
        <v>1501.9</v>
      </c>
      <c r="I23" s="6">
        <f t="shared" si="0"/>
        <v>3755.5</v>
      </c>
    </row>
    <row r="24" spans="2:9" x14ac:dyDescent="0.25">
      <c r="B24">
        <v>3</v>
      </c>
      <c r="C24" t="s">
        <v>16</v>
      </c>
      <c r="D24" s="9">
        <v>309.39999999999998</v>
      </c>
      <c r="E24">
        <v>454.2</v>
      </c>
      <c r="F24">
        <v>945.1</v>
      </c>
      <c r="G24">
        <v>378.1</v>
      </c>
      <c r="H24">
        <v>2456.6999999999998</v>
      </c>
      <c r="I24">
        <f t="shared" si="0"/>
        <v>4543.5</v>
      </c>
    </row>
    <row r="25" spans="2:9" x14ac:dyDescent="0.25">
      <c r="B25">
        <v>4</v>
      </c>
      <c r="C25" t="s">
        <v>41</v>
      </c>
      <c r="D25" s="9"/>
    </row>
    <row r="26" spans="2:9" x14ac:dyDescent="0.25">
      <c r="B26">
        <v>5</v>
      </c>
      <c r="C26" t="s">
        <v>42</v>
      </c>
      <c r="D26" s="9"/>
    </row>
    <row r="27" spans="2:9" x14ac:dyDescent="0.25">
      <c r="C27" t="s">
        <v>22</v>
      </c>
      <c r="D27" s="9"/>
      <c r="E27">
        <v>23</v>
      </c>
      <c r="F27">
        <v>0</v>
      </c>
      <c r="G27">
        <v>0</v>
      </c>
      <c r="H27">
        <v>217.9</v>
      </c>
      <c r="I27">
        <f t="shared" si="0"/>
        <v>240.9</v>
      </c>
    </row>
    <row r="28" spans="2:9" x14ac:dyDescent="0.25">
      <c r="C28" t="s">
        <v>24</v>
      </c>
      <c r="D28" s="9">
        <v>35.799999999999997</v>
      </c>
      <c r="E28">
        <v>11.5</v>
      </c>
      <c r="F28">
        <v>829.8</v>
      </c>
      <c r="G28">
        <v>0</v>
      </c>
      <c r="H28">
        <v>0</v>
      </c>
      <c r="I28">
        <f t="shared" si="0"/>
        <v>877.09999999999991</v>
      </c>
    </row>
    <row r="29" spans="2:9" x14ac:dyDescent="0.25">
      <c r="B29" s="6">
        <v>8</v>
      </c>
      <c r="C29" s="6" t="s">
        <v>25</v>
      </c>
      <c r="D29" s="6">
        <v>635.1</v>
      </c>
      <c r="E29" s="6">
        <v>0</v>
      </c>
      <c r="F29" s="6">
        <v>0</v>
      </c>
      <c r="G29" s="6">
        <v>0</v>
      </c>
      <c r="H29" s="6">
        <v>1575.7</v>
      </c>
      <c r="I29" s="6">
        <f t="shared" si="0"/>
        <v>2210.8000000000002</v>
      </c>
    </row>
    <row r="30" spans="2:9" x14ac:dyDescent="0.25">
      <c r="D30" s="8"/>
    </row>
    <row r="31" spans="2:9" x14ac:dyDescent="0.25">
      <c r="C31" t="s">
        <v>17</v>
      </c>
    </row>
    <row r="32" spans="2:9" x14ac:dyDescent="0.25">
      <c r="D32" t="s">
        <v>40</v>
      </c>
    </row>
    <row r="33" spans="2:17" x14ac:dyDescent="0.25">
      <c r="D33" s="23" t="s">
        <v>19</v>
      </c>
      <c r="E33" s="19" t="s">
        <v>9</v>
      </c>
      <c r="F33" s="18" t="s">
        <v>10</v>
      </c>
      <c r="G33" s="19" t="s">
        <v>11</v>
      </c>
      <c r="H33" s="19" t="s">
        <v>12</v>
      </c>
      <c r="I33" s="17" t="s">
        <v>13</v>
      </c>
    </row>
    <row r="34" spans="2:17" x14ac:dyDescent="0.25">
      <c r="B34">
        <v>1</v>
      </c>
      <c r="C34" t="s">
        <v>14</v>
      </c>
      <c r="D34" s="9">
        <v>1540.8</v>
      </c>
      <c r="E34">
        <v>1434.85</v>
      </c>
      <c r="F34">
        <v>2268.2199999999998</v>
      </c>
      <c r="G34">
        <v>1059.8399999999999</v>
      </c>
      <c r="H34">
        <v>3779.66</v>
      </c>
      <c r="I34">
        <f>D34+E34+F34+G34+H34</f>
        <v>10083.369999999999</v>
      </c>
    </row>
    <row r="35" spans="2:17" x14ac:dyDescent="0.25">
      <c r="B35">
        <v>2</v>
      </c>
      <c r="C35" t="s">
        <v>15</v>
      </c>
      <c r="D35" s="9">
        <v>7.6</v>
      </c>
      <c r="E35">
        <v>572.1</v>
      </c>
      <c r="F35">
        <v>829.91</v>
      </c>
      <c r="G35">
        <v>676.57</v>
      </c>
      <c r="H35">
        <v>2290.5</v>
      </c>
      <c r="I35">
        <f t="shared" ref="I35:I42" si="1">D35+E35+F35+G35+H35</f>
        <v>4376.68</v>
      </c>
    </row>
    <row r="36" spans="2:17" x14ac:dyDescent="0.25">
      <c r="B36" s="6">
        <v>9</v>
      </c>
      <c r="C36" s="6" t="s">
        <v>23</v>
      </c>
      <c r="D36" s="6">
        <v>645.9</v>
      </c>
      <c r="E36" s="6">
        <v>714.4</v>
      </c>
      <c r="F36" s="6">
        <v>147.80000000000001</v>
      </c>
      <c r="G36" s="6">
        <v>745.5</v>
      </c>
      <c r="H36" s="6">
        <v>1501.9</v>
      </c>
      <c r="I36" s="6">
        <f t="shared" si="1"/>
        <v>3755.5</v>
      </c>
    </row>
    <row r="37" spans="2:17" x14ac:dyDescent="0.25">
      <c r="B37">
        <v>3</v>
      </c>
      <c r="C37" t="s">
        <v>16</v>
      </c>
      <c r="D37" s="9">
        <v>309.39999999999998</v>
      </c>
      <c r="E37">
        <v>454.2</v>
      </c>
      <c r="F37">
        <v>945.1</v>
      </c>
      <c r="G37">
        <v>378.1</v>
      </c>
      <c r="H37">
        <v>2236.14</v>
      </c>
      <c r="I37">
        <f t="shared" si="1"/>
        <v>4322.9399999999996</v>
      </c>
    </row>
    <row r="38" spans="2:17" x14ac:dyDescent="0.25">
      <c r="B38">
        <v>4</v>
      </c>
      <c r="C38" t="s">
        <v>41</v>
      </c>
      <c r="D38" s="9"/>
      <c r="I38">
        <f t="shared" si="1"/>
        <v>0</v>
      </c>
    </row>
    <row r="39" spans="2:17" x14ac:dyDescent="0.25">
      <c r="B39">
        <v>5</v>
      </c>
      <c r="C39" t="s">
        <v>42</v>
      </c>
      <c r="D39" s="9"/>
      <c r="E39">
        <v>526</v>
      </c>
      <c r="F39">
        <v>1476.37</v>
      </c>
      <c r="G39">
        <v>493.27</v>
      </c>
      <c r="H39">
        <v>303.91000000000003</v>
      </c>
      <c r="I39">
        <f t="shared" si="1"/>
        <v>2799.5499999999997</v>
      </c>
      <c r="Q39" t="s">
        <v>50</v>
      </c>
    </row>
    <row r="40" spans="2:17" x14ac:dyDescent="0.25">
      <c r="C40" t="s">
        <v>22</v>
      </c>
      <c r="D40" s="9"/>
      <c r="E40">
        <v>23</v>
      </c>
      <c r="F40">
        <v>0</v>
      </c>
      <c r="G40">
        <v>0</v>
      </c>
      <c r="H40">
        <v>217.9</v>
      </c>
      <c r="I40">
        <f t="shared" si="1"/>
        <v>240.9</v>
      </c>
    </row>
    <row r="41" spans="2:17" x14ac:dyDescent="0.25">
      <c r="C41" t="s">
        <v>24</v>
      </c>
      <c r="D41" s="9">
        <v>35.799999999999997</v>
      </c>
      <c r="E41">
        <v>11.5</v>
      </c>
      <c r="F41">
        <v>829.8</v>
      </c>
      <c r="G41">
        <v>0</v>
      </c>
      <c r="H41">
        <v>0</v>
      </c>
      <c r="I41">
        <f t="shared" si="1"/>
        <v>877.09999999999991</v>
      </c>
    </row>
    <row r="42" spans="2:17" x14ac:dyDescent="0.25">
      <c r="B42" s="6">
        <v>8</v>
      </c>
      <c r="C42" s="6" t="s">
        <v>25</v>
      </c>
      <c r="D42" s="6">
        <v>635.1</v>
      </c>
      <c r="E42" s="6">
        <v>0</v>
      </c>
      <c r="F42" s="6">
        <v>0</v>
      </c>
      <c r="G42" s="6">
        <v>0</v>
      </c>
      <c r="H42" s="6">
        <v>1575.7</v>
      </c>
      <c r="I42" s="6">
        <f t="shared" si="1"/>
        <v>2210.8000000000002</v>
      </c>
    </row>
    <row r="46" spans="2:17" x14ac:dyDescent="0.25">
      <c r="D46" t="s">
        <v>36</v>
      </c>
    </row>
    <row r="47" spans="2:17" x14ac:dyDescent="0.25">
      <c r="D47" t="s">
        <v>19</v>
      </c>
      <c r="E47" t="s">
        <v>9</v>
      </c>
      <c r="F47" t="s">
        <v>10</v>
      </c>
      <c r="G47" t="s">
        <v>11</v>
      </c>
      <c r="H47" t="s">
        <v>12</v>
      </c>
      <c r="I47" t="s">
        <v>13</v>
      </c>
    </row>
    <row r="48" spans="2:17" x14ac:dyDescent="0.25">
      <c r="B48">
        <v>1</v>
      </c>
      <c r="C48" t="s">
        <v>14</v>
      </c>
      <c r="D48" s="12">
        <v>1540.8</v>
      </c>
      <c r="E48">
        <v>1555</v>
      </c>
      <c r="F48">
        <v>2443</v>
      </c>
      <c r="G48">
        <v>1732</v>
      </c>
      <c r="H48">
        <v>5635</v>
      </c>
      <c r="I48">
        <f>D48+E48+F48+G48+H48</f>
        <v>12905.8</v>
      </c>
    </row>
    <row r="49" spans="2:16" x14ac:dyDescent="0.25">
      <c r="B49">
        <v>2</v>
      </c>
      <c r="C49" t="s">
        <v>15</v>
      </c>
      <c r="D49" s="12">
        <v>7.6</v>
      </c>
      <c r="E49">
        <v>610</v>
      </c>
      <c r="F49">
        <v>833</v>
      </c>
      <c r="G49">
        <v>683</v>
      </c>
      <c r="H49">
        <v>2402</v>
      </c>
      <c r="I49">
        <f t="shared" ref="I49:I52" si="2">D49+E49+F49+G49+H49</f>
        <v>4535.6000000000004</v>
      </c>
    </row>
    <row r="50" spans="2:16" x14ac:dyDescent="0.25">
      <c r="B50">
        <v>3</v>
      </c>
      <c r="C50" t="s">
        <v>16</v>
      </c>
      <c r="D50" s="12">
        <v>309.39999999999998</v>
      </c>
      <c r="E50">
        <v>499</v>
      </c>
      <c r="F50">
        <v>742</v>
      </c>
      <c r="G50">
        <v>443</v>
      </c>
      <c r="H50">
        <v>2267</v>
      </c>
      <c r="I50">
        <f t="shared" si="2"/>
        <v>4260.3999999999996</v>
      </c>
    </row>
    <row r="51" spans="2:16" x14ac:dyDescent="0.25">
      <c r="B51">
        <v>4</v>
      </c>
      <c r="C51" t="s">
        <v>37</v>
      </c>
      <c r="D51" s="12"/>
      <c r="H51">
        <v>1847</v>
      </c>
      <c r="I51">
        <f t="shared" si="2"/>
        <v>1847</v>
      </c>
    </row>
    <row r="52" spans="2:16" x14ac:dyDescent="0.25">
      <c r="B52">
        <v>5</v>
      </c>
      <c r="C52" t="s">
        <v>31</v>
      </c>
      <c r="D52" s="12">
        <v>659</v>
      </c>
      <c r="E52">
        <v>547</v>
      </c>
      <c r="F52">
        <v>1311</v>
      </c>
      <c r="G52">
        <v>490</v>
      </c>
      <c r="H52">
        <v>304</v>
      </c>
      <c r="I52">
        <f t="shared" si="2"/>
        <v>3311</v>
      </c>
    </row>
    <row r="53" spans="2:16" x14ac:dyDescent="0.25">
      <c r="B53">
        <v>6</v>
      </c>
      <c r="C53" t="s">
        <v>30</v>
      </c>
      <c r="D53" s="12"/>
      <c r="I53">
        <v>235</v>
      </c>
    </row>
    <row r="54" spans="2:16" x14ac:dyDescent="0.25">
      <c r="B54">
        <v>7</v>
      </c>
      <c r="C54" t="s">
        <v>35</v>
      </c>
      <c r="D54" s="10"/>
      <c r="E54" s="11"/>
      <c r="F54" s="11"/>
      <c r="G54" s="11"/>
      <c r="H54" s="11"/>
      <c r="I54" s="11">
        <v>110</v>
      </c>
    </row>
    <row r="55" spans="2:16" x14ac:dyDescent="0.25">
      <c r="C55" t="s">
        <v>34</v>
      </c>
      <c r="D55" s="10"/>
      <c r="E55" s="11"/>
      <c r="F55" s="11"/>
      <c r="G55" s="11"/>
      <c r="H55" s="11"/>
      <c r="I55" s="11">
        <v>150</v>
      </c>
    </row>
    <row r="56" spans="2:16" x14ac:dyDescent="0.25">
      <c r="B56">
        <v>8</v>
      </c>
      <c r="C56" t="s">
        <v>21</v>
      </c>
    </row>
    <row r="61" spans="2:16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"/>
    </row>
    <row r="62" spans="2:16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24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24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24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24" x14ac:dyDescent="0.25">
      <c r="D68" s="2"/>
      <c r="E68" s="2"/>
      <c r="F68" s="2"/>
      <c r="G68" s="2"/>
      <c r="H68" s="2"/>
      <c r="I68" s="2"/>
      <c r="J68" s="2"/>
    </row>
    <row r="69" spans="2:24" x14ac:dyDescent="0.25">
      <c r="J69" s="5"/>
    </row>
    <row r="70" spans="2:24" x14ac:dyDescent="0.25">
      <c r="D70" s="5"/>
      <c r="E70" s="5"/>
      <c r="F70" s="5"/>
      <c r="G70" s="5"/>
      <c r="H70" s="5"/>
      <c r="J70" s="5"/>
    </row>
    <row r="71" spans="2:24" x14ac:dyDescent="0.25">
      <c r="B71" s="2"/>
      <c r="C71" s="2"/>
      <c r="D71" s="2"/>
      <c r="E71" s="2"/>
      <c r="F71" s="2"/>
      <c r="G71" s="2"/>
      <c r="H71" s="2"/>
      <c r="I71" s="2"/>
      <c r="J71" s="2"/>
    </row>
    <row r="74" spans="2:24" x14ac:dyDescent="0.25">
      <c r="S74" s="2"/>
      <c r="T74" s="2"/>
      <c r="U74" s="2"/>
    </row>
    <row r="75" spans="2:24" x14ac:dyDescent="0.25">
      <c r="J75" s="2"/>
      <c r="Q75" s="2"/>
      <c r="S75" s="2"/>
      <c r="T75" s="2"/>
      <c r="U75" s="2"/>
    </row>
    <row r="76" spans="2:24" x14ac:dyDescent="0.25">
      <c r="J76" s="2"/>
      <c r="Q76" s="2"/>
      <c r="R76" s="2"/>
      <c r="S76" s="2"/>
      <c r="T76" s="2"/>
      <c r="U76" s="2"/>
    </row>
    <row r="77" spans="2:24" x14ac:dyDescent="0.25">
      <c r="H77" s="5"/>
      <c r="I77" s="2"/>
      <c r="J77" s="2"/>
      <c r="R77" s="2"/>
      <c r="S77" s="2"/>
      <c r="T77" s="2"/>
      <c r="U77" s="2"/>
      <c r="V77" s="2"/>
      <c r="W77" s="2">
        <v>135798</v>
      </c>
      <c r="X77" s="2">
        <v>389742</v>
      </c>
    </row>
    <row r="78" spans="2:24" x14ac:dyDescent="0.25">
      <c r="H78" s="5"/>
      <c r="I78" s="2"/>
      <c r="J78" s="2"/>
      <c r="Q78" s="2"/>
      <c r="R78" s="2"/>
      <c r="S78" s="2"/>
      <c r="T78" s="2"/>
      <c r="U78" s="2"/>
    </row>
    <row r="79" spans="2:24" x14ac:dyDescent="0.25">
      <c r="D79" s="2"/>
      <c r="E79" s="2"/>
      <c r="F79" s="2"/>
      <c r="G79" s="2"/>
      <c r="H79" s="2"/>
      <c r="I79" s="2"/>
      <c r="J79" s="2"/>
      <c r="Q79" s="2"/>
      <c r="R79" s="2"/>
      <c r="S79" s="7"/>
      <c r="T79" s="2"/>
      <c r="U79" s="2"/>
    </row>
    <row r="80" spans="2:24" x14ac:dyDescent="0.25">
      <c r="D80" s="2"/>
      <c r="E80" s="2"/>
      <c r="F80" s="2"/>
      <c r="G80" s="2"/>
      <c r="H80" s="2"/>
      <c r="I80" s="2"/>
      <c r="J80" s="2"/>
      <c r="Q80" s="2"/>
      <c r="R80" s="7"/>
      <c r="S80" s="2"/>
      <c r="T80" s="2"/>
      <c r="U80" s="2"/>
    </row>
    <row r="81" spans="4:21" x14ac:dyDescent="0.25">
      <c r="D81" s="2"/>
      <c r="E81" s="2"/>
      <c r="F81" s="2"/>
      <c r="G81" s="2"/>
      <c r="H81" s="2"/>
      <c r="I81" s="2"/>
      <c r="J81" s="2"/>
      <c r="Q81" s="2"/>
      <c r="R81" s="2"/>
      <c r="S81" s="2"/>
      <c r="T81" s="2"/>
      <c r="U81" s="2"/>
    </row>
    <row r="82" spans="4:21" x14ac:dyDescent="0.25">
      <c r="D82" s="2"/>
      <c r="E82" s="2"/>
      <c r="F82" s="2"/>
      <c r="G82" s="2"/>
      <c r="H82" s="2"/>
      <c r="I82" s="2"/>
      <c r="J82" s="2"/>
      <c r="Q82" s="2"/>
      <c r="R82" s="2"/>
      <c r="S82" s="2"/>
      <c r="T82" s="2"/>
      <c r="U82" s="2"/>
    </row>
    <row r="83" spans="4:21" x14ac:dyDescent="0.25">
      <c r="J83" s="2"/>
      <c r="R83" s="2"/>
    </row>
    <row r="84" spans="4:21" x14ac:dyDescent="0.25">
      <c r="J84" s="2"/>
    </row>
    <row r="86" spans="4:21" x14ac:dyDescent="0.25">
      <c r="J86" s="2"/>
    </row>
    <row r="87" spans="4:21" x14ac:dyDescent="0.25">
      <c r="J87" s="2"/>
    </row>
    <row r="88" spans="4:21" x14ac:dyDescent="0.25">
      <c r="H88" s="5"/>
      <c r="I88" s="2"/>
      <c r="J88" s="2"/>
    </row>
    <row r="89" spans="4:21" x14ac:dyDescent="0.25">
      <c r="H89" s="5"/>
      <c r="I89" s="2"/>
      <c r="J89" s="2"/>
    </row>
    <row r="90" spans="4:21" x14ac:dyDescent="0.25">
      <c r="D90" s="2"/>
      <c r="E90" s="2"/>
      <c r="F90" s="2"/>
      <c r="G90" s="2"/>
      <c r="H90" s="2"/>
      <c r="I90" s="2"/>
      <c r="J90" s="2"/>
    </row>
    <row r="91" spans="4:21" x14ac:dyDescent="0.25">
      <c r="D91" s="2"/>
      <c r="E91" s="2"/>
      <c r="F91" s="2"/>
      <c r="G91" s="2"/>
      <c r="H91" s="2"/>
      <c r="I91" s="2"/>
      <c r="J91" s="2"/>
    </row>
    <row r="92" spans="4:21" x14ac:dyDescent="0.25">
      <c r="D92" s="2"/>
      <c r="E92" s="2"/>
      <c r="F92" s="2"/>
      <c r="G92" s="2"/>
      <c r="H92" s="2"/>
      <c r="I92" s="2"/>
      <c r="J92" s="2"/>
    </row>
    <row r="93" spans="4:21" x14ac:dyDescent="0.25">
      <c r="D93" s="2"/>
      <c r="E93" s="2"/>
      <c r="F93" s="2"/>
      <c r="G93" s="2"/>
      <c r="H93" s="2"/>
      <c r="I93" s="2"/>
      <c r="J93" s="2"/>
    </row>
    <row r="94" spans="4:21" x14ac:dyDescent="0.25">
      <c r="D94" s="2"/>
      <c r="E94" s="2"/>
      <c r="F94" s="2"/>
      <c r="G94" s="2"/>
      <c r="H94" s="2"/>
      <c r="I94" s="2"/>
      <c r="J94" s="2"/>
    </row>
  </sheetData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A897-F4DC-45BE-AB8E-CE528AF5FF28}">
  <dimension ref="A1:H42"/>
  <sheetViews>
    <sheetView topLeftCell="A13" workbookViewId="0">
      <selection activeCell="E47" sqref="E47"/>
    </sheetView>
  </sheetViews>
  <sheetFormatPr defaultRowHeight="15" x14ac:dyDescent="0.25"/>
  <cols>
    <col min="5" max="5" width="11.140625" customWidth="1"/>
  </cols>
  <sheetData>
    <row r="1" spans="1:8" x14ac:dyDescent="0.25">
      <c r="A1" t="s">
        <v>93</v>
      </c>
    </row>
    <row r="2" spans="1:8" x14ac:dyDescent="0.25">
      <c r="A2" t="s">
        <v>51</v>
      </c>
    </row>
    <row r="4" spans="1:8" x14ac:dyDescent="0.25">
      <c r="B4" t="s">
        <v>19</v>
      </c>
      <c r="H4">
        <v>659</v>
      </c>
    </row>
    <row r="6" spans="1:8" x14ac:dyDescent="0.25">
      <c r="B6" t="s">
        <v>9</v>
      </c>
      <c r="C6" t="s">
        <v>33</v>
      </c>
      <c r="D6">
        <v>117</v>
      </c>
      <c r="E6">
        <v>1</v>
      </c>
      <c r="F6">
        <f>D6*E6</f>
        <v>117</v>
      </c>
    </row>
    <row r="7" spans="1:8" x14ac:dyDescent="0.25">
      <c r="C7" t="s">
        <v>32</v>
      </c>
      <c r="D7">
        <v>86</v>
      </c>
      <c r="E7">
        <v>1</v>
      </c>
      <c r="F7">
        <f>D7*E7</f>
        <v>86</v>
      </c>
    </row>
    <row r="8" spans="1:8" x14ac:dyDescent="0.25">
      <c r="C8" t="s">
        <v>52</v>
      </c>
      <c r="D8">
        <v>86</v>
      </c>
      <c r="E8">
        <v>4</v>
      </c>
      <c r="F8">
        <f>D8*E8</f>
        <v>344</v>
      </c>
    </row>
    <row r="9" spans="1:8" x14ac:dyDescent="0.25">
      <c r="C9" t="s">
        <v>13</v>
      </c>
      <c r="F9">
        <f>SUM(F6:F8)</f>
        <v>547</v>
      </c>
      <c r="H9">
        <f>F9</f>
        <v>547</v>
      </c>
    </row>
    <row r="11" spans="1:8" x14ac:dyDescent="0.25">
      <c r="B11" t="s">
        <v>10</v>
      </c>
      <c r="C11" t="s">
        <v>33</v>
      </c>
      <c r="D11">
        <v>167</v>
      </c>
      <c r="E11">
        <v>1</v>
      </c>
      <c r="F11">
        <f>D11*E11</f>
        <v>167</v>
      </c>
    </row>
    <row r="12" spans="1:8" x14ac:dyDescent="0.25">
      <c r="C12" t="s">
        <v>32</v>
      </c>
      <c r="D12">
        <v>164</v>
      </c>
      <c r="E12">
        <v>1</v>
      </c>
      <c r="F12">
        <f t="shared" ref="F12:F13" si="0">D12*E12</f>
        <v>164</v>
      </c>
    </row>
    <row r="13" spans="1:8" x14ac:dyDescent="0.25">
      <c r="C13" t="s">
        <v>53</v>
      </c>
      <c r="D13">
        <v>140</v>
      </c>
      <c r="E13">
        <v>7</v>
      </c>
      <c r="F13">
        <f t="shared" si="0"/>
        <v>980</v>
      </c>
    </row>
    <row r="14" spans="1:8" x14ac:dyDescent="0.25">
      <c r="C14" t="s">
        <v>13</v>
      </c>
      <c r="F14">
        <f>SUM(F11:F13)</f>
        <v>1311</v>
      </c>
      <c r="H14">
        <f>F14</f>
        <v>1311</v>
      </c>
    </row>
    <row r="16" spans="1:8" x14ac:dyDescent="0.25">
      <c r="B16" t="s">
        <v>11</v>
      </c>
      <c r="C16" t="s">
        <v>32</v>
      </c>
      <c r="D16">
        <v>130</v>
      </c>
      <c r="E16">
        <v>1</v>
      </c>
      <c r="F16">
        <f>D16*E16</f>
        <v>130</v>
      </c>
    </row>
    <row r="17" spans="2:8" x14ac:dyDescent="0.25">
      <c r="C17" t="s">
        <v>54</v>
      </c>
      <c r="D17">
        <v>120</v>
      </c>
      <c r="E17">
        <v>2</v>
      </c>
      <c r="F17">
        <f t="shared" ref="F17:F18" si="1">D17*E17</f>
        <v>240</v>
      </c>
    </row>
    <row r="18" spans="2:8" x14ac:dyDescent="0.25">
      <c r="C18" t="s">
        <v>55</v>
      </c>
      <c r="D18">
        <v>120</v>
      </c>
      <c r="E18">
        <v>1</v>
      </c>
      <c r="F18">
        <f t="shared" si="1"/>
        <v>120</v>
      </c>
    </row>
    <row r="19" spans="2:8" x14ac:dyDescent="0.25">
      <c r="C19" t="s">
        <v>13</v>
      </c>
      <c r="F19">
        <f>SUM(F16:F18)</f>
        <v>490</v>
      </c>
      <c r="H19">
        <f>F19</f>
        <v>490</v>
      </c>
    </row>
    <row r="21" spans="2:8" x14ac:dyDescent="0.25">
      <c r="B21" t="s">
        <v>12</v>
      </c>
      <c r="H21">
        <v>304</v>
      </c>
    </row>
    <row r="23" spans="2:8" x14ac:dyDescent="0.25">
      <c r="B23" t="s">
        <v>56</v>
      </c>
      <c r="H23">
        <f>SUM(H4:H22)</f>
        <v>3311</v>
      </c>
    </row>
    <row r="24" spans="2:8" x14ac:dyDescent="0.25">
      <c r="B24" t="s">
        <v>26</v>
      </c>
      <c r="H24">
        <v>3458</v>
      </c>
    </row>
    <row r="27" spans="2:8" x14ac:dyDescent="0.25">
      <c r="B27" t="s">
        <v>12</v>
      </c>
    </row>
    <row r="28" spans="2:8" x14ac:dyDescent="0.25">
      <c r="D28" t="s">
        <v>38</v>
      </c>
      <c r="F28" t="s">
        <v>91</v>
      </c>
    </row>
    <row r="29" spans="2:8" x14ac:dyDescent="0.25">
      <c r="C29" t="s">
        <v>33</v>
      </c>
      <c r="D29">
        <v>0</v>
      </c>
      <c r="F29">
        <v>58.87</v>
      </c>
    </row>
    <row r="30" spans="2:8" x14ac:dyDescent="0.25">
      <c r="C30" t="s">
        <v>32</v>
      </c>
      <c r="D30">
        <v>85</v>
      </c>
      <c r="F30">
        <v>517.11</v>
      </c>
    </row>
    <row r="31" spans="2:8" x14ac:dyDescent="0.25">
      <c r="C31" t="s">
        <v>86</v>
      </c>
      <c r="D31" t="s">
        <v>92</v>
      </c>
      <c r="F31">
        <v>0</v>
      </c>
    </row>
    <row r="32" spans="2:8" x14ac:dyDescent="0.25">
      <c r="C32" t="s">
        <v>87</v>
      </c>
      <c r="D32">
        <v>0</v>
      </c>
      <c r="F32">
        <v>64.400000000000006</v>
      </c>
    </row>
    <row r="33" spans="2:8" x14ac:dyDescent="0.25">
      <c r="C33" t="s">
        <v>55</v>
      </c>
      <c r="D33">
        <v>91</v>
      </c>
      <c r="F33">
        <v>58.69</v>
      </c>
    </row>
    <row r="34" spans="2:8" x14ac:dyDescent="0.25">
      <c r="C34" t="s">
        <v>88</v>
      </c>
      <c r="D34">
        <v>55</v>
      </c>
      <c r="F34">
        <v>58.5</v>
      </c>
    </row>
    <row r="35" spans="2:8" x14ac:dyDescent="0.25">
      <c r="C35" t="s">
        <v>90</v>
      </c>
      <c r="D35">
        <v>91</v>
      </c>
      <c r="F35">
        <v>58.5</v>
      </c>
    </row>
    <row r="36" spans="2:8" x14ac:dyDescent="0.25">
      <c r="C36" t="s">
        <v>89</v>
      </c>
      <c r="D36" t="s">
        <v>92</v>
      </c>
      <c r="F36">
        <v>0</v>
      </c>
    </row>
    <row r="38" spans="2:8" x14ac:dyDescent="0.25">
      <c r="C38" t="s">
        <v>13</v>
      </c>
      <c r="D38">
        <f>SUM(D29:D37)</f>
        <v>322</v>
      </c>
      <c r="F38">
        <f>SUM(F29:F37)</f>
        <v>816.06999999999994</v>
      </c>
      <c r="H38">
        <f>F38</f>
        <v>816.06999999999994</v>
      </c>
    </row>
    <row r="39" spans="2:8" x14ac:dyDescent="0.25">
      <c r="C39" t="s">
        <v>94</v>
      </c>
      <c r="D39">
        <v>304</v>
      </c>
    </row>
    <row r="40" spans="2:8" x14ac:dyDescent="0.25">
      <c r="C40" t="s">
        <v>95</v>
      </c>
      <c r="F40">
        <f>F38-D39</f>
        <v>512.06999999999994</v>
      </c>
    </row>
    <row r="42" spans="2:8" x14ac:dyDescent="0.25">
      <c r="B42" t="s">
        <v>96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4983-1AC6-4462-B603-90B3DD742F6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B229-D7F7-4AAD-87C8-4BECAD61BDC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 rekapitulace</vt:lpstr>
      <vt:lpstr>původní</vt:lpstr>
      <vt:lpstr>podl.plocha Malenda</vt:lpstr>
      <vt:lpstr>List2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Říha Martin, Ing.</dc:creator>
  <cp:lastModifiedBy>Valíček František, Ing.</cp:lastModifiedBy>
  <cp:lastPrinted>2024-06-26T07:59:58Z</cp:lastPrinted>
  <dcterms:created xsi:type="dcterms:W3CDTF">2024-06-12T11:58:44Z</dcterms:created>
  <dcterms:modified xsi:type="dcterms:W3CDTF">2024-06-26T11:25:38Z</dcterms:modified>
</cp:coreProperties>
</file>