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894\Desktop\FE analýzy\NSCLC-ALK - Alunbrig\"/>
    </mc:Choice>
  </mc:AlternateContent>
  <xr:revisionPtr revIDLastSave="0" documentId="13_ncr:1_{7768BA9A-5AB7-4800-AA14-31F8863EB89B}" xr6:coauthVersionLast="36" xr6:coauthVersionMax="36" xr10:uidLastSave="{00000000-0000-0000-0000-000000000000}"/>
  <bookViews>
    <workbookView xWindow="0" yWindow="0" windowWidth="20490" windowHeight="7005" tabRatio="587" xr2:uid="{00000000-000D-0000-FFFF-FFFF00000000}"/>
  </bookViews>
  <sheets>
    <sheet name="Ceny za léčbu" sheetId="1" r:id="rId1"/>
    <sheet name="CEA eff.front.1.linie" sheetId="2" r:id="rId2"/>
    <sheet name="ICER 1.linie" sheetId="3" r:id="rId3"/>
    <sheet name="CEA eff.front. 2.linie" sheetId="5" r:id="rId4"/>
    <sheet name="ICER 2.linie " sheetId="6" r:id="rId5"/>
    <sheet name="Obrázky" sheetId="4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6" l="1"/>
  <c r="J4" i="6"/>
  <c r="I4" i="6"/>
  <c r="K3" i="6"/>
  <c r="J3" i="6"/>
  <c r="I3" i="6"/>
  <c r="J9" i="5"/>
  <c r="J8" i="5"/>
  <c r="J7" i="5"/>
  <c r="J6" i="5"/>
  <c r="J5" i="5"/>
  <c r="J4" i="5"/>
  <c r="J3" i="5"/>
  <c r="E5" i="6"/>
  <c r="E4" i="6"/>
  <c r="L3" i="6"/>
  <c r="E3" i="6" s="1"/>
  <c r="L2" i="6"/>
  <c r="E2" i="6" s="1"/>
  <c r="L4" i="5"/>
  <c r="L5" i="5" s="1"/>
  <c r="L6" i="5" s="1"/>
  <c r="K4" i="5" l="1"/>
  <c r="K5" i="5"/>
  <c r="L7" i="5"/>
  <c r="K6" i="5"/>
  <c r="K4" i="3"/>
  <c r="J4" i="3"/>
  <c r="I4" i="3"/>
  <c r="K3" i="3"/>
  <c r="J3" i="3"/>
  <c r="I3" i="3"/>
  <c r="I13" i="1"/>
  <c r="I7" i="1"/>
  <c r="J9" i="2"/>
  <c r="J8" i="2"/>
  <c r="J7" i="2"/>
  <c r="J6" i="2"/>
  <c r="J5" i="2"/>
  <c r="J4" i="2"/>
  <c r="J3" i="2"/>
  <c r="L4" i="2" s="1"/>
  <c r="L5" i="2" s="1"/>
  <c r="L6" i="2" s="1"/>
  <c r="L7" i="2" s="1"/>
  <c r="L8" i="2" s="1"/>
  <c r="L9" i="2" s="1"/>
  <c r="L10" i="2" s="1"/>
  <c r="L11" i="2" s="1"/>
  <c r="L12" i="2" s="1"/>
  <c r="E5" i="3"/>
  <c r="E4" i="3"/>
  <c r="L3" i="3"/>
  <c r="E3" i="3" s="1"/>
  <c r="L2" i="3"/>
  <c r="E2" i="3" s="1"/>
  <c r="L8" i="5" l="1"/>
  <c r="K7" i="5"/>
  <c r="K7" i="2"/>
  <c r="K6" i="2"/>
  <c r="K9" i="2"/>
  <c r="K8" i="2"/>
  <c r="K5" i="2"/>
  <c r="K4" i="2"/>
  <c r="I16" i="1"/>
  <c r="J16" i="1"/>
  <c r="K18" i="1"/>
  <c r="L18" i="1" s="1"/>
  <c r="L17" i="1"/>
  <c r="K17" i="1"/>
  <c r="I18" i="1"/>
  <c r="J18" i="1" s="1"/>
  <c r="I17" i="1"/>
  <c r="K15" i="1"/>
  <c r="L15" i="1" s="1"/>
  <c r="L14" i="1"/>
  <c r="K14" i="1"/>
  <c r="K13" i="1"/>
  <c r="L13" i="1" s="1"/>
  <c r="I15" i="1"/>
  <c r="J15" i="1" s="1"/>
  <c r="I14" i="1"/>
  <c r="J14" i="1" s="1"/>
  <c r="J13" i="1"/>
  <c r="R21" i="1"/>
  <c r="Q21" i="1"/>
  <c r="R20" i="1"/>
  <c r="Q20" i="1"/>
  <c r="R19" i="1"/>
  <c r="Q19" i="1"/>
  <c r="R24" i="1"/>
  <c r="Q24" i="1"/>
  <c r="R23" i="1"/>
  <c r="Q23" i="1"/>
  <c r="R22" i="1"/>
  <c r="Q22" i="1"/>
  <c r="R18" i="1"/>
  <c r="Q18" i="1"/>
  <c r="R17" i="1"/>
  <c r="Q17" i="1"/>
  <c r="R16" i="1"/>
  <c r="Q16" i="1"/>
  <c r="K12" i="1"/>
  <c r="L12" i="1" s="1"/>
  <c r="L11" i="1"/>
  <c r="K11" i="1"/>
  <c r="K10" i="1"/>
  <c r="L10" i="1" s="1"/>
  <c r="I12" i="1"/>
  <c r="J12" i="1" s="1"/>
  <c r="I11" i="1"/>
  <c r="I10" i="1"/>
  <c r="J10" i="1" s="1"/>
  <c r="I9" i="1"/>
  <c r="J9" i="1" s="1"/>
  <c r="I8" i="1"/>
  <c r="J8" i="1" s="1"/>
  <c r="L7" i="1"/>
  <c r="K7" i="1"/>
  <c r="J11" i="1"/>
  <c r="J7" i="1"/>
  <c r="R15" i="1"/>
  <c r="Q15" i="1"/>
  <c r="R14" i="1"/>
  <c r="Q14" i="1"/>
  <c r="R13" i="1"/>
  <c r="Q13" i="1"/>
  <c r="R12" i="1"/>
  <c r="Q12" i="1"/>
  <c r="R11" i="1"/>
  <c r="Q11" i="1"/>
  <c r="R10" i="1"/>
  <c r="Q10" i="1"/>
  <c r="R8" i="1"/>
  <c r="Q8" i="1"/>
  <c r="R9" i="1"/>
  <c r="Q9" i="1"/>
  <c r="R7" i="1"/>
  <c r="Q7" i="1"/>
  <c r="I5" i="1"/>
  <c r="L9" i="5" l="1"/>
  <c r="K8" i="5"/>
  <c r="J20" i="1"/>
  <c r="K16" i="1"/>
  <c r="L16" i="1" s="1"/>
  <c r="J17" i="1"/>
  <c r="K9" i="1"/>
  <c r="K8" i="1"/>
  <c r="L9" i="1"/>
  <c r="R5" i="1"/>
  <c r="Q5" i="1"/>
  <c r="K5" i="1"/>
  <c r="K4" i="1"/>
  <c r="R4" i="1"/>
  <c r="Q4" i="1"/>
  <c r="I4" i="1"/>
  <c r="P24" i="1"/>
  <c r="P23" i="1"/>
  <c r="H23" i="1" s="1"/>
  <c r="I23" i="1" s="1"/>
  <c r="K23" i="1" s="1"/>
  <c r="L23" i="1" s="1"/>
  <c r="P22" i="1"/>
  <c r="H22" i="1" s="1"/>
  <c r="I22" i="1" s="1"/>
  <c r="P21" i="1"/>
  <c r="H21" i="1" s="1"/>
  <c r="I21" i="1" s="1"/>
  <c r="P20" i="1"/>
  <c r="P19" i="1"/>
  <c r="P18" i="1"/>
  <c r="P17" i="1"/>
  <c r="P16" i="1"/>
  <c r="P15" i="1"/>
  <c r="P14" i="1"/>
  <c r="P13" i="1"/>
  <c r="H13" i="1" s="1"/>
  <c r="P12" i="1"/>
  <c r="P11" i="1"/>
  <c r="H11" i="1" s="1"/>
  <c r="P10" i="1"/>
  <c r="H10" i="1" s="1"/>
  <c r="P9" i="1"/>
  <c r="P8" i="1"/>
  <c r="P7" i="1"/>
  <c r="H7" i="1" s="1"/>
  <c r="P6" i="1"/>
  <c r="H18" i="1"/>
  <c r="H17" i="1"/>
  <c r="H16" i="1"/>
  <c r="H15" i="1"/>
  <c r="H14" i="1"/>
  <c r="H12" i="1"/>
  <c r="H9" i="1"/>
  <c r="H8" i="1"/>
  <c r="H20" i="1"/>
  <c r="I20" i="1" s="1"/>
  <c r="K20" i="1" s="1"/>
  <c r="J21" i="1" l="1"/>
  <c r="K21" i="1"/>
  <c r="L20" i="1"/>
  <c r="J11" i="2"/>
  <c r="K11" i="2" s="1"/>
  <c r="J5" i="3" s="1"/>
  <c r="M14" i="1"/>
  <c r="M8" i="1"/>
  <c r="J23" i="1"/>
  <c r="J22" i="1"/>
  <c r="K22" i="1"/>
  <c r="M11" i="1"/>
  <c r="J11" i="5"/>
  <c r="M17" i="1"/>
  <c r="L10" i="5"/>
  <c r="K9" i="5"/>
  <c r="L8" i="1"/>
  <c r="H6" i="1"/>
  <c r="J12" i="2" l="1"/>
  <c r="K12" i="2" s="1"/>
  <c r="K5" i="3" s="1"/>
  <c r="M9" i="1"/>
  <c r="L21" i="1"/>
  <c r="M15" i="1"/>
  <c r="L22" i="1"/>
  <c r="J10" i="5"/>
  <c r="K10" i="5" s="1"/>
  <c r="I5" i="6" s="1"/>
  <c r="M10" i="1"/>
  <c r="M16" i="1"/>
  <c r="L11" i="5"/>
  <c r="H19" i="1"/>
  <c r="P5" i="1"/>
  <c r="H5" i="1" s="1"/>
  <c r="N13" i="1" l="1"/>
  <c r="I19" i="1"/>
  <c r="N7" i="1"/>
  <c r="L12" i="5"/>
  <c r="K11" i="5"/>
  <c r="J5" i="6" s="1"/>
  <c r="L5" i="1"/>
  <c r="J5" i="1"/>
  <c r="H24" i="1"/>
  <c r="I24" i="1" s="1"/>
  <c r="P4" i="1"/>
  <c r="H4" i="1" s="1"/>
  <c r="J19" i="1" l="1"/>
  <c r="K19" i="1"/>
  <c r="J24" i="1"/>
  <c r="K24" i="1"/>
  <c r="M12" i="1"/>
  <c r="J4" i="1"/>
  <c r="L4" i="1"/>
  <c r="J10" i="2" l="1"/>
  <c r="K10" i="2" s="1"/>
  <c r="I5" i="3" s="1"/>
  <c r="M7" i="1"/>
  <c r="M13" i="1"/>
  <c r="L19" i="1"/>
  <c r="L24" i="1"/>
  <c r="J12" i="5"/>
  <c r="K12" i="5" s="1"/>
  <c r="K5" i="6" s="1"/>
  <c r="M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G19" authorId="0" shapeId="0" xr:uid="{AF027CDA-A0B7-4BC2-8AC5-6E93F6F25BA9}">
      <text>
        <r>
          <rPr>
            <sz val="9"/>
            <color indexed="81"/>
            <rFont val="Tahoma"/>
            <family val="2"/>
            <charset val="238"/>
          </rPr>
          <t xml:space="preserve">dle navržené ceny firmou Takeda z 21.12.2022
</t>
        </r>
      </text>
    </comment>
    <comment ref="G20" authorId="0" shapeId="0" xr:uid="{96A15D14-799D-4A05-A22A-04FD9A8CA344}">
      <text>
        <r>
          <rPr>
            <sz val="9"/>
            <color indexed="81"/>
            <rFont val="Tahoma"/>
            <family val="2"/>
            <charset val="238"/>
          </rPr>
          <t xml:space="preserve">dle navržené ceny firmou Takeda z 21.12.2022
</t>
        </r>
      </text>
    </comment>
    <comment ref="G21" authorId="0" shapeId="0" xr:uid="{E8D229B1-E0BC-4A92-A400-E29ED6FB246E}">
      <text>
        <r>
          <rPr>
            <sz val="9"/>
            <color indexed="81"/>
            <rFont val="Tahoma"/>
            <family val="2"/>
            <charset val="238"/>
          </rPr>
          <t xml:space="preserve">dle navržené ceny firmou Takeda z 21.12.2022
</t>
        </r>
      </text>
    </comment>
    <comment ref="G22" authorId="0" shapeId="0" xr:uid="{37258907-65A2-41FE-A390-9C3B6B8F698D}">
      <text>
        <r>
          <rPr>
            <sz val="9"/>
            <color indexed="81"/>
            <rFont val="Tahoma"/>
            <family val="2"/>
            <charset val="238"/>
          </rPr>
          <t xml:space="preserve">dle navržené ceny firmou Takeda z 21.12.2022
</t>
        </r>
      </text>
    </comment>
    <comment ref="G23" authorId="0" shapeId="0" xr:uid="{CB0BFBD8-18ED-41BF-922E-76FFC020D689}">
      <text>
        <r>
          <rPr>
            <sz val="9"/>
            <color indexed="81"/>
            <rFont val="Tahoma"/>
            <family val="2"/>
            <charset val="238"/>
          </rPr>
          <t xml:space="preserve">dle navržené ceny firmou Takeda z 21.12.2022
</t>
        </r>
      </text>
    </comment>
    <comment ref="G24" authorId="0" shapeId="0" xr:uid="{94C34B19-1D73-4EE5-B8B7-DAFB1ACD698F}">
      <text>
        <r>
          <rPr>
            <sz val="9"/>
            <color indexed="81"/>
            <rFont val="Tahoma"/>
            <family val="2"/>
            <charset val="238"/>
          </rPr>
          <t xml:space="preserve">dle navržené ceny firmou Takeda z 21.12.2022
</t>
        </r>
      </text>
    </comment>
  </commentList>
</comments>
</file>

<file path=xl/sharedStrings.xml><?xml version="1.0" encoding="utf-8"?>
<sst xmlns="http://schemas.openxmlformats.org/spreadsheetml/2006/main" count="179" uniqueCount="91">
  <si>
    <t>látka</t>
  </si>
  <si>
    <t>bonus</t>
  </si>
  <si>
    <r>
      <t xml:space="preserve">LP            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</t>
    </r>
    <r>
      <rPr>
        <sz val="10"/>
        <color theme="1"/>
        <rFont val="Calibri"/>
        <family val="2"/>
        <charset val="238"/>
        <scheme val="minor"/>
      </rPr>
      <t xml:space="preserve"> (posuz. LP je zvýrazněn modře)</t>
    </r>
  </si>
  <si>
    <t>docetaxel</t>
  </si>
  <si>
    <t>Fresenius Kabi</t>
  </si>
  <si>
    <t xml:space="preserve">POKROČILÝ NSCLC (ST. IIIB-IV) POZITIVNÍ NA ALK U PACIENTŮ S ECOG 0-2 </t>
  </si>
  <si>
    <t>léčeb. režim</t>
  </si>
  <si>
    <t>mono-terapie</t>
  </si>
  <si>
    <t>mono CHT</t>
  </si>
  <si>
    <t>komb. CHT</t>
  </si>
  <si>
    <r>
      <t xml:space="preserve">PEMETREXED EVER PHARMA 25mg/ml inf 1x20ml                                                              </t>
    </r>
    <r>
      <rPr>
        <b/>
        <u/>
        <sz val="10"/>
        <color theme="1"/>
        <rFont val="Calibri"/>
        <family val="2"/>
        <charset val="238"/>
        <scheme val="minor"/>
      </rPr>
      <t>JEN PRO 1. LINII</t>
    </r>
  </si>
  <si>
    <r>
      <t xml:space="preserve">CISPLATIN EBEWE 1mg/ml inf 1x100ml                                                              </t>
    </r>
    <r>
      <rPr>
        <b/>
        <u/>
        <sz val="10"/>
        <color theme="1"/>
        <rFont val="Calibri"/>
        <family val="2"/>
        <charset val="238"/>
        <scheme val="minor"/>
      </rPr>
      <t>JEN PRO 1. LINII</t>
    </r>
  </si>
  <si>
    <t>pemetrexed</t>
  </si>
  <si>
    <t>cisplatina</t>
  </si>
  <si>
    <r>
      <t xml:space="preserve">DOCETAXEL KABI 20 mg/ml inf. roztok 1x4ml/80mg                                                      </t>
    </r>
    <r>
      <rPr>
        <b/>
        <u/>
        <sz val="10"/>
        <color theme="1"/>
        <rFont val="Calibri"/>
        <family val="2"/>
        <charset val="238"/>
        <scheme val="minor"/>
      </rPr>
      <t>JEN PRO 2. LINII</t>
    </r>
  </si>
  <si>
    <t>krizotonib</t>
  </si>
  <si>
    <t>ceritinib</t>
  </si>
  <si>
    <t>alektinib</t>
  </si>
  <si>
    <t>brigatinib</t>
  </si>
  <si>
    <t>držitel registrace</t>
  </si>
  <si>
    <t>EVER-Valinject</t>
  </si>
  <si>
    <t>EBEWE Pharma</t>
  </si>
  <si>
    <t>Pfizer</t>
  </si>
  <si>
    <r>
      <t xml:space="preserve">XALKORI 250mg cps 60                                   </t>
    </r>
    <r>
      <rPr>
        <b/>
        <u/>
        <sz val="10"/>
        <color theme="1"/>
        <rFont val="Calibri"/>
        <family val="2"/>
        <charset val="238"/>
        <scheme val="minor"/>
      </rPr>
      <t>JEN PRO 1. LINII</t>
    </r>
  </si>
  <si>
    <r>
      <t>dávkování dle SPC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(pro účely přepočtu: 1 měsíc = 30,42 dne)</t>
    </r>
  </si>
  <si>
    <t>Novartis</t>
  </si>
  <si>
    <r>
      <t xml:space="preserve">ZYKADIA 150mg cps 90                                    </t>
    </r>
    <r>
      <rPr>
        <b/>
        <u/>
        <sz val="10"/>
        <color theme="1"/>
        <rFont val="Calibri"/>
        <family val="2"/>
        <charset val="238"/>
        <scheme val="minor"/>
      </rPr>
      <t>JEN PRO 2. LINII</t>
    </r>
  </si>
  <si>
    <r>
      <t xml:space="preserve">250mg 2x denně bez přerušení,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32</t>
    </r>
    <r>
      <rPr>
        <u/>
        <sz val="10"/>
        <color theme="1"/>
        <rFont val="Calibri"/>
        <family val="2"/>
        <charset val="238"/>
        <scheme val="minor"/>
      </rPr>
      <t>: 15,3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>34</t>
    </r>
    <r>
      <rPr>
        <u/>
        <sz val="10"/>
        <color theme="1"/>
        <rFont val="Calibri"/>
        <family val="2"/>
        <charset val="238"/>
        <scheme val="minor"/>
      </rPr>
      <t xml:space="preserve"> : 92%</t>
    </r>
  </si>
  <si>
    <r>
      <t xml:space="preserve">250mg 2x denně bez přerušení,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32</t>
    </r>
    <r>
      <rPr>
        <u/>
        <sz val="10"/>
        <color theme="1"/>
        <rFont val="Calibri"/>
        <family val="2"/>
        <charset val="238"/>
        <scheme val="minor"/>
      </rPr>
      <t>: 12,8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>34</t>
    </r>
    <r>
      <rPr>
        <u/>
        <sz val="10"/>
        <color theme="1"/>
        <rFont val="Calibri"/>
        <family val="2"/>
        <charset val="238"/>
        <scheme val="minor"/>
      </rPr>
      <t xml:space="preserve"> : 92%</t>
    </r>
  </si>
  <si>
    <r>
      <t xml:space="preserve">250mg 2x denně bez přerušení,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32</t>
    </r>
    <r>
      <rPr>
        <u/>
        <sz val="10"/>
        <color theme="1"/>
        <rFont val="Calibri"/>
        <family val="2"/>
        <charset val="238"/>
        <scheme val="minor"/>
      </rPr>
      <t>: 19,4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>34</t>
    </r>
    <r>
      <rPr>
        <u/>
        <sz val="10"/>
        <color theme="1"/>
        <rFont val="Calibri"/>
        <family val="2"/>
        <charset val="238"/>
        <scheme val="minor"/>
      </rPr>
      <t xml:space="preserve"> : 92%</t>
    </r>
  </si>
  <si>
    <r>
      <t xml:space="preserve">ALECENSA 150mg cps 224                                   </t>
    </r>
    <r>
      <rPr>
        <b/>
        <u/>
        <sz val="10"/>
        <color theme="1"/>
        <rFont val="Calibri"/>
        <family val="2"/>
        <charset val="238"/>
        <scheme val="minor"/>
      </rPr>
      <t>PRO 1. LINII</t>
    </r>
  </si>
  <si>
    <r>
      <t xml:space="preserve">ALECENSA 150mg cps 224                                   </t>
    </r>
    <r>
      <rPr>
        <b/>
        <u/>
        <sz val="10"/>
        <color theme="1"/>
        <rFont val="Calibri"/>
        <family val="2"/>
        <charset val="238"/>
        <scheme val="minor"/>
      </rPr>
      <t>PRO 2. LINII</t>
    </r>
  </si>
  <si>
    <t>Roche</t>
  </si>
  <si>
    <r>
      <t xml:space="preserve">600mg (čtyři 150mg cps) 2x denně s jídlem bez přerušení,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32</t>
    </r>
    <r>
      <rPr>
        <u/>
        <sz val="10"/>
        <color theme="1"/>
        <rFont val="Calibri"/>
        <family val="2"/>
        <charset val="238"/>
        <scheme val="minor"/>
      </rPr>
      <t>: 37,8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>34</t>
    </r>
    <r>
      <rPr>
        <u/>
        <sz val="10"/>
        <color theme="1"/>
        <rFont val="Calibri"/>
        <family val="2"/>
        <charset val="238"/>
        <scheme val="minor"/>
      </rPr>
      <t xml:space="preserve"> : 95,6%</t>
    </r>
  </si>
  <si>
    <r>
      <t xml:space="preserve">600mg (čtyři 150mg cps) 2x denně s jídlem bez přerušení,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32</t>
    </r>
    <r>
      <rPr>
        <u/>
        <sz val="10"/>
        <color theme="1"/>
        <rFont val="Calibri"/>
        <family val="2"/>
        <charset val="238"/>
        <scheme val="minor"/>
      </rPr>
      <t>: 26,2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>34</t>
    </r>
    <r>
      <rPr>
        <u/>
        <sz val="10"/>
        <color theme="1"/>
        <rFont val="Calibri"/>
        <family val="2"/>
        <charset val="238"/>
        <scheme val="minor"/>
      </rPr>
      <t xml:space="preserve"> : 95,6%</t>
    </r>
  </si>
  <si>
    <r>
      <t xml:space="preserve">600mg (čtyři 150mg cps) 2x denně s jídlem bez přerušení,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32</t>
    </r>
    <r>
      <rPr>
        <u/>
        <sz val="10"/>
        <color theme="1"/>
        <rFont val="Calibri"/>
        <family val="2"/>
        <charset val="238"/>
        <scheme val="minor"/>
      </rPr>
      <t>: 52,3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>34</t>
    </r>
    <r>
      <rPr>
        <u/>
        <sz val="10"/>
        <color theme="1"/>
        <rFont val="Calibri"/>
        <family val="2"/>
        <charset val="238"/>
        <scheme val="minor"/>
      </rPr>
      <t xml:space="preserve"> : 95,6%</t>
    </r>
  </si>
  <si>
    <r>
      <t xml:space="preserve">ALUNBRIG  180mg tbl 28                                        </t>
    </r>
    <r>
      <rPr>
        <b/>
        <u/>
        <sz val="10"/>
        <color theme="1"/>
        <rFont val="Calibri"/>
        <family val="2"/>
        <charset val="238"/>
        <scheme val="minor"/>
      </rPr>
      <t xml:space="preserve"> PRO 1. LINII</t>
    </r>
  </si>
  <si>
    <t>Takeda</t>
  </si>
  <si>
    <r>
      <t xml:space="preserve">180mg 1x denně (po počát. 7denní dávce 1x 90mg),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32</t>
    </r>
    <r>
      <rPr>
        <u/>
        <sz val="10"/>
        <color theme="1"/>
        <rFont val="Calibri"/>
        <family val="2"/>
        <charset val="238"/>
        <scheme val="minor"/>
      </rPr>
      <t>: 32,4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 xml:space="preserve">4 </t>
    </r>
    <r>
      <rPr>
        <u/>
        <sz val="10"/>
        <color theme="1"/>
        <rFont val="Calibri"/>
        <family val="2"/>
        <charset val="238"/>
        <scheme val="minor"/>
      </rPr>
      <t>: 88,9%</t>
    </r>
  </si>
  <si>
    <r>
      <t xml:space="preserve">180mg 1x denně (po počát. 7denní dávce 1x 90mg),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32</t>
    </r>
    <r>
      <rPr>
        <u/>
        <sz val="10"/>
        <color theme="1"/>
        <rFont val="Calibri"/>
        <family val="2"/>
        <charset val="238"/>
        <scheme val="minor"/>
      </rPr>
      <t>: 22,7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 xml:space="preserve">4 </t>
    </r>
    <r>
      <rPr>
        <u/>
        <sz val="10"/>
        <color theme="1"/>
        <rFont val="Calibri"/>
        <family val="2"/>
        <charset val="238"/>
        <scheme val="minor"/>
      </rPr>
      <t>: 88,9%</t>
    </r>
  </si>
  <si>
    <r>
      <t xml:space="preserve">180mg 1x denně (po počát. 7denní dávce 1x 90mg),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32</t>
    </r>
    <r>
      <rPr>
        <u/>
        <sz val="10"/>
        <color theme="1"/>
        <rFont val="Calibri"/>
        <family val="2"/>
        <charset val="238"/>
        <scheme val="minor"/>
      </rPr>
      <t>: 48,6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 xml:space="preserve">4 </t>
    </r>
    <r>
      <rPr>
        <u/>
        <sz val="10"/>
        <color theme="1"/>
        <rFont val="Calibri"/>
        <family val="2"/>
        <charset val="238"/>
        <scheme val="minor"/>
      </rPr>
      <t>: 88,9%</t>
    </r>
  </si>
  <si>
    <r>
      <t xml:space="preserve">450mg  (tj. tři 150mg cps) 1x denně s jídlem bez přerušení,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35</t>
    </r>
    <r>
      <rPr>
        <u/>
        <sz val="10"/>
        <color theme="1"/>
        <rFont val="Calibri"/>
        <family val="2"/>
        <charset val="238"/>
        <scheme val="minor"/>
      </rPr>
      <t>: 4,4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>4</t>
    </r>
    <r>
      <rPr>
        <u/>
        <sz val="10"/>
        <color theme="1"/>
        <rFont val="Calibri"/>
        <family val="2"/>
        <charset val="238"/>
        <scheme val="minor"/>
      </rPr>
      <t xml:space="preserve"> : 95%</t>
    </r>
  </si>
  <si>
    <r>
      <t xml:space="preserve">450mg  (tj. tři 150mg cps) 1x denně s jídlem bez přerušení,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35</t>
    </r>
    <r>
      <rPr>
        <u/>
        <sz val="10"/>
        <color theme="1"/>
        <rFont val="Calibri"/>
        <family val="2"/>
        <charset val="238"/>
        <scheme val="minor"/>
      </rPr>
      <t>: 2,4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>4</t>
    </r>
    <r>
      <rPr>
        <u/>
        <sz val="10"/>
        <color theme="1"/>
        <rFont val="Calibri"/>
        <family val="2"/>
        <charset val="238"/>
        <scheme val="minor"/>
      </rPr>
      <t xml:space="preserve"> : 95%</t>
    </r>
  </si>
  <si>
    <r>
      <t xml:space="preserve">450mg  (tj. tři 150mg cps) 1x denně s jídlem bez přerušení,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35</t>
    </r>
    <r>
      <rPr>
        <u/>
        <sz val="10"/>
        <color theme="1"/>
        <rFont val="Calibri"/>
        <family val="2"/>
        <charset val="238"/>
        <scheme val="minor"/>
      </rPr>
      <t>: 8,3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>4</t>
    </r>
    <r>
      <rPr>
        <u/>
        <sz val="10"/>
        <color theme="1"/>
        <rFont val="Calibri"/>
        <family val="2"/>
        <charset val="238"/>
        <scheme val="minor"/>
      </rPr>
      <t xml:space="preserve"> : 95%</t>
    </r>
  </si>
  <si>
    <r>
      <t xml:space="preserve">600mg (čtyři 150mg cps) 2x denně s jídlem bez přerušení,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35</t>
    </r>
    <r>
      <rPr>
        <u/>
        <sz val="10"/>
        <color theme="1"/>
        <rFont val="Calibri"/>
        <family val="2"/>
        <charset val="238"/>
        <scheme val="minor"/>
      </rPr>
      <t>: 7,7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>4</t>
    </r>
    <r>
      <rPr>
        <u/>
        <sz val="10"/>
        <color theme="1"/>
        <rFont val="Calibri"/>
        <family val="2"/>
        <charset val="238"/>
        <scheme val="minor"/>
      </rPr>
      <t xml:space="preserve"> : 95%</t>
    </r>
  </si>
  <si>
    <r>
      <t xml:space="preserve">600mg (čtyři 150mg cps) 2x denně s jídlem bez přerušení,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35</t>
    </r>
    <r>
      <rPr>
        <u/>
        <sz val="10"/>
        <color theme="1"/>
        <rFont val="Calibri"/>
        <family val="2"/>
        <charset val="238"/>
        <scheme val="minor"/>
      </rPr>
      <t>: 5,1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>4</t>
    </r>
    <r>
      <rPr>
        <u/>
        <sz val="10"/>
        <color theme="1"/>
        <rFont val="Calibri"/>
        <family val="2"/>
        <charset val="238"/>
        <scheme val="minor"/>
      </rPr>
      <t xml:space="preserve"> : 95%</t>
    </r>
  </si>
  <si>
    <r>
      <t xml:space="preserve">600mg (čtyři 150mg cps) 2x denně s jídlem bez přerušení,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35</t>
    </r>
    <r>
      <rPr>
        <u/>
        <sz val="10"/>
        <color theme="1"/>
        <rFont val="Calibri"/>
        <family val="2"/>
        <charset val="238"/>
        <scheme val="minor"/>
      </rPr>
      <t>: 11,5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>4</t>
    </r>
    <r>
      <rPr>
        <u/>
        <sz val="10"/>
        <color theme="1"/>
        <rFont val="Calibri"/>
        <family val="2"/>
        <charset val="238"/>
        <scheme val="minor"/>
      </rPr>
      <t xml:space="preserve"> : 95%</t>
    </r>
  </si>
  <si>
    <r>
      <t xml:space="preserve">180mg 1x denně (po počát. 7denní dávce 1x 90mg),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35</t>
    </r>
    <r>
      <rPr>
        <u/>
        <sz val="10"/>
        <color theme="1"/>
        <rFont val="Calibri"/>
        <family val="2"/>
        <charset val="238"/>
        <scheme val="minor"/>
      </rPr>
      <t>: 11,6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 xml:space="preserve">4 </t>
    </r>
    <r>
      <rPr>
        <u/>
        <sz val="10"/>
        <color theme="1"/>
        <rFont val="Calibri"/>
        <family val="2"/>
        <charset val="238"/>
        <scheme val="minor"/>
      </rPr>
      <t>: 88,9%</t>
    </r>
  </si>
  <si>
    <r>
      <t xml:space="preserve">ALUNBRIG  180mg tbl 28                                        </t>
    </r>
    <r>
      <rPr>
        <b/>
        <u/>
        <sz val="10"/>
        <color theme="1"/>
        <rFont val="Calibri"/>
        <family val="2"/>
        <charset val="238"/>
        <scheme val="minor"/>
      </rPr>
      <t xml:space="preserve"> PRO 2. LINII</t>
    </r>
  </si>
  <si>
    <r>
      <t xml:space="preserve">180mg 1x denně (po počát. 7denní dávce 1x 90mg),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35</t>
    </r>
    <r>
      <rPr>
        <u/>
        <sz val="10"/>
        <color theme="1"/>
        <rFont val="Calibri"/>
        <family val="2"/>
        <charset val="238"/>
        <scheme val="minor"/>
      </rPr>
      <t>: 6,6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 xml:space="preserve">4 </t>
    </r>
    <r>
      <rPr>
        <u/>
        <sz val="10"/>
        <color theme="1"/>
        <rFont val="Calibri"/>
        <family val="2"/>
        <charset val="238"/>
        <scheme val="minor"/>
      </rPr>
      <t>: 88,9%</t>
    </r>
  </si>
  <si>
    <r>
      <t xml:space="preserve">180mg 1x denně (po počát. 7denní dávce 1x 90mg), </t>
    </r>
    <r>
      <rPr>
        <u/>
        <sz val="10"/>
        <color theme="1"/>
        <rFont val="Calibri"/>
        <family val="2"/>
        <charset val="238"/>
        <scheme val="minor"/>
      </rPr>
      <t>doba terap. vypočtená</t>
    </r>
    <r>
      <rPr>
        <u/>
        <vertAlign val="superscript"/>
        <sz val="10"/>
        <color theme="1"/>
        <rFont val="Calibri"/>
        <family val="2"/>
        <charset val="238"/>
        <scheme val="minor"/>
      </rPr>
      <t>35</t>
    </r>
    <r>
      <rPr>
        <u/>
        <sz val="10"/>
        <color theme="1"/>
        <rFont val="Calibri"/>
        <family val="2"/>
        <charset val="238"/>
        <scheme val="minor"/>
      </rPr>
      <t>: 20,9 měs. , RDI dle</t>
    </r>
    <r>
      <rPr>
        <u/>
        <vertAlign val="superscript"/>
        <sz val="10"/>
        <color theme="1"/>
        <rFont val="Calibri"/>
        <family val="2"/>
        <charset val="238"/>
        <scheme val="minor"/>
      </rPr>
      <t xml:space="preserve">4 </t>
    </r>
    <r>
      <rPr>
        <u/>
        <sz val="10"/>
        <color theme="1"/>
        <rFont val="Calibri"/>
        <family val="2"/>
        <charset val="238"/>
        <scheme val="minor"/>
      </rPr>
      <t>: 88,9%</t>
    </r>
  </si>
  <si>
    <r>
      <rPr>
        <u/>
        <sz val="10"/>
        <color theme="1"/>
        <rFont val="Calibri"/>
        <family val="2"/>
        <charset val="238"/>
        <scheme val="minor"/>
      </rPr>
      <t>dle</t>
    </r>
    <r>
      <rPr>
        <u/>
        <vertAlign val="superscript"/>
        <sz val="10"/>
        <color theme="1"/>
        <rFont val="Calibri"/>
        <family val="2"/>
        <charset val="238"/>
        <scheme val="minor"/>
      </rPr>
      <t>31</t>
    </r>
    <r>
      <rPr>
        <u/>
        <sz val="10"/>
        <color theme="1"/>
        <rFont val="Calibri"/>
        <family val="2"/>
        <charset val="238"/>
        <scheme val="minor"/>
      </rPr>
      <t>:</t>
    </r>
    <r>
      <rPr>
        <sz val="10"/>
        <color theme="1"/>
        <rFont val="Calibri"/>
        <family val="2"/>
        <charset val="238"/>
        <scheme val="minor"/>
      </rPr>
      <t xml:space="preserve"> 500mg/m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 i.v. infuzí </t>
    </r>
    <r>
      <rPr>
        <sz val="10"/>
        <color theme="1"/>
        <rFont val="Calibri"/>
        <family val="2"/>
        <charset val="238"/>
      </rPr>
      <t>ā 3 týdny max. 6x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u/>
        <sz val="10"/>
        <color theme="1"/>
        <rFont val="Calibri"/>
        <family val="2"/>
        <charset val="238"/>
        <scheme val="minor"/>
      </rPr>
      <t xml:space="preserve">tzn. doba terap.: 18 týdnů </t>
    </r>
    <r>
      <rPr>
        <sz val="10"/>
        <color theme="1"/>
        <rFont val="Calibri"/>
        <family val="2"/>
        <charset val="238"/>
        <scheme val="minor"/>
      </rPr>
      <t>(LL95%PFS byl delší-6,8m.)</t>
    </r>
    <r>
      <rPr>
        <u/>
        <sz val="10"/>
        <color theme="1"/>
        <rFont val="Calibri"/>
        <family val="2"/>
        <charset val="238"/>
        <scheme val="minor"/>
      </rPr>
      <t>, RDI: 100% (dle</t>
    </r>
    <r>
      <rPr>
        <u/>
        <vertAlign val="superscript"/>
        <sz val="10"/>
        <color theme="1"/>
        <rFont val="Calibri"/>
        <family val="2"/>
        <charset val="238"/>
        <scheme val="minor"/>
      </rPr>
      <t>31</t>
    </r>
    <r>
      <rPr>
        <u/>
        <sz val="10"/>
        <color theme="1"/>
        <rFont val="Calibri"/>
        <family val="2"/>
        <charset val="238"/>
        <scheme val="minor"/>
      </rPr>
      <t xml:space="preserve"> nezjišť.)</t>
    </r>
  </si>
  <si>
    <r>
      <rPr>
        <u/>
        <sz val="10"/>
        <color theme="1"/>
        <rFont val="Calibri"/>
        <family val="2"/>
        <charset val="238"/>
        <scheme val="minor"/>
      </rPr>
      <t>dle</t>
    </r>
    <r>
      <rPr>
        <u/>
        <vertAlign val="superscript"/>
        <sz val="10"/>
        <color theme="1"/>
        <rFont val="Calibri"/>
        <family val="2"/>
        <charset val="238"/>
        <scheme val="minor"/>
      </rPr>
      <t>31</t>
    </r>
    <r>
      <rPr>
        <u/>
        <sz val="10"/>
        <color theme="1"/>
        <rFont val="Calibri"/>
        <family val="2"/>
        <charset val="238"/>
        <scheme val="minor"/>
      </rPr>
      <t>:</t>
    </r>
    <r>
      <rPr>
        <sz val="10"/>
        <color theme="1"/>
        <rFont val="Calibri"/>
        <family val="2"/>
        <charset val="238"/>
        <scheme val="minor"/>
      </rPr>
      <t xml:space="preserve"> 75mg/m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 i.v. infuzí </t>
    </r>
    <r>
      <rPr>
        <sz val="10"/>
        <color theme="1"/>
        <rFont val="Calibri"/>
        <family val="2"/>
        <charset val="238"/>
      </rPr>
      <t>ā 3 týdny max. 6x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u/>
        <sz val="10"/>
        <color theme="1"/>
        <rFont val="Calibri"/>
        <family val="2"/>
        <charset val="238"/>
        <scheme val="minor"/>
      </rPr>
      <t xml:space="preserve">tzn. doba terap.: 18 týdnů </t>
    </r>
    <r>
      <rPr>
        <sz val="10"/>
        <color theme="1"/>
        <rFont val="Calibri"/>
        <family val="2"/>
        <charset val="238"/>
        <scheme val="minor"/>
      </rPr>
      <t>(LL95%PFS byl delší-6,8m.)</t>
    </r>
    <r>
      <rPr>
        <u/>
        <sz val="10"/>
        <color theme="1"/>
        <rFont val="Calibri"/>
        <family val="2"/>
        <charset val="238"/>
        <scheme val="minor"/>
      </rPr>
      <t>, RDI: 100% (dle</t>
    </r>
    <r>
      <rPr>
        <u/>
        <vertAlign val="superscript"/>
        <sz val="10"/>
        <color theme="1"/>
        <rFont val="Calibri"/>
        <family val="2"/>
        <charset val="238"/>
        <scheme val="minor"/>
      </rPr>
      <t>31</t>
    </r>
    <r>
      <rPr>
        <u/>
        <sz val="10"/>
        <color theme="1"/>
        <rFont val="Calibri"/>
        <family val="2"/>
        <charset val="238"/>
        <scheme val="minor"/>
      </rPr>
      <t xml:space="preserve"> nezjišť.)</t>
    </r>
  </si>
  <si>
    <r>
      <t>75 mg/m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 1x za 3 týdny v hod. infuzi, </t>
    </r>
    <r>
      <rPr>
        <u/>
        <sz val="10"/>
        <color theme="1"/>
        <rFont val="Calibri"/>
        <family val="2"/>
        <charset val="238"/>
        <scheme val="minor"/>
      </rPr>
      <t>doba terap. dle LL95%CI PFS</t>
    </r>
    <r>
      <rPr>
        <u/>
        <vertAlign val="superscript"/>
        <sz val="10"/>
        <color theme="1"/>
        <rFont val="Calibri"/>
        <family val="2"/>
        <charset val="238"/>
        <scheme val="minor"/>
      </rPr>
      <t>27</t>
    </r>
    <r>
      <rPr>
        <u/>
        <sz val="10"/>
        <color theme="1"/>
        <rFont val="Calibri"/>
        <family val="2"/>
        <charset val="238"/>
        <scheme val="minor"/>
      </rPr>
      <t>: 1,3 měs. (2 cykly)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u/>
        <sz val="10"/>
        <color theme="1"/>
        <rFont val="Calibri"/>
        <family val="2"/>
        <charset val="238"/>
        <scheme val="minor"/>
      </rPr>
      <t>RDI: 100% (dle</t>
    </r>
    <r>
      <rPr>
        <u/>
        <vertAlign val="superscript"/>
        <sz val="10"/>
        <color theme="1"/>
        <rFont val="Calibri"/>
        <family val="2"/>
        <charset val="238"/>
        <scheme val="minor"/>
      </rPr>
      <t>27</t>
    </r>
    <r>
      <rPr>
        <u/>
        <sz val="10"/>
        <color theme="1"/>
        <rFont val="Calibri"/>
        <family val="2"/>
        <charset val="238"/>
        <scheme val="minor"/>
      </rPr>
      <t xml:space="preserve"> nezjišť.) </t>
    </r>
  </si>
  <si>
    <r>
      <t xml:space="preserve">cena za léčbu režimem 1 pac. při </t>
    </r>
    <r>
      <rPr>
        <b/>
        <u/>
        <sz val="11"/>
        <color theme="1"/>
        <rFont val="Calibri"/>
        <family val="2"/>
        <charset val="238"/>
        <scheme val="minor"/>
      </rPr>
      <t>dávk. dle sloupce "dávkování</t>
    </r>
    <r>
      <rPr>
        <b/>
        <sz val="11"/>
        <color theme="1"/>
        <rFont val="Calibri"/>
        <family val="2"/>
        <charset val="238"/>
        <scheme val="minor"/>
      </rPr>
      <t xml:space="preserve">"                                        </t>
    </r>
    <r>
      <rPr>
        <sz val="9"/>
        <color theme="1"/>
        <rFont val="Calibri"/>
        <family val="2"/>
        <charset val="238"/>
        <scheme val="minor"/>
      </rPr>
      <t>(počítání celých lahv.,                při BSA 2 m</t>
    </r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>)</t>
    </r>
  </si>
  <si>
    <t>násobek ceny za léčbu vůči CHT v dané linii</t>
  </si>
  <si>
    <t xml:space="preserve">název režimů </t>
  </si>
  <si>
    <t>mPFS               (dolní mez - měsíce)</t>
  </si>
  <si>
    <t>cena vynaložené do doby progrese (dolní mez)</t>
  </si>
  <si>
    <t>mPFS               (horní mez - měsíce)</t>
  </si>
  <si>
    <t>cena vynaložené do doby progrese (horní mez)</t>
  </si>
  <si>
    <t xml:space="preserve"> </t>
  </si>
  <si>
    <r>
      <rPr>
        <b/>
        <sz val="9"/>
        <color rgb="FFFFFF00"/>
        <rFont val="Calibri"/>
        <family val="2"/>
        <charset val="238"/>
      </rPr>
      <t>Δ</t>
    </r>
    <r>
      <rPr>
        <b/>
        <sz val="8.1"/>
        <color rgb="FFFFFF00"/>
        <rFont val="Calibri"/>
        <family val="2"/>
        <charset val="238"/>
      </rPr>
      <t xml:space="preserve"> c</t>
    </r>
    <r>
      <rPr>
        <b/>
        <sz val="9"/>
        <color rgb="FFFFFF00"/>
        <rFont val="Calibri"/>
        <family val="2"/>
        <charset val="238"/>
        <scheme val="minor"/>
      </rPr>
      <t>ena za rok u 100 pac., vč. bonusů</t>
    </r>
  </si>
  <si>
    <r>
      <t>bod. hodnota (ARR vůči SOC)</t>
    </r>
    <r>
      <rPr>
        <vertAlign val="superscript"/>
        <sz val="7.5"/>
        <color theme="1"/>
        <rFont val="Calibri"/>
        <family val="2"/>
        <charset val="238"/>
        <scheme val="minor"/>
      </rPr>
      <t>6</t>
    </r>
  </si>
  <si>
    <r>
      <t>horní mez      (ARR vůči SOC)</t>
    </r>
    <r>
      <rPr>
        <vertAlign val="superscript"/>
        <sz val="7.5"/>
        <color theme="1"/>
        <rFont val="Calibri"/>
        <family val="2"/>
        <charset val="238"/>
        <scheme val="minor"/>
      </rPr>
      <t>6</t>
    </r>
  </si>
  <si>
    <r>
      <t>dolní mez              (ARR vůči SOC)</t>
    </r>
    <r>
      <rPr>
        <vertAlign val="superscript"/>
        <sz val="7.5"/>
        <color theme="1"/>
        <rFont val="Calibri"/>
        <family val="2"/>
        <charset val="238"/>
        <scheme val="minor"/>
      </rPr>
      <t>6</t>
    </r>
  </si>
  <si>
    <t xml:space="preserve">ICER </t>
  </si>
  <si>
    <t>Cena za rok terapie u 100 pac., vč. bonusů</t>
  </si>
  <si>
    <r>
      <t>komb. CHT pemetrexed + cispl.   (pro BSA 2m</t>
    </r>
    <r>
      <rPr>
        <b/>
        <vertAlign val="superscript"/>
        <sz val="10"/>
        <color rgb="FF000000"/>
        <rFont val="Calibri"/>
        <family val="2"/>
        <charset val="238"/>
      </rPr>
      <t>2</t>
    </r>
    <r>
      <rPr>
        <b/>
        <sz val="10"/>
        <color indexed="8"/>
        <rFont val="Calibri"/>
        <family val="2"/>
        <charset val="238"/>
      </rPr>
      <t>)</t>
    </r>
  </si>
  <si>
    <r>
      <t>odhad mPFS</t>
    </r>
    <r>
      <rPr>
        <b/>
        <vertAlign val="superscript"/>
        <sz val="9"/>
        <rFont val="Arial"/>
        <family val="2"/>
        <charset val="238"/>
      </rPr>
      <t>32</t>
    </r>
    <r>
      <rPr>
        <b/>
        <sz val="9"/>
        <rFont val="Arial"/>
        <family val="2"/>
        <charset val="238"/>
      </rPr>
      <t xml:space="preserve">               (měsíce)</t>
    </r>
  </si>
  <si>
    <t>ICER vůči CHT (bod. hodnota, dolní či horní mez)</t>
  </si>
  <si>
    <r>
      <t xml:space="preserve">cena za léčbu 1 pac. režimem vč. dalších nákladů jen u CHT!    </t>
    </r>
    <r>
      <rPr>
        <sz val="10"/>
        <color theme="1"/>
        <rFont val="Calibri"/>
        <family val="2"/>
        <charset val="238"/>
        <scheme val="minor"/>
      </rPr>
      <t>(+ za přípravu/ aplik. inf. a komedikaci - viz pozn. 28)</t>
    </r>
  </si>
  <si>
    <r>
      <t xml:space="preserve">XALKORI 250mg cps 60  (krizotinib)    </t>
    </r>
    <r>
      <rPr>
        <b/>
        <u/>
        <sz val="10"/>
        <color theme="1"/>
        <rFont val="Calibri"/>
        <family val="2"/>
        <charset val="238"/>
        <scheme val="minor"/>
      </rPr>
      <t>JEN PRO 1. LINII</t>
    </r>
  </si>
  <si>
    <r>
      <t xml:space="preserve">ALECENSA 150mg cps 224  (alektinib)   </t>
    </r>
    <r>
      <rPr>
        <b/>
        <u/>
        <sz val="10"/>
        <color theme="1"/>
        <rFont val="Calibri"/>
        <family val="2"/>
        <charset val="238"/>
        <scheme val="minor"/>
      </rPr>
      <t>PRO 1. LINII</t>
    </r>
  </si>
  <si>
    <r>
      <t xml:space="preserve">ALUNBRIG  180mg tbl 28  (brigatinib) </t>
    </r>
    <r>
      <rPr>
        <b/>
        <u/>
        <sz val="10"/>
        <color theme="1"/>
        <rFont val="Calibri"/>
        <family val="2"/>
        <charset val="238"/>
        <scheme val="minor"/>
      </rPr>
      <t xml:space="preserve"> PRO 1. LINII</t>
    </r>
  </si>
  <si>
    <t>ALUNBRIG  180mg tbl 28  (brigatinib) - 2. gen. ALK-TKI - cca stejně účinný (dle PFS) jako ALECENSA</t>
  </si>
  <si>
    <t>XALKORI 250mg cps 60  (krizotinib) - 1. gen. ALK-TKI - je nejméně účinný z ALK-TKI (dle PFS)</t>
  </si>
  <si>
    <r>
      <t>cena za léčbu 1 pac. do progrese/úmrtí režimem vč. dalších nákladů pro CHT!</t>
    </r>
    <r>
      <rPr>
        <b/>
        <sz val="10"/>
        <color theme="1"/>
        <rFont val="Calibri"/>
        <family val="2"/>
        <charset val="238"/>
        <scheme val="minor"/>
      </rPr>
      <t xml:space="preserve">                     </t>
    </r>
    <r>
      <rPr>
        <sz val="9"/>
        <color theme="1"/>
        <rFont val="Calibri"/>
        <family val="2"/>
        <charset val="238"/>
        <scheme val="minor"/>
      </rPr>
      <t>(tj. + za přípravu/aplikaci inf. a komedikaci - viz pozn. 28)</t>
    </r>
  </si>
  <si>
    <t>rozdíl mezi cenou za celk. léčbu pac. do progrese/ úmrtí ALUNBRIGEM a srovnávanému ALK-TKI v dané linii</t>
  </si>
  <si>
    <r>
      <t>mono - CHT docetaxel   (pro BSA 2m</t>
    </r>
    <r>
      <rPr>
        <b/>
        <vertAlign val="superscript"/>
        <sz val="10"/>
        <color rgb="FF000000"/>
        <rFont val="Calibri"/>
        <family val="2"/>
        <charset val="238"/>
      </rPr>
      <t>2</t>
    </r>
    <r>
      <rPr>
        <b/>
        <sz val="10"/>
        <color indexed="8"/>
        <rFont val="Calibri"/>
        <family val="2"/>
        <charset val="238"/>
      </rPr>
      <t>)</t>
    </r>
  </si>
  <si>
    <r>
      <t xml:space="preserve">ZYKADIA 150mg cps 90  (ceritinib)   </t>
    </r>
    <r>
      <rPr>
        <b/>
        <u/>
        <sz val="10"/>
        <color theme="1"/>
        <rFont val="Calibri"/>
        <family val="2"/>
        <charset val="238"/>
        <scheme val="minor"/>
      </rPr>
      <t>JEN PRO 2. LINII</t>
    </r>
  </si>
  <si>
    <r>
      <t xml:space="preserve">ALECENSA 150mg cps 224  (alektinib)   </t>
    </r>
    <r>
      <rPr>
        <b/>
        <u/>
        <sz val="10"/>
        <color theme="1"/>
        <rFont val="Calibri"/>
        <family val="2"/>
        <charset val="238"/>
        <scheme val="minor"/>
      </rPr>
      <t>PRO 2. LINII</t>
    </r>
  </si>
  <si>
    <r>
      <t xml:space="preserve">ALUNBRIG  180mg tbl 28  (brigatinib) </t>
    </r>
    <r>
      <rPr>
        <b/>
        <u/>
        <sz val="10"/>
        <color theme="1"/>
        <rFont val="Calibri"/>
        <family val="2"/>
        <charset val="238"/>
        <scheme val="minor"/>
      </rPr>
      <t xml:space="preserve"> PRO 2. LINII</t>
    </r>
  </si>
  <si>
    <r>
      <t>odhad mPFS</t>
    </r>
    <r>
      <rPr>
        <b/>
        <vertAlign val="superscript"/>
        <sz val="9"/>
        <rFont val="Arial"/>
        <family val="2"/>
        <charset val="238"/>
      </rPr>
      <t>35</t>
    </r>
    <r>
      <rPr>
        <b/>
        <sz val="9"/>
        <rFont val="Arial"/>
        <family val="2"/>
        <charset val="238"/>
      </rPr>
      <t xml:space="preserve">               (měsíce)</t>
    </r>
  </si>
  <si>
    <t>cena s DPH (NCSD) k 22.12.2022</t>
  </si>
  <si>
    <t>cena s DPH (NCSD) k 22.12.2022 vč. bonusu</t>
  </si>
  <si>
    <r>
      <t xml:space="preserve">rozdíl mezi cenou za léčbu </t>
    </r>
    <r>
      <rPr>
        <b/>
        <u/>
        <sz val="14"/>
        <color theme="1"/>
        <rFont val="Calibri"/>
        <family val="2"/>
        <charset val="238"/>
        <scheme val="minor"/>
      </rPr>
      <t>ALUNBRIGEM (cca 830 tisíc Kč)</t>
    </r>
    <r>
      <rPr>
        <b/>
        <sz val="14"/>
        <color theme="1"/>
        <rFont val="Calibri"/>
        <family val="2"/>
        <charset val="238"/>
        <scheme val="minor"/>
      </rPr>
      <t xml:space="preserve"> a danému ALK-TKI </t>
    </r>
    <r>
      <rPr>
        <b/>
        <u/>
        <sz val="14"/>
        <color theme="1"/>
        <rFont val="Calibri"/>
        <family val="2"/>
        <charset val="238"/>
        <scheme val="minor"/>
      </rPr>
      <t>za                 1. rok léčby</t>
    </r>
    <r>
      <rPr>
        <b/>
        <sz val="14"/>
        <color theme="1"/>
        <rFont val="Calibri"/>
        <family val="2"/>
        <charset val="238"/>
        <scheme val="minor"/>
      </rPr>
      <t xml:space="preserve"> v 1. linii</t>
    </r>
  </si>
  <si>
    <t>ALUNBRIG  180mg tbl 28  (brigatinib) -                2. gen. ALK-TKI - v porovnání s ALECENSOU jsou výsledky (dle PFS) nejednoznačné37 (je stejný nebo o něco lepší než ALECENSA)</t>
  </si>
  <si>
    <t>ZYKADIA 150mg cps 90  (ceritinib) -                            2. gen. ALK-TKI - je z těchto tří ALK-TKI pravděpodobně nejméně účinná (dle PFS)</t>
  </si>
  <si>
    <t>ALECENSA 150mg cps 224  (alektinib) -              2. gen. ALK-TKI - v porovnání s ALUNBRIGEM jsou výsledky (dle PFS) nejednoznačné37 (je stejná nebo o něco horší než ALUNBRIG)</t>
  </si>
  <si>
    <t>ALECENSA 150mg cps 224  (alektinib) - 2. gen. ALK-TKI - cca stejně účinná (dle PFS) jako ALUNBRIG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</si>
</sst>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0.0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u/>
      <vertAlign val="superscript"/>
      <sz val="10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rgb="FFFFFF00"/>
      <name val="Calibri"/>
      <family val="2"/>
      <charset val="238"/>
      <scheme val="minor"/>
    </font>
    <font>
      <b/>
      <sz val="9"/>
      <color rgb="FFFFFF00"/>
      <name val="Calibri"/>
      <family val="2"/>
      <charset val="238"/>
    </font>
    <font>
      <b/>
      <sz val="8.1"/>
      <color rgb="FFFFFF00"/>
      <name val="Calibri"/>
      <family val="2"/>
      <charset val="238"/>
    </font>
    <font>
      <sz val="7.5"/>
      <color theme="1"/>
      <name val="Calibri"/>
      <family val="2"/>
      <charset val="238"/>
      <scheme val="minor"/>
    </font>
    <font>
      <vertAlign val="superscript"/>
      <sz val="7.5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vertAlign val="superscript"/>
      <sz val="10"/>
      <color rgb="FF000000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b/>
      <u/>
      <sz val="14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9"/>
        <bgColor indexed="46"/>
      </patternFill>
    </fill>
    <fill>
      <patternFill patternType="solid">
        <fgColor rgb="FF00B0F0"/>
        <bgColor indexed="46"/>
      </patternFill>
    </fill>
    <fill>
      <patternFill patternType="solid">
        <fgColor theme="0" tint="-4.9989318521683403E-2"/>
        <bgColor indexed="46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2" fillId="0" borderId="0"/>
    <xf numFmtId="0" fontId="23" fillId="0" borderId="0"/>
  </cellStyleXfs>
  <cellXfs count="167">
    <xf numFmtId="0" fontId="0" fillId="0" borderId="0" xfId="0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0" fillId="0" borderId="0" xfId="0" applyNumberFormat="1"/>
    <xf numFmtId="10" fontId="0" fillId="0" borderId="17" xfId="0" applyNumberFormat="1" applyBorder="1"/>
    <xf numFmtId="0" fontId="2" fillId="3" borderId="20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" fontId="14" fillId="6" borderId="18" xfId="0" applyNumberFormat="1" applyFont="1" applyFill="1" applyBorder="1" applyAlignment="1">
      <alignment horizontal="center" vertical="center"/>
    </xf>
    <xf numFmtId="165" fontId="13" fillId="7" borderId="15" xfId="0" applyNumberFormat="1" applyFont="1" applyFill="1" applyBorder="1" applyAlignment="1">
      <alignment horizontal="center" vertical="center"/>
    </xf>
    <xf numFmtId="165" fontId="13" fillId="6" borderId="16" xfId="0" applyNumberFormat="1" applyFont="1" applyFill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/>
    </xf>
    <xf numFmtId="165" fontId="17" fillId="4" borderId="16" xfId="0" applyNumberFormat="1" applyFont="1" applyFill="1" applyBorder="1" applyAlignment="1">
      <alignment horizontal="center" vertical="center"/>
    </xf>
    <xf numFmtId="1" fontId="17" fillId="4" borderId="16" xfId="0" applyNumberFormat="1" applyFont="1" applyFill="1" applyBorder="1" applyAlignment="1">
      <alignment horizontal="center" vertical="center"/>
    </xf>
    <xf numFmtId="0" fontId="6" fillId="5" borderId="0" xfId="0" applyFont="1" applyFill="1"/>
    <xf numFmtId="0" fontId="0" fillId="5" borderId="0" xfId="0" applyFill="1"/>
    <xf numFmtId="0" fontId="16" fillId="5" borderId="0" xfId="0" applyFont="1" applyFill="1"/>
    <xf numFmtId="0" fontId="15" fillId="5" borderId="0" xfId="0" applyFont="1" applyFill="1"/>
    <xf numFmtId="0" fontId="15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/>
    </xf>
    <xf numFmtId="6" fontId="15" fillId="5" borderId="0" xfId="0" applyNumberFormat="1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0" fillId="0" borderId="1" xfId="1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5" fontId="17" fillId="0" borderId="30" xfId="0" applyNumberFormat="1" applyFont="1" applyBorder="1" applyAlignment="1">
      <alignment horizontal="center" vertical="center"/>
    </xf>
    <xf numFmtId="166" fontId="17" fillId="0" borderId="30" xfId="0" applyNumberFormat="1" applyFont="1" applyBorder="1" applyAlignment="1">
      <alignment horizontal="center" vertical="center"/>
    </xf>
    <xf numFmtId="165" fontId="13" fillId="7" borderId="30" xfId="0" applyNumberFormat="1" applyFont="1" applyFill="1" applyBorder="1" applyAlignment="1">
      <alignment horizontal="center" vertical="center"/>
    </xf>
    <xf numFmtId="166" fontId="14" fillId="7" borderId="31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164" fontId="0" fillId="0" borderId="4" xfId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164" fontId="0" fillId="0" borderId="7" xfId="1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5" fontId="17" fillId="0" borderId="37" xfId="0" applyNumberFormat="1" applyFont="1" applyBorder="1" applyAlignment="1">
      <alignment horizontal="center" vertical="center"/>
    </xf>
    <xf numFmtId="165" fontId="13" fillId="7" borderId="37" xfId="0" applyNumberFormat="1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17" fillId="0" borderId="16" xfId="0" applyNumberFormat="1" applyFont="1" applyBorder="1" applyAlignment="1">
      <alignment horizontal="center" vertical="center"/>
    </xf>
    <xf numFmtId="165" fontId="13" fillId="7" borderId="16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17" fillId="4" borderId="37" xfId="0" applyNumberFormat="1" applyFont="1" applyFill="1" applyBorder="1" applyAlignment="1">
      <alignment horizontal="center" vertical="center"/>
    </xf>
    <xf numFmtId="1" fontId="17" fillId="4" borderId="37" xfId="0" applyNumberFormat="1" applyFont="1" applyFill="1" applyBorder="1" applyAlignment="1">
      <alignment horizontal="center" vertical="center"/>
    </xf>
    <xf numFmtId="165" fontId="13" fillId="6" borderId="37" xfId="0" applyNumberFormat="1" applyFont="1" applyFill="1" applyBorder="1" applyAlignment="1">
      <alignment horizontal="center" vertical="center"/>
    </xf>
    <xf numFmtId="1" fontId="14" fillId="6" borderId="38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0" fontId="0" fillId="0" borderId="37" xfId="0" applyNumberFormat="1" applyBorder="1"/>
    <xf numFmtId="10" fontId="0" fillId="0" borderId="15" xfId="0" applyNumberFormat="1" applyBorder="1"/>
    <xf numFmtId="10" fontId="0" fillId="0" borderId="16" xfId="0" applyNumberFormat="1" applyBorder="1"/>
    <xf numFmtId="165" fontId="0" fillId="0" borderId="0" xfId="0" applyNumberFormat="1"/>
    <xf numFmtId="1" fontId="17" fillId="0" borderId="37" xfId="0" applyNumberFormat="1" applyFont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1" fontId="17" fillId="0" borderId="17" xfId="0" applyNumberFormat="1" applyFont="1" applyBorder="1" applyAlignment="1">
      <alignment horizontal="center" vertical="center"/>
    </xf>
    <xf numFmtId="1" fontId="17" fillId="4" borderId="15" xfId="0" applyNumberFormat="1" applyFont="1" applyFill="1" applyBorder="1" applyAlignment="1">
      <alignment horizontal="center" vertical="center"/>
    </xf>
    <xf numFmtId="1" fontId="14" fillId="7" borderId="38" xfId="0" applyNumberFormat="1" applyFont="1" applyFill="1" applyBorder="1" applyAlignment="1">
      <alignment horizontal="center" vertical="center"/>
    </xf>
    <xf numFmtId="0" fontId="21" fillId="6" borderId="20" xfId="0" applyFont="1" applyFill="1" applyBorder="1" applyAlignment="1">
      <alignment horizontal="center" vertical="center" wrapText="1"/>
    </xf>
    <xf numFmtId="1" fontId="14" fillId="7" borderId="21" xfId="0" applyNumberFormat="1" applyFont="1" applyFill="1" applyBorder="1" applyAlignment="1">
      <alignment horizontal="center" vertical="center"/>
    </xf>
    <xf numFmtId="1" fontId="14" fillId="7" borderId="18" xfId="0" applyNumberFormat="1" applyFont="1" applyFill="1" applyBorder="1" applyAlignment="1">
      <alignment horizontal="center" vertical="center"/>
    </xf>
    <xf numFmtId="165" fontId="14" fillId="7" borderId="37" xfId="0" applyNumberFormat="1" applyFont="1" applyFill="1" applyBorder="1" applyAlignment="1">
      <alignment horizontal="center" vertical="center"/>
    </xf>
    <xf numFmtId="165" fontId="14" fillId="7" borderId="15" xfId="0" applyNumberFormat="1" applyFont="1" applyFill="1" applyBorder="1" applyAlignment="1">
      <alignment horizontal="center" vertical="center"/>
    </xf>
    <xf numFmtId="165" fontId="14" fillId="7" borderId="16" xfId="0" applyNumberFormat="1" applyFont="1" applyFill="1" applyBorder="1" applyAlignment="1">
      <alignment horizontal="center" vertical="center"/>
    </xf>
    <xf numFmtId="165" fontId="17" fillId="4" borderId="15" xfId="0" applyNumberFormat="1" applyFont="1" applyFill="1" applyBorder="1" applyAlignment="1">
      <alignment horizontal="center" vertical="center"/>
    </xf>
    <xf numFmtId="165" fontId="13" fillId="6" borderId="15" xfId="0" applyNumberFormat="1" applyFont="1" applyFill="1" applyBorder="1" applyAlignment="1">
      <alignment horizontal="center" vertical="center"/>
    </xf>
    <xf numFmtId="1" fontId="14" fillId="6" borderId="21" xfId="0" applyNumberFormat="1" applyFont="1" applyFill="1" applyBorder="1" applyAlignment="1">
      <alignment horizontal="center" vertical="center"/>
    </xf>
    <xf numFmtId="0" fontId="22" fillId="0" borderId="0" xfId="2"/>
    <xf numFmtId="0" fontId="24" fillId="8" borderId="41" xfId="3" applyFont="1" applyFill="1" applyBorder="1" applyAlignment="1">
      <alignment horizontal="center" vertical="center" wrapText="1"/>
    </xf>
    <xf numFmtId="0" fontId="25" fillId="8" borderId="41" xfId="3" applyFont="1" applyFill="1" applyBorder="1" applyAlignment="1">
      <alignment horizontal="center" vertical="center" wrapText="1"/>
    </xf>
    <xf numFmtId="0" fontId="25" fillId="9" borderId="41" xfId="3" applyFont="1" applyFill="1" applyBorder="1" applyAlignment="1">
      <alignment horizontal="center" vertical="center" wrapText="1"/>
    </xf>
    <xf numFmtId="0" fontId="26" fillId="8" borderId="41" xfId="3" applyFont="1" applyFill="1" applyBorder="1" applyAlignment="1">
      <alignment horizontal="center" vertical="center" wrapText="1"/>
    </xf>
    <xf numFmtId="0" fontId="25" fillId="10" borderId="41" xfId="3" applyFont="1" applyFill="1" applyBorder="1" applyAlignment="1">
      <alignment horizontal="center" vertical="center" wrapText="1"/>
    </xf>
    <xf numFmtId="0" fontId="27" fillId="0" borderId="41" xfId="3" applyFont="1" applyFill="1" applyBorder="1" applyAlignment="1">
      <alignment horizontal="center" vertical="center" wrapText="1"/>
    </xf>
    <xf numFmtId="0" fontId="28" fillId="0" borderId="41" xfId="3" applyFont="1" applyFill="1" applyBorder="1" applyAlignment="1">
      <alignment horizontal="center" vertical="center" wrapText="1"/>
    </xf>
    <xf numFmtId="166" fontId="28" fillId="0" borderId="41" xfId="3" applyNumberFormat="1" applyFont="1" applyFill="1" applyBorder="1" applyAlignment="1">
      <alignment horizontal="center" vertical="center" wrapText="1"/>
    </xf>
    <xf numFmtId="165" fontId="29" fillId="0" borderId="41" xfId="2" applyNumberFormat="1" applyFont="1" applyBorder="1" applyAlignment="1">
      <alignment horizontal="center" vertical="center"/>
    </xf>
    <xf numFmtId="166" fontId="30" fillId="0" borderId="41" xfId="2" applyNumberFormat="1" applyFont="1" applyBorder="1" applyAlignment="1">
      <alignment horizontal="center" vertical="center"/>
    </xf>
    <xf numFmtId="165" fontId="31" fillId="0" borderId="41" xfId="2" applyNumberFormat="1" applyFont="1" applyBorder="1" applyAlignment="1">
      <alignment horizontal="center" vertical="center"/>
    </xf>
    <xf numFmtId="165" fontId="31" fillId="5" borderId="41" xfId="2" applyNumberFormat="1" applyFont="1" applyFill="1" applyBorder="1" applyAlignment="1">
      <alignment horizontal="center" vertical="center"/>
    </xf>
    <xf numFmtId="166" fontId="28" fillId="0" borderId="41" xfId="3" applyNumberFormat="1" applyFont="1" applyBorder="1" applyAlignment="1">
      <alignment horizontal="center" vertical="center" wrapText="1"/>
    </xf>
    <xf numFmtId="165" fontId="28" fillId="0" borderId="41" xfId="3" applyNumberFormat="1" applyFont="1" applyFill="1" applyBorder="1" applyAlignment="1">
      <alignment horizontal="center" vertical="center" wrapText="1"/>
    </xf>
    <xf numFmtId="166" fontId="30" fillId="0" borderId="41" xfId="2" applyNumberFormat="1" applyFont="1" applyFill="1" applyBorder="1" applyAlignment="1">
      <alignment horizontal="center" vertical="center"/>
    </xf>
    <xf numFmtId="165" fontId="31" fillId="0" borderId="41" xfId="2" applyNumberFormat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horizontal="center" vertical="center" wrapText="1"/>
    </xf>
    <xf numFmtId="0" fontId="33" fillId="11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/>
    </xf>
    <xf numFmtId="166" fontId="0" fillId="5" borderId="1" xfId="0" applyNumberForma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65" fontId="1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36" fillId="5" borderId="0" xfId="0" applyFont="1" applyFill="1"/>
    <xf numFmtId="0" fontId="15" fillId="5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40" fillId="0" borderId="41" xfId="3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21" fillId="12" borderId="20" xfId="0" applyFont="1" applyFill="1" applyBorder="1" applyAlignment="1">
      <alignment horizontal="center" vertical="center" wrapText="1"/>
    </xf>
    <xf numFmtId="166" fontId="14" fillId="0" borderId="32" xfId="0" applyNumberFormat="1" applyFont="1" applyFill="1" applyBorder="1" applyAlignment="1">
      <alignment horizontal="center" vertical="center"/>
    </xf>
    <xf numFmtId="165" fontId="14" fillId="0" borderId="34" xfId="0" applyNumberFormat="1" applyFont="1" applyFill="1" applyBorder="1" applyAlignment="1">
      <alignment horizontal="center" vertical="center"/>
    </xf>
    <xf numFmtId="166" fontId="14" fillId="0" borderId="36" xfId="0" applyNumberFormat="1" applyFont="1" applyFill="1" applyBorder="1" applyAlignment="1">
      <alignment horizontal="center" vertical="center"/>
    </xf>
    <xf numFmtId="165" fontId="14" fillId="0" borderId="37" xfId="0" applyNumberFormat="1" applyFont="1" applyFill="1" applyBorder="1" applyAlignment="1">
      <alignment horizontal="center" vertical="center"/>
    </xf>
    <xf numFmtId="165" fontId="14" fillId="0" borderId="15" xfId="0" applyNumberFormat="1" applyFont="1" applyFill="1" applyBorder="1" applyAlignment="1">
      <alignment horizontal="center" vertical="center"/>
    </xf>
    <xf numFmtId="165" fontId="14" fillId="0" borderId="16" xfId="0" applyNumberFormat="1" applyFont="1" applyFill="1" applyBorder="1" applyAlignment="1">
      <alignment horizontal="center" vertical="center"/>
    </xf>
    <xf numFmtId="1" fontId="14" fillId="0" borderId="32" xfId="0" applyNumberFormat="1" applyFont="1" applyFill="1" applyBorder="1" applyAlignment="1">
      <alignment horizontal="center" vertical="center"/>
    </xf>
    <xf numFmtId="1" fontId="14" fillId="0" borderId="34" xfId="0" applyNumberFormat="1" applyFont="1" applyFill="1" applyBorder="1" applyAlignment="1">
      <alignment horizontal="center" vertical="center"/>
    </xf>
    <xf numFmtId="1" fontId="14" fillId="0" borderId="42" xfId="0" applyNumberFormat="1" applyFont="1" applyFill="1" applyBorder="1" applyAlignment="1">
      <alignment horizontal="center" vertical="center"/>
    </xf>
    <xf numFmtId="1" fontId="14" fillId="0" borderId="40" xfId="0" applyNumberFormat="1" applyFont="1" applyFill="1" applyBorder="1" applyAlignment="1">
      <alignment horizontal="center" vertical="center"/>
    </xf>
    <xf numFmtId="1" fontId="14" fillId="0" borderId="36" xfId="0" applyNumberFormat="1" applyFont="1" applyFill="1" applyBorder="1" applyAlignment="1">
      <alignment horizontal="center" vertical="center"/>
    </xf>
    <xf numFmtId="1" fontId="14" fillId="0" borderId="43" xfId="0" applyNumberFormat="1" applyFont="1" applyFill="1" applyBorder="1" applyAlignment="1">
      <alignment horizontal="center" vertical="center"/>
    </xf>
    <xf numFmtId="166" fontId="14" fillId="0" borderId="34" xfId="0" applyNumberFormat="1" applyFont="1" applyFill="1" applyBorder="1" applyAlignment="1">
      <alignment horizontal="center" vertical="center"/>
    </xf>
    <xf numFmtId="44" fontId="1" fillId="4" borderId="4" xfId="1" applyFont="1" applyFill="1" applyBorder="1" applyAlignment="1">
      <alignment vertical="center"/>
    </xf>
    <xf numFmtId="44" fontId="1" fillId="4" borderId="22" xfId="1" applyFont="1" applyFill="1" applyBorder="1" applyAlignment="1">
      <alignment vertical="center"/>
    </xf>
    <xf numFmtId="44" fontId="1" fillId="4" borderId="1" xfId="1" applyFont="1" applyFill="1" applyBorder="1" applyAlignment="1">
      <alignment vertical="center"/>
    </xf>
    <xf numFmtId="44" fontId="1" fillId="4" borderId="23" xfId="1" applyFont="1" applyFill="1" applyBorder="1" applyAlignment="1">
      <alignment vertical="center"/>
    </xf>
    <xf numFmtId="44" fontId="1" fillId="4" borderId="7" xfId="1" applyFont="1" applyFill="1" applyBorder="1" applyAlignment="1">
      <alignment vertical="center"/>
    </xf>
    <xf numFmtId="44" fontId="1" fillId="4" borderId="8" xfId="1" applyFont="1" applyFill="1" applyBorder="1" applyAlignment="1">
      <alignment vertical="center"/>
    </xf>
    <xf numFmtId="165" fontId="14" fillId="12" borderId="34" xfId="0" applyNumberFormat="1" applyFont="1" applyFill="1" applyBorder="1" applyAlignment="1">
      <alignment horizontal="center" vertical="center"/>
    </xf>
    <xf numFmtId="165" fontId="14" fillId="12" borderId="40" xfId="0" applyNumberFormat="1" applyFont="1" applyFill="1" applyBorder="1" applyAlignment="1">
      <alignment horizontal="center" vertical="center"/>
    </xf>
    <xf numFmtId="165" fontId="14" fillId="12" borderId="36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165" fontId="13" fillId="7" borderId="34" xfId="0" applyNumberFormat="1" applyFont="1" applyFill="1" applyBorder="1" applyAlignment="1">
      <alignment horizontal="center" vertical="center"/>
    </xf>
    <xf numFmtId="165" fontId="13" fillId="7" borderId="36" xfId="0" applyNumberFormat="1" applyFont="1" applyFill="1" applyBorder="1" applyAlignment="1">
      <alignment horizontal="center" vertical="center"/>
    </xf>
    <xf numFmtId="166" fontId="14" fillId="7" borderId="34" xfId="0" applyNumberFormat="1" applyFont="1" applyFill="1" applyBorder="1" applyAlignment="1">
      <alignment horizontal="center" vertical="center"/>
    </xf>
    <xf numFmtId="166" fontId="14" fillId="7" borderId="36" xfId="0" applyNumberFormat="1" applyFont="1" applyFill="1" applyBorder="1" applyAlignment="1">
      <alignment horizontal="center" vertical="center"/>
    </xf>
    <xf numFmtId="165" fontId="17" fillId="0" borderId="34" xfId="0" applyNumberFormat="1" applyFont="1" applyBorder="1" applyAlignment="1">
      <alignment horizontal="center" vertical="center"/>
    </xf>
    <xf numFmtId="165" fontId="17" fillId="0" borderId="36" xfId="0" applyNumberFormat="1" applyFont="1" applyBorder="1" applyAlignment="1">
      <alignment horizontal="center" vertical="center"/>
    </xf>
    <xf numFmtId="166" fontId="17" fillId="0" borderId="34" xfId="0" applyNumberFormat="1" applyFont="1" applyBorder="1" applyAlignment="1">
      <alignment horizontal="center" vertical="center"/>
    </xf>
    <xf numFmtId="166" fontId="17" fillId="0" borderId="40" xfId="0" applyNumberFormat="1" applyFont="1" applyBorder="1" applyAlignment="1">
      <alignment horizontal="center" vertical="center"/>
    </xf>
  </cellXfs>
  <cellStyles count="4">
    <cellStyle name="Excel Built-in Normal" xfId="3" xr:uid="{228AE701-E528-40CA-BB31-FCE10ED935E1}"/>
    <cellStyle name="Měna" xfId="1" builtinId="4"/>
    <cellStyle name="Normální" xfId="0" builtinId="0"/>
    <cellStyle name="Normální 2" xfId="2" xr:uid="{FB1E4D63-67D4-490F-87BF-90DD0C7CCE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4622124293946"/>
          <c:y val="0.11648780832819507"/>
          <c:w val="0.781127726042812"/>
          <c:h val="0.498326974734431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'CEA eff.front.1.linie'!$J$2</c:f>
              <c:strCache>
                <c:ptCount val="1"/>
                <c:pt idx="0">
                  <c:v>cena za léčbu 1 pac. režimem vč. dalších nákladů jen u CHT!    (+ za přípravu/ aplik. inf. a komedikaci - viz pozn. 28)</c:v>
                </c:pt>
              </c:strCache>
            </c:strRef>
          </c:tx>
          <c:spPr>
            <a:ln w="28575">
              <a:noFill/>
            </a:ln>
          </c:spPr>
          <c:xVal>
            <c:numRef>
              <c:f>'CEA eff.front.1.linie'!$I$3:$I$19</c:f>
              <c:numCache>
                <c:formatCode>0.0</c:formatCode>
                <c:ptCount val="17"/>
                <c:pt idx="0">
                  <c:v>6.8</c:v>
                </c:pt>
                <c:pt idx="1">
                  <c:v>15.3</c:v>
                </c:pt>
                <c:pt idx="2">
                  <c:v>12.8</c:v>
                </c:pt>
                <c:pt idx="3">
                  <c:v>19.399999999999999</c:v>
                </c:pt>
                <c:pt idx="4">
                  <c:v>37.799999999999997</c:v>
                </c:pt>
                <c:pt idx="5">
                  <c:v>26.2</c:v>
                </c:pt>
                <c:pt idx="6">
                  <c:v>52.3</c:v>
                </c:pt>
                <c:pt idx="7">
                  <c:v>32.4</c:v>
                </c:pt>
                <c:pt idx="8">
                  <c:v>22.7</c:v>
                </c:pt>
                <c:pt idx="9">
                  <c:v>48.6</c:v>
                </c:pt>
              </c:numCache>
            </c:numRef>
          </c:xVal>
          <c:yVal>
            <c:numRef>
              <c:f>'CEA eff.front.1.linie'!$J$3:$J$19</c:f>
              <c:numCache>
                <c:formatCode>#\ ##0\ "Kč"</c:formatCode>
                <c:ptCount val="17"/>
                <c:pt idx="0">
                  <c:v>49570.44</c:v>
                </c:pt>
                <c:pt idx="1">
                  <c:v>1334531.4840000002</c:v>
                </c:pt>
                <c:pt idx="2">
                  <c:v>1116470.784</c:v>
                </c:pt>
                <c:pt idx="3">
                  <c:v>1692151.0320000001</c:v>
                </c:pt>
                <c:pt idx="4">
                  <c:v>2781182.0836799997</c:v>
                </c:pt>
                <c:pt idx="5">
                  <c:v>1927697.63472</c:v>
                </c:pt>
                <c:pt idx="6">
                  <c:v>3848037.6448799996</c:v>
                </c:pt>
                <c:pt idx="7">
                  <c:v>2238642.4970520004</c:v>
                </c:pt>
                <c:pt idx="8">
                  <c:v>1568431.6260210001</c:v>
                </c:pt>
                <c:pt idx="9">
                  <c:v>3357963.7455780003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69-447E-9A49-0CB737DCC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523536"/>
        <c:axId val="1"/>
      </c:scatterChart>
      <c:valAx>
        <c:axId val="393523536"/>
        <c:scaling>
          <c:orientation val="minMax"/>
          <c:max val="55"/>
        </c:scaling>
        <c:delete val="0"/>
        <c:axPos val="b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5000000"/>
        </c:scaling>
        <c:delete val="0"/>
        <c:axPos val="l"/>
        <c:numFmt formatCode="#\ ##0\ &quot;Kč&quot;" sourceLinked="1"/>
        <c:majorTickMark val="out"/>
        <c:minorTickMark val="none"/>
        <c:tickLblPos val="nextTo"/>
        <c:crossAx val="393523536"/>
        <c:crosses val="autoZero"/>
        <c:crossBetween val="midCat"/>
        <c:majorUnit val="500000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41061533974921E-2"/>
          <c:y val="0.16855647433358986"/>
          <c:w val="0.54497200349956254"/>
          <c:h val="0.61406155483160973"/>
        </c:manualLayout>
      </c:layout>
      <c:scatterChart>
        <c:scatterStyle val="lineMarker"/>
        <c:varyColors val="0"/>
        <c:ser>
          <c:idx val="3"/>
          <c:order val="0"/>
          <c:tx>
            <c:strRef>
              <c:f>'ICER 1.linie'!$D$3</c:f>
              <c:strCache>
                <c:ptCount val="1"/>
                <c:pt idx="0">
                  <c:v>XALKORI 250mg cps 60  (krizotinib) - 1. gen. ALK-TKI - je nejméně účinný z ALK-TKI (dle PFS)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1E90-4757-8938-7FBC8F1B00E6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1E90-4757-8938-7FBC8F1B00E6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1E90-4757-8938-7FBC8F1B00E6}"/>
              </c:ext>
            </c:extLst>
          </c:dPt>
          <c:xVal>
            <c:numRef>
              <c:f>'ICER 1.linie'!$I$3:$K$3</c:f>
              <c:numCache>
                <c:formatCode>#\ ##0\ "Kč"</c:formatCode>
                <c:ptCount val="3"/>
                <c:pt idx="0">
                  <c:v>151171.88752941179</c:v>
                </c:pt>
                <c:pt idx="1">
                  <c:v>177816.72399999999</c:v>
                </c:pt>
                <c:pt idx="2">
                  <c:v>130363.53904761908</c:v>
                </c:pt>
              </c:numCache>
            </c:numRef>
          </c:xVal>
          <c:yVal>
            <c:numRef>
              <c:f>'ICER 1.linie'!$A$3:$C$3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90-4757-8938-7FBC8F1B00E6}"/>
            </c:ext>
          </c:extLst>
        </c:ser>
        <c:ser>
          <c:idx val="0"/>
          <c:order val="1"/>
          <c:tx>
            <c:strRef>
              <c:f>'ICER 1.linie'!$D$4</c:f>
              <c:strCache>
                <c:ptCount val="1"/>
                <c:pt idx="0">
                  <c:v>ALECENSA 150mg cps 224  (alektinib) - 2. gen. ALK-TKI - cca stejně účinná (dle PFS) jako ALUNBRIG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'ICER 1.linie'!$I$4:$K$4</c:f>
              <c:numCache>
                <c:formatCode>#\ ##0\ "Kč"</c:formatCode>
                <c:ptCount val="3"/>
                <c:pt idx="0">
                  <c:v>88116.504634838711</c:v>
                </c:pt>
                <c:pt idx="1">
                  <c:v>96810.680140206197</c:v>
                </c:pt>
                <c:pt idx="2">
                  <c:v>83482.795711648345</c:v>
                </c:pt>
              </c:numCache>
            </c:numRef>
          </c:xVal>
          <c:yVal>
            <c:numRef>
              <c:f>'ICER 1.linie'!$A$4:$C$4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90-4757-8938-7FBC8F1B00E6}"/>
            </c:ext>
          </c:extLst>
        </c:ser>
        <c:ser>
          <c:idx val="1"/>
          <c:order val="2"/>
          <c:tx>
            <c:strRef>
              <c:f>'ICER 1.linie'!$D$5</c:f>
              <c:strCache>
                <c:ptCount val="1"/>
                <c:pt idx="0">
                  <c:v>ALUNBRIG  180mg tbl 28  (brigatinib) - 2. gen. ALK-TKI - cca stejně účinný (dle PFS) jako ALECENSA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'ICER 1.linie'!$I$5:$K$5</c:f>
              <c:numCache>
                <c:formatCode>#\ ##0\ "Kč"</c:formatCode>
                <c:ptCount val="3"/>
                <c:pt idx="0">
                  <c:v>85510.627228593774</c:v>
                </c:pt>
                <c:pt idx="1">
                  <c:v>95525.860756037757</c:v>
                </c:pt>
                <c:pt idx="2">
                  <c:v>79148.165205215308</c:v>
                </c:pt>
              </c:numCache>
            </c:numRef>
          </c:xVal>
          <c:yVal>
            <c:numRef>
              <c:f>'ICER 1.linie'!$A$5:$C$5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E90-4757-8938-7FBC8F1B0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53248"/>
        <c:axId val="102455168"/>
      </c:scatterChart>
      <c:valAx>
        <c:axId val="102453248"/>
        <c:scaling>
          <c:orientation val="minMax"/>
          <c:max val="200000"/>
          <c:min val="50000"/>
        </c:scaling>
        <c:delete val="0"/>
        <c:axPos val="b"/>
        <c:numFmt formatCode="#\ ##0\ &quot;Kč&quot;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2455168"/>
        <c:crosses val="autoZero"/>
        <c:crossBetween val="midCat"/>
        <c:majorUnit val="50000"/>
      </c:valAx>
      <c:valAx>
        <c:axId val="1024551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2453248"/>
        <c:crossesAt val="350132"/>
        <c:crossBetween val="midCat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78103275701430663"/>
          <c:y val="0.19476209483665138"/>
          <c:w val="0.20788110246449923"/>
          <c:h val="0.563242498224000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46269094227724"/>
          <c:y val="0.11648780832819507"/>
          <c:w val="0.781127726042812"/>
          <c:h val="0.498326974734431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'CEA eff.front. 2.linie'!$J$2</c:f>
              <c:strCache>
                <c:ptCount val="1"/>
                <c:pt idx="0">
                  <c:v>cena za léčbu 1 pac. režimem vč. dalších nákladů jen u CHT!    (+ za přípravu/ aplik. inf. a komedikaci - viz pozn. 28)</c:v>
                </c:pt>
              </c:strCache>
            </c:strRef>
          </c:tx>
          <c:spPr>
            <a:ln w="28575">
              <a:noFill/>
            </a:ln>
          </c:spPr>
          <c:xVal>
            <c:numRef>
              <c:f>'CEA eff.front. 2.linie'!$I$3:$I$19</c:f>
              <c:numCache>
                <c:formatCode>0.0</c:formatCode>
                <c:ptCount val="17"/>
                <c:pt idx="0">
                  <c:v>1.3</c:v>
                </c:pt>
                <c:pt idx="1">
                  <c:v>4.4000000000000004</c:v>
                </c:pt>
                <c:pt idx="2">
                  <c:v>2.4</c:v>
                </c:pt>
                <c:pt idx="3">
                  <c:v>8.3000000000000007</c:v>
                </c:pt>
                <c:pt idx="4">
                  <c:v>7.7</c:v>
                </c:pt>
                <c:pt idx="5">
                  <c:v>5.0999999999999996</c:v>
                </c:pt>
                <c:pt idx="6">
                  <c:v>11.5</c:v>
                </c:pt>
                <c:pt idx="7">
                  <c:v>11.6</c:v>
                </c:pt>
                <c:pt idx="8">
                  <c:v>6.6</c:v>
                </c:pt>
                <c:pt idx="9">
                  <c:v>20.9</c:v>
                </c:pt>
              </c:numCache>
            </c:numRef>
          </c:xVal>
          <c:yVal>
            <c:numRef>
              <c:f>'CEA eff.front. 2.linie'!$J$3:$J$19</c:f>
              <c:numCache>
                <c:formatCode>#\ ##0\ "Kč"</c:formatCode>
                <c:ptCount val="17"/>
                <c:pt idx="0">
                  <c:v>9372.0400000000009</c:v>
                </c:pt>
                <c:pt idx="1">
                  <c:v>289195.19445960002</c:v>
                </c:pt>
                <c:pt idx="2">
                  <c:v>157742.83334159997</c:v>
                </c:pt>
                <c:pt idx="3">
                  <c:v>545527.29863970005</c:v>
                </c:pt>
                <c:pt idx="4">
                  <c:v>562981.41899999999</c:v>
                </c:pt>
                <c:pt idx="5">
                  <c:v>372883.79699999996</c:v>
                </c:pt>
                <c:pt idx="6">
                  <c:v>840816.40500000003</c:v>
                </c:pt>
                <c:pt idx="7">
                  <c:v>801489.28906800004</c:v>
                </c:pt>
                <c:pt idx="8">
                  <c:v>456019.76791800006</c:v>
                </c:pt>
                <c:pt idx="9">
                  <c:v>1444062.5984070001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4E-498A-B667-E7E44C12A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523536"/>
        <c:axId val="1"/>
      </c:scatterChart>
      <c:valAx>
        <c:axId val="393523536"/>
        <c:scaling>
          <c:orientation val="minMax"/>
          <c:max val="22"/>
        </c:scaling>
        <c:delete val="0"/>
        <c:axPos val="b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crossBetween val="midCat"/>
        <c:majorUnit val="2"/>
      </c:valAx>
      <c:valAx>
        <c:axId val="1"/>
        <c:scaling>
          <c:orientation val="minMax"/>
          <c:max val="2500000"/>
        </c:scaling>
        <c:delete val="0"/>
        <c:axPos val="l"/>
        <c:numFmt formatCode="#\ ##0\ &quot;Kč&quot;" sourceLinked="1"/>
        <c:majorTickMark val="out"/>
        <c:minorTickMark val="none"/>
        <c:tickLblPos val="nextTo"/>
        <c:crossAx val="393523536"/>
        <c:crosses val="autoZero"/>
        <c:crossBetween val="midCat"/>
        <c:majorUnit val="250000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41061533974921E-2"/>
          <c:y val="0.16855647433358986"/>
          <c:w val="0.50309592582334239"/>
          <c:h val="0.61406155483160973"/>
        </c:manualLayout>
      </c:layout>
      <c:scatterChart>
        <c:scatterStyle val="lineMarker"/>
        <c:varyColors val="0"/>
        <c:ser>
          <c:idx val="3"/>
          <c:order val="0"/>
          <c:tx>
            <c:strRef>
              <c:f>'ICER 2.linie '!$D$3</c:f>
              <c:strCache>
                <c:ptCount val="1"/>
                <c:pt idx="0">
                  <c:v>ZYKADIA 150mg cps 90  (ceritinib) -                            2. gen. ALK-TKI - je z těchto tří ALK-TKI pravděpodobně nejméně účinná (dle PFS)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177E-40B5-B084-DC29562DF28D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177E-40B5-B084-DC29562DF28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177E-40B5-B084-DC29562DF28D}"/>
              </c:ext>
            </c:extLst>
          </c:dPt>
          <c:xVal>
            <c:numRef>
              <c:f>'ICER 2.linie '!$I$3:$K$3</c:f>
              <c:numCache>
                <c:formatCode>#\ ##0\ "Kč"</c:formatCode>
                <c:ptCount val="3"/>
                <c:pt idx="0">
                  <c:v>90265.533696645158</c:v>
                </c:pt>
                <c:pt idx="1">
                  <c:v>134882.53940145453</c:v>
                </c:pt>
                <c:pt idx="2">
                  <c:v>76593.608377099998</c:v>
                </c:pt>
              </c:numCache>
            </c:numRef>
          </c:xVal>
          <c:yVal>
            <c:numRef>
              <c:f>'ICER 2.linie '!$A$3:$C$3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7E-40B5-B084-DC29562DF28D}"/>
            </c:ext>
          </c:extLst>
        </c:ser>
        <c:ser>
          <c:idx val="0"/>
          <c:order val="1"/>
          <c:tx>
            <c:strRef>
              <c:f>'ICER 2.linie '!$D$4</c:f>
              <c:strCache>
                <c:ptCount val="1"/>
                <c:pt idx="0">
                  <c:v>ALECENSA 150mg cps 224  (alektinib) -              2. gen. ALK-TKI - v porovnání s ALUNBRIGEM jsou výsledky (dle PFS) nejednoznačné37 (je stejná nebo o něco horší než ALUNBRIG)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'ICER 2.linie '!$I$4:$K$4</c:f>
              <c:numCache>
                <c:formatCode>#\ ##0\ "Kč"</c:formatCode>
                <c:ptCount val="3"/>
                <c:pt idx="0">
                  <c:v>86501.465468749986</c:v>
                </c:pt>
                <c:pt idx="1">
                  <c:v>95660.988684210533</c:v>
                </c:pt>
                <c:pt idx="2">
                  <c:v>81514.153431372557</c:v>
                </c:pt>
              </c:numCache>
            </c:numRef>
          </c:xVal>
          <c:yVal>
            <c:numRef>
              <c:f>'ICER 2.linie '!$A$4:$C$4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7E-40B5-B084-DC29562DF28D}"/>
            </c:ext>
          </c:extLst>
        </c:ser>
        <c:ser>
          <c:idx val="1"/>
          <c:order val="2"/>
          <c:tx>
            <c:strRef>
              <c:f>'ICER 2.linie '!$D$5</c:f>
              <c:strCache>
                <c:ptCount val="1"/>
                <c:pt idx="0">
                  <c:v>ALUNBRIG  180mg tbl 28  (brigatinib) -                2. gen. ALK-TKI - v porovnání s ALECENSOU jsou výsledky (dle PFS) nejednoznačné37 (je stejný nebo o něco lepší než ALECENSA)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'ICER 2.linie '!$I$5:$K$5</c:f>
              <c:numCache>
                <c:formatCode>#\ ##0\ "Kč"</c:formatCode>
                <c:ptCount val="3"/>
                <c:pt idx="0">
                  <c:v>76904.587288155351</c:v>
                </c:pt>
                <c:pt idx="1">
                  <c:v>84273.156210943416</c:v>
                </c:pt>
                <c:pt idx="2">
                  <c:v>73198.497877908172</c:v>
                </c:pt>
              </c:numCache>
            </c:numRef>
          </c:xVal>
          <c:yVal>
            <c:numRef>
              <c:f>'ICER 2.linie '!$A$5:$C$5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7E-40B5-B084-DC29562DF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53248"/>
        <c:axId val="102455168"/>
      </c:scatterChart>
      <c:valAx>
        <c:axId val="102453248"/>
        <c:scaling>
          <c:orientation val="minMax"/>
          <c:max val="200000"/>
          <c:min val="50000"/>
        </c:scaling>
        <c:delete val="0"/>
        <c:axPos val="b"/>
        <c:numFmt formatCode="#\ ##0\ &quot;Kč&quot;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2455168"/>
        <c:crosses val="autoZero"/>
        <c:crossBetween val="midCat"/>
        <c:majorUnit val="50000"/>
      </c:valAx>
      <c:valAx>
        <c:axId val="1024551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2453248"/>
        <c:crossesAt val="350132"/>
        <c:crossBetween val="midCat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70398079637030297"/>
          <c:y val="0.20809357016121899"/>
          <c:w val="0.28493306427148868"/>
          <c:h val="0.546598504778792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230981</xdr:colOff>
      <xdr:row>0</xdr:row>
      <xdr:rowOff>80962</xdr:rowOff>
    </xdr:from>
    <xdr:to>
      <xdr:col>31</xdr:col>
      <xdr:colOff>135731</xdr:colOff>
      <xdr:row>16</xdr:row>
      <xdr:rowOff>366712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132670</xdr:colOff>
      <xdr:row>4</xdr:row>
      <xdr:rowOff>416717</xdr:rowOff>
    </xdr:from>
    <xdr:to>
      <xdr:col>24</xdr:col>
      <xdr:colOff>47625</xdr:colOff>
      <xdr:row>6</xdr:row>
      <xdr:rowOff>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681733" y="2059780"/>
          <a:ext cx="2343830" cy="4643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 u="sng">
              <a:solidFill>
                <a:srgbClr val="00B050"/>
              </a:solidFill>
            </a:rPr>
            <a:t>ALECENSA 150mg cps 224  (alektinib) </a:t>
          </a:r>
          <a:r>
            <a:rPr lang="cs-CZ" sz="1000" b="1" u="none">
              <a:solidFill>
                <a:srgbClr val="00B050"/>
              </a:solidFill>
            </a:rPr>
            <a:t>- 2. gen. ALK-TKI</a:t>
          </a:r>
          <a:endParaRPr lang="cs-CZ" sz="1000" u="none"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59531</xdr:colOff>
      <xdr:row>5</xdr:row>
      <xdr:rowOff>273843</xdr:rowOff>
    </xdr:from>
    <xdr:to>
      <xdr:col>24</xdr:col>
      <xdr:colOff>559593</xdr:colOff>
      <xdr:row>6</xdr:row>
      <xdr:rowOff>142875</xdr:rowOff>
    </xdr:to>
    <xdr:cxnSp macro="">
      <xdr:nvCxnSpPr>
        <xdr:cNvPr id="4" name="Přímá spojnice se šipkou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13430250" y="2357437"/>
          <a:ext cx="1107281" cy="309563"/>
        </a:xfrm>
        <a:prstGeom prst="straightConnector1">
          <a:avLst/>
        </a:prstGeom>
        <a:noFill/>
        <a:ln w="9525" algn="ctr">
          <a:solidFill>
            <a:srgbClr val="00B05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119061</xdr:colOff>
      <xdr:row>11</xdr:row>
      <xdr:rowOff>64634</xdr:rowOff>
    </xdr:from>
    <xdr:to>
      <xdr:col>26</xdr:col>
      <xdr:colOff>576600</xdr:colOff>
      <xdr:row>11</xdr:row>
      <xdr:rowOff>381000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037217" y="4898572"/>
          <a:ext cx="4708071" cy="3163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/>
            <a:t>medián přežití bez progrese (mPFS) v  měsících</a:t>
          </a:r>
        </a:p>
      </xdr:txBody>
    </xdr:sp>
    <xdr:clientData/>
  </xdr:twoCellAnchor>
  <xdr:twoCellAnchor>
    <xdr:from>
      <xdr:col>27</xdr:col>
      <xdr:colOff>357188</xdr:colOff>
      <xdr:row>5</xdr:row>
      <xdr:rowOff>392906</xdr:rowOff>
    </xdr:from>
    <xdr:to>
      <xdr:col>30</xdr:col>
      <xdr:colOff>452437</xdr:colOff>
      <xdr:row>7</xdr:row>
      <xdr:rowOff>154780</xdr:rowOff>
    </xdr:to>
    <xdr:sp macro="" textlink="">
      <xdr:nvSpPr>
        <xdr:cNvPr id="8" name="Ovál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6156782" y="2476500"/>
          <a:ext cx="1916905" cy="65484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25</xdr:col>
      <xdr:colOff>238126</xdr:colOff>
      <xdr:row>6</xdr:row>
      <xdr:rowOff>273844</xdr:rowOff>
    </xdr:from>
    <xdr:to>
      <xdr:col>27</xdr:col>
      <xdr:colOff>452437</xdr:colOff>
      <xdr:row>6</xdr:row>
      <xdr:rowOff>285750</xdr:rowOff>
    </xdr:to>
    <xdr:cxnSp macro="">
      <xdr:nvCxnSpPr>
        <xdr:cNvPr id="9" name="Přímá spojnice se šipkou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 bwMode="auto">
        <a:xfrm flipH="1">
          <a:off x="14823282" y="2797969"/>
          <a:ext cx="1428749" cy="1190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571500</xdr:colOff>
      <xdr:row>7</xdr:row>
      <xdr:rowOff>202406</xdr:rowOff>
    </xdr:from>
    <xdr:to>
      <xdr:col>19</xdr:col>
      <xdr:colOff>428625</xdr:colOff>
      <xdr:row>8</xdr:row>
      <xdr:rowOff>47625</xdr:rowOff>
    </xdr:to>
    <xdr:cxnSp macro="">
      <xdr:nvCxnSpPr>
        <xdr:cNvPr id="12" name="Přímá spojnice se šipkou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 bwMode="auto">
        <a:xfrm>
          <a:off x="10906125" y="3178969"/>
          <a:ext cx="464344" cy="309562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 cap="flat" cmpd="sng" algn="ctr">
          <a:solidFill>
            <a:srgbClr val="7030A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154781</xdr:colOff>
      <xdr:row>7</xdr:row>
      <xdr:rowOff>440531</xdr:rowOff>
    </xdr:from>
    <xdr:to>
      <xdr:col>20</xdr:col>
      <xdr:colOff>547687</xdr:colOff>
      <xdr:row>8</xdr:row>
      <xdr:rowOff>404813</xdr:rowOff>
    </xdr:to>
    <xdr:sp macro="" textlink="">
      <xdr:nvSpPr>
        <xdr:cNvPr id="14" name="Volný tvar: obrazec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108281" y="3417094"/>
          <a:ext cx="1000125" cy="428625"/>
        </a:xfrm>
        <a:custGeom>
          <a:avLst/>
          <a:gdLst>
            <a:gd name="connsiteX0" fmla="*/ 0 w 1000125"/>
            <a:gd name="connsiteY0" fmla="*/ 428625 h 428625"/>
            <a:gd name="connsiteX1" fmla="*/ 392906 w 1000125"/>
            <a:gd name="connsiteY1" fmla="*/ 250031 h 428625"/>
            <a:gd name="connsiteX2" fmla="*/ 1000125 w 1000125"/>
            <a:gd name="connsiteY2" fmla="*/ 0 h 428625"/>
            <a:gd name="connsiteX3" fmla="*/ 0 w 1000125"/>
            <a:gd name="connsiteY3" fmla="*/ 428625 h 4286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125" h="428625">
              <a:moveTo>
                <a:pt x="0" y="428625"/>
              </a:moveTo>
              <a:lnTo>
                <a:pt x="392906" y="250031"/>
              </a:lnTo>
              <a:lnTo>
                <a:pt x="1000125" y="0"/>
              </a:lnTo>
              <a:lnTo>
                <a:pt x="0" y="428625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27</xdr:col>
      <xdr:colOff>440532</xdr:colOff>
      <xdr:row>6</xdr:row>
      <xdr:rowOff>23812</xdr:rowOff>
    </xdr:from>
    <xdr:to>
      <xdr:col>30</xdr:col>
      <xdr:colOff>488076</xdr:colOff>
      <xdr:row>7</xdr:row>
      <xdr:rowOff>60047</xdr:rowOff>
    </xdr:to>
    <xdr:sp macro="" textlink="">
      <xdr:nvSpPr>
        <xdr:cNvPr id="17" name="TextovéPole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6240126" y="2547937"/>
          <a:ext cx="1869200" cy="48867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200" b="1" u="sng">
              <a:solidFill>
                <a:schemeClr val="tx1"/>
              </a:solidFill>
            </a:rPr>
            <a:t>ALUNBRIG  180mg tbl 28  (brigatinib) </a:t>
          </a:r>
          <a:r>
            <a:rPr lang="cs-CZ" sz="1000" b="1" u="none">
              <a:solidFill>
                <a:schemeClr val="tx1"/>
              </a:solidFill>
            </a:rPr>
            <a:t>- 2. gen. ALK-TKI</a:t>
          </a:r>
          <a:endParaRPr lang="cs-CZ" sz="1000" u="none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464343</xdr:colOff>
      <xdr:row>5</xdr:row>
      <xdr:rowOff>95250</xdr:rowOff>
    </xdr:from>
    <xdr:to>
      <xdr:col>28</xdr:col>
      <xdr:colOff>202406</xdr:colOff>
      <xdr:row>8</xdr:row>
      <xdr:rowOff>71438</xdr:rowOff>
    </xdr:to>
    <xdr:cxnSp macro="">
      <xdr:nvCxnSpPr>
        <xdr:cNvPr id="18" name="Přímá spojnic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12620624" y="2178844"/>
          <a:ext cx="3988595" cy="13335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416718</xdr:colOff>
      <xdr:row>3</xdr:row>
      <xdr:rowOff>440531</xdr:rowOff>
    </xdr:from>
    <xdr:to>
      <xdr:col>30</xdr:col>
      <xdr:colOff>416719</xdr:colOff>
      <xdr:row>10</xdr:row>
      <xdr:rowOff>297658</xdr:rowOff>
    </xdr:to>
    <xdr:cxnSp macro="">
      <xdr:nvCxnSpPr>
        <xdr:cNvPr id="23" name="Přímá spojnic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V="1">
          <a:off x="10144124" y="1619250"/>
          <a:ext cx="7893845" cy="3036096"/>
        </a:xfrm>
        <a:prstGeom prst="line">
          <a:avLst/>
        </a:prstGeom>
        <a:ln w="1905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0.36958</cdr:x>
      <cdr:y>0.5263</cdr:y>
    </cdr:from>
    <cdr:to>
      <cdr:x>0.52264</cdr:x>
      <cdr:y>0.56651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4004331" y="3928930"/>
          <a:ext cx="1658281" cy="3001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/>
            <a:t>linie nákladové efektivity</a:t>
          </a:r>
        </a:p>
      </cdr:txBody>
    </cdr:sp>
  </cdr:relSizeAnchor>
  <cdr:relSizeAnchor xmlns:cdr="http://schemas.openxmlformats.org/drawingml/2006/chartDrawing">
    <cdr:from>
      <cdr:x>0.08637</cdr:x>
      <cdr:y>0.00869</cdr:y>
    </cdr:from>
    <cdr:to>
      <cdr:x>0.98637</cdr:x>
      <cdr:y>0.11412</cdr:y>
    </cdr:to>
    <cdr:sp macro="" textlink="">
      <cdr:nvSpPr>
        <cdr:cNvPr id="8" name="TextovéPole 7"/>
        <cdr:cNvSpPr txBox="1"/>
      </cdr:nvSpPr>
      <cdr:spPr>
        <a:xfrm xmlns:a="http://schemas.openxmlformats.org/drawingml/2006/main">
          <a:off x="935831" y="64873"/>
          <a:ext cx="9751219" cy="787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cs-CZ" sz="1600" b="1"/>
            <a:t>Hodnocení náklad. efektivity (cena za léčbu do progrese onem. či úmrtí vs odhadovaný</a:t>
          </a:r>
          <a:r>
            <a:rPr lang="cs-CZ" sz="1600" b="1" baseline="30000"/>
            <a:t>32</a:t>
          </a:r>
          <a:r>
            <a:rPr lang="cs-CZ" sz="1600" b="1"/>
            <a:t> medián přežití bez progrese, vč. 95%CI) režimů </a:t>
          </a:r>
          <a:r>
            <a:rPr lang="cs-CZ" sz="1600" b="1" baseline="0"/>
            <a:t>použitých </a:t>
          </a:r>
          <a:r>
            <a:rPr lang="cs-CZ" sz="1600" b="1" u="sng" baseline="0"/>
            <a:t>jako 1. linie léčby NSCLC (st. IIIB-IV) pozitivního na ALK</a:t>
          </a:r>
          <a:r>
            <a:rPr lang="cs-CZ" sz="1600" b="1" u="sng" baseline="30000"/>
            <a:t>8</a:t>
          </a:r>
          <a:r>
            <a:rPr lang="cs-CZ" sz="1600" b="1" u="sng" baseline="0"/>
            <a:t> </a:t>
          </a:r>
          <a:endParaRPr lang="cs-CZ" sz="1600" b="1" u="sng"/>
        </a:p>
      </cdr:txBody>
    </cdr:sp>
  </cdr:relSizeAnchor>
  <cdr:relSizeAnchor xmlns:cdr="http://schemas.openxmlformats.org/drawingml/2006/chartDrawing">
    <cdr:from>
      <cdr:x>0.15128</cdr:x>
      <cdr:y>0.45487</cdr:y>
    </cdr:from>
    <cdr:to>
      <cdr:x>0.28088</cdr:x>
      <cdr:y>0.55853</cdr:y>
    </cdr:to>
    <cdr:sp macro="" textlink="">
      <cdr:nvSpPr>
        <cdr:cNvPr id="9" name="TextovéPole 4"/>
        <cdr:cNvSpPr txBox="1"/>
      </cdr:nvSpPr>
      <cdr:spPr>
        <a:xfrm xmlns:a="http://schemas.openxmlformats.org/drawingml/2006/main">
          <a:off x="1639109" y="3395695"/>
          <a:ext cx="1404128" cy="77384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200" b="1"/>
            <a:t>CHT - pemetrexed + cisplatina</a:t>
          </a:r>
          <a:r>
            <a:rPr lang="cs-CZ" sz="1200" b="1" baseline="0"/>
            <a:t> </a:t>
          </a:r>
          <a:r>
            <a:rPr lang="cs-CZ" sz="1000" b="0" baseline="0"/>
            <a:t>(LL95%CI hodnota mPFS dle</a:t>
          </a:r>
          <a:r>
            <a:rPr lang="cs-CZ" sz="1000" b="0" baseline="30000"/>
            <a:t>31</a:t>
          </a:r>
          <a:r>
            <a:rPr lang="cs-CZ" sz="1000" b="0" baseline="0"/>
            <a:t>)</a:t>
          </a:r>
          <a:endParaRPr lang="cs-CZ" sz="1000" b="0" u="sng"/>
        </a:p>
      </cdr:txBody>
    </cdr:sp>
  </cdr:relSizeAnchor>
  <cdr:relSizeAnchor xmlns:cdr="http://schemas.openxmlformats.org/drawingml/2006/chartDrawing">
    <cdr:from>
      <cdr:x>0.02997</cdr:x>
      <cdr:y>0.07528</cdr:y>
    </cdr:from>
    <cdr:to>
      <cdr:x>0.06807</cdr:x>
      <cdr:y>0.63668</cdr:y>
    </cdr:to>
    <cdr:sp macro="" textlink="">
      <cdr:nvSpPr>
        <cdr:cNvPr id="14" name="TextovéPole 18">
          <a:extLst xmlns:a="http://schemas.openxmlformats.org/drawingml/2006/main"/>
        </cdr:cNvPr>
        <cdr:cNvSpPr txBox="1"/>
      </cdr:nvSpPr>
      <cdr:spPr>
        <a:xfrm xmlns:a="http://schemas.openxmlformats.org/drawingml/2006/main">
          <a:off x="324718" y="561975"/>
          <a:ext cx="412801" cy="41910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bg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100"/>
            <a:t>                 cena za léčbu</a:t>
          </a:r>
          <a:r>
            <a:rPr lang="cs-CZ" sz="1100" baseline="0"/>
            <a:t> vynaložená do progrese onemocnění čí úmrtí</a:t>
          </a:r>
          <a:endParaRPr lang="cs-CZ" sz="1100"/>
        </a:p>
      </cdr:txBody>
    </cdr:sp>
  </cdr:relSizeAnchor>
  <cdr:relSizeAnchor xmlns:cdr="http://schemas.openxmlformats.org/drawingml/2006/chartDrawing">
    <cdr:from>
      <cdr:x>0.23143</cdr:x>
      <cdr:y>0.3591</cdr:y>
    </cdr:from>
    <cdr:to>
      <cdr:x>0.40395</cdr:x>
      <cdr:y>0.42456</cdr:y>
    </cdr:to>
    <cdr:sp macro="" textlink="">
      <cdr:nvSpPr>
        <cdr:cNvPr id="24" name="TextovéPole 1">
          <a:extLst xmlns:a="http://schemas.openxmlformats.org/drawingml/2006/main"/>
        </cdr:cNvPr>
        <cdr:cNvSpPr txBox="1"/>
      </cdr:nvSpPr>
      <cdr:spPr>
        <a:xfrm xmlns:a="http://schemas.openxmlformats.org/drawingml/2006/main">
          <a:off x="2507494" y="2680796"/>
          <a:ext cx="1869201" cy="488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200" b="1" u="sng">
              <a:solidFill>
                <a:srgbClr val="0070C0"/>
              </a:solidFill>
            </a:rPr>
            <a:t>XALKORI 250mg cps 60  (krizotinib</a:t>
          </a:r>
          <a:r>
            <a:rPr lang="cs-CZ" sz="1000" b="1" u="none">
              <a:solidFill>
                <a:srgbClr val="0070C0"/>
              </a:solidFill>
            </a:rPr>
            <a:t>) - 1. gen. ALK-TKI</a:t>
          </a:r>
          <a:endParaRPr lang="cs-CZ" sz="1000" u="none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0.56945</cdr:x>
      <cdr:y>0.4437</cdr:y>
    </cdr:from>
    <cdr:to>
      <cdr:x>0.98418</cdr:x>
      <cdr:y>0.59522</cdr:y>
    </cdr:to>
    <cdr:sp macro="" textlink="">
      <cdr:nvSpPr>
        <cdr:cNvPr id="7" name="TextovéPole 6"/>
        <cdr:cNvSpPr txBox="1"/>
      </cdr:nvSpPr>
      <cdr:spPr>
        <a:xfrm xmlns:a="http://schemas.openxmlformats.org/drawingml/2006/main">
          <a:off x="6169812" y="3312318"/>
          <a:ext cx="4493426" cy="11311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rgbClr val="7030A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 u="sng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V bezpečnosti je v parametru výskytu NÚ st. 3-5 nejlepší (a to statisticky významně) alektinib jak vůči krizotinibu </a:t>
          </a:r>
          <a:r>
            <a:rPr lang="cs-CZ" sz="1100" b="1" u="non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(cca 1,5x), </a:t>
          </a:r>
          <a:r>
            <a:rPr lang="cs-CZ" sz="1100" b="1" u="sng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tak vůči brigatinibu</a:t>
          </a:r>
          <a:r>
            <a:rPr lang="cs-CZ" sz="11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(cca 2,7x), brigatinib je statisticky významně horší i vůči krizotinibu (cca 1,8x) - viz Příloha č. 5.</a:t>
          </a:r>
          <a:r>
            <a:rPr lang="cs-CZ" sz="1100" b="1"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>
              <a:solidFill>
                <a:srgbClr val="002060"/>
              </a:solidFill>
            </a:rPr>
            <a:t>Mezi jednotlivými ALK-TKI jsou mj. i rozdíly v dávkování: XALKORI</a:t>
          </a:r>
          <a:r>
            <a:rPr lang="cs-CZ" sz="1100" b="1" baseline="0">
              <a:solidFill>
                <a:srgbClr val="002060"/>
              </a:solidFill>
            </a:rPr>
            <a:t> - 2x denně 1cps, ALECENSA - 2x denně 4cps, ALUNBRIG - 1x denně 1 tbl (</a:t>
          </a:r>
          <a:r>
            <a:rPr lang="cs-CZ" sz="1100" b="1" u="sng" baseline="0">
              <a:solidFill>
                <a:srgbClr val="002060"/>
              </a:solidFill>
            </a:rPr>
            <a:t>jako jediný má ale </a:t>
          </a:r>
          <a:r>
            <a:rPr lang="cs-CZ" sz="1100" b="1" u="sng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iniciál. dávk. 7 dní 1x 90mg</a:t>
          </a:r>
          <a:r>
            <a:rPr lang="cs-CZ" sz="11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cs-CZ" sz="1100" b="1">
              <a:solidFill>
                <a:srgbClr val="002060"/>
              </a:solidFill>
            </a:rPr>
            <a:t> .</a:t>
          </a:r>
          <a:endParaRPr lang="cs-CZ" sz="1100" b="1" u="sng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0.52044</cdr:x>
      <cdr:y>0.22998</cdr:y>
    </cdr:from>
    <cdr:to>
      <cdr:x>0.88967</cdr:x>
      <cdr:y>0.42297</cdr:y>
    </cdr:to>
    <cdr:cxnSp macro="">
      <cdr:nvCxnSpPr>
        <cdr:cNvPr id="38" name="Přímá spojnice 37">
          <a:extLst xmlns:a="http://schemas.openxmlformats.org/drawingml/2006/main">
            <a:ext uri="{FF2B5EF4-FFF2-40B4-BE49-F238E27FC236}">
              <a16:creationId xmlns:a16="http://schemas.microsoft.com/office/drawing/2014/main" id="{1DEF1B58-14AA-470B-A623-8356394C421D}"/>
            </a:ext>
          </a:extLst>
        </cdr:cNvPr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 flipV="1">
          <a:off x="5638800" y="1716882"/>
          <a:ext cx="4000500" cy="14406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 algn="ctr">
          <a:solidFill>
            <a:srgbClr val="00B05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0.20615</cdr:x>
      <cdr:y>0.53779</cdr:y>
    </cdr:from>
    <cdr:to>
      <cdr:x>0.23582</cdr:x>
      <cdr:y>0.6</cdr:y>
    </cdr:to>
    <cdr:cxnSp macro="">
      <cdr:nvCxnSpPr>
        <cdr:cNvPr id="45" name="Přímá spojnice se šipkou 44">
          <a:extLst xmlns:a="http://schemas.openxmlformats.org/drawingml/2006/main">
            <a:ext uri="{FF2B5EF4-FFF2-40B4-BE49-F238E27FC236}">
              <a16:creationId xmlns:a16="http://schemas.microsoft.com/office/drawing/2014/main" id="{199AE4DC-C8D0-489A-B13E-DF1EF49320DE}"/>
            </a:ext>
          </a:extLst>
        </cdr:cNvPr>
        <cdr:cNvCxnSpPr/>
      </cdr:nvCxnSpPr>
      <cdr:spPr bwMode="auto">
        <a:xfrm xmlns:a="http://schemas.openxmlformats.org/drawingml/2006/main">
          <a:off x="2233585" y="4014754"/>
          <a:ext cx="321496" cy="464378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0.18527</cdr:x>
      <cdr:y>0.14386</cdr:y>
    </cdr:from>
    <cdr:to>
      <cdr:x>0.47429</cdr:x>
      <cdr:y>0.22679</cdr:y>
    </cdr:to>
    <cdr:sp macro="" textlink="">
      <cdr:nvSpPr>
        <cdr:cNvPr id="10" name="TextovéPole 1">
          <a:extLst xmlns:a="http://schemas.openxmlformats.org/drawingml/2006/main">
            <a:ext uri="{FF2B5EF4-FFF2-40B4-BE49-F238E27FC236}">
              <a16:creationId xmlns:a16="http://schemas.microsoft.com/office/drawing/2014/main" id="{6C18EC21-E13E-492B-A9E4-0476E6B3438D}"/>
            </a:ext>
          </a:extLst>
        </cdr:cNvPr>
        <cdr:cNvSpPr txBox="1"/>
      </cdr:nvSpPr>
      <cdr:spPr>
        <a:xfrm xmlns:a="http://schemas.openxmlformats.org/drawingml/2006/main">
          <a:off x="2007394" y="1073945"/>
          <a:ext cx="3131344" cy="619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rgbClr val="7030A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rgbClr val="002060"/>
              </a:solidFill>
            </a:rPr>
            <a:t>Výsledky </a:t>
          </a:r>
          <a:r>
            <a:rPr lang="cs-CZ" sz="11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prediktivní hodnoty různých variant fůzí EML4-ALK (zjištěných NGS</a:t>
          </a:r>
          <a:r>
            <a:rPr lang="cs-CZ" sz="1100" b="1" baseline="300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cs-CZ" sz="11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) ve vztahu k účinnosti jednotlivých ALK-TKI jsou zatím rozporuplné</a:t>
          </a:r>
          <a:r>
            <a:rPr lang="cs-CZ" sz="1100" b="1" baseline="300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39</a:t>
          </a:r>
          <a:r>
            <a:rPr lang="cs-CZ" sz="11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.</a:t>
          </a:r>
        </a:p>
        <a:p xmlns:a="http://schemas.openxmlformats.org/drawingml/2006/main">
          <a:endParaRPr lang="cs-CZ" sz="1100" b="1" u="sng">
            <a:solidFill>
              <a:srgbClr val="00206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0</xdr:row>
      <xdr:rowOff>223836</xdr:rowOff>
    </xdr:from>
    <xdr:to>
      <xdr:col>24</xdr:col>
      <xdr:colOff>590550</xdr:colOff>
      <xdr:row>15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527049</xdr:colOff>
      <xdr:row>12</xdr:row>
      <xdr:rowOff>137583</xdr:rowOff>
    </xdr:from>
    <xdr:to>
      <xdr:col>20</xdr:col>
      <xdr:colOff>504825</xdr:colOff>
      <xdr:row>14</xdr:row>
      <xdr:rowOff>169334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127749" y="3442758"/>
          <a:ext cx="4244976" cy="412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cs-CZ" sz="9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kolik Kč vynaložím navíc  při použití dražší a účinnější intervence ALK-TKI pro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dosažení 1 měsíce přežití bez progrese navíc </a:t>
          </a:r>
          <a:r>
            <a:rPr lang="cs-CZ" sz="9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vůči  CHT (pemetrexed + cisplatina)</a:t>
          </a:r>
          <a:endParaRPr lang="cs-CZ" sz="1100"/>
        </a:p>
      </xdr:txBody>
    </xdr:sp>
    <xdr:clientData/>
  </xdr:twoCellAnchor>
  <xdr:twoCellAnchor>
    <xdr:from>
      <xdr:col>26</xdr:col>
      <xdr:colOff>485775</xdr:colOff>
      <xdr:row>22</xdr:row>
      <xdr:rowOff>76200</xdr:rowOff>
    </xdr:from>
    <xdr:to>
      <xdr:col>27</xdr:col>
      <xdr:colOff>561976</xdr:colOff>
      <xdr:row>24</xdr:row>
      <xdr:rowOff>57150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 flipV="1">
          <a:off x="13849350" y="5467350"/>
          <a:ext cx="771526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466725</xdr:colOff>
      <xdr:row>24</xdr:row>
      <xdr:rowOff>85725</xdr:rowOff>
    </xdr:from>
    <xdr:to>
      <xdr:col>27</xdr:col>
      <xdr:colOff>571500</xdr:colOff>
      <xdr:row>27</xdr:row>
      <xdr:rowOff>95250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13830300" y="5800725"/>
          <a:ext cx="800100" cy="581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542925</xdr:colOff>
      <xdr:row>24</xdr:row>
      <xdr:rowOff>152400</xdr:rowOff>
    </xdr:from>
    <xdr:to>
      <xdr:col>28</xdr:col>
      <xdr:colOff>66675</xdr:colOff>
      <xdr:row>26</xdr:row>
      <xdr:rowOff>76200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 flipV="1">
          <a:off x="10858500" y="5867400"/>
          <a:ext cx="3876675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438150</xdr:colOff>
      <xdr:row>22</xdr:row>
      <xdr:rowOff>38100</xdr:rowOff>
    </xdr:from>
    <xdr:to>
      <xdr:col>15</xdr:col>
      <xdr:colOff>304800</xdr:colOff>
      <xdr:row>26</xdr:row>
      <xdr:rowOff>171450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4381500" y="5429250"/>
          <a:ext cx="2581275" cy="838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447675</xdr:colOff>
      <xdr:row>22</xdr:row>
      <xdr:rowOff>161925</xdr:rowOff>
    </xdr:from>
    <xdr:to>
      <xdr:col>14</xdr:col>
      <xdr:colOff>28575</xdr:colOff>
      <xdr:row>26</xdr:row>
      <xdr:rowOff>104776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4391025" y="5553075"/>
          <a:ext cx="1685925" cy="6477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447675</xdr:colOff>
      <xdr:row>25</xdr:row>
      <xdr:rowOff>114300</xdr:rowOff>
    </xdr:from>
    <xdr:to>
      <xdr:col>14</xdr:col>
      <xdr:colOff>342900</xdr:colOff>
      <xdr:row>27</xdr:row>
      <xdr:rowOff>76200</xdr:rowOff>
    </xdr:to>
    <xdr:cxnSp macro="">
      <xdr:nvCxnSpPr>
        <xdr:cNvPr id="9" name="Přímá spojnice se šipkou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4391025" y="6019800"/>
          <a:ext cx="20002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438150</xdr:colOff>
      <xdr:row>22</xdr:row>
      <xdr:rowOff>28575</xdr:rowOff>
    </xdr:from>
    <xdr:to>
      <xdr:col>17</xdr:col>
      <xdr:colOff>409575</xdr:colOff>
      <xdr:row>27</xdr:row>
      <xdr:rowOff>19050</xdr:rowOff>
    </xdr:to>
    <xdr:cxnSp macro="">
      <xdr:nvCxnSpPr>
        <xdr:cNvPr id="10" name="Přímá spojnice se šipkou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4381500" y="5419725"/>
          <a:ext cx="3905250" cy="885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28</xdr:row>
      <xdr:rowOff>76200</xdr:rowOff>
    </xdr:from>
    <xdr:to>
      <xdr:col>18</xdr:col>
      <xdr:colOff>209550</xdr:colOff>
      <xdr:row>30</xdr:row>
      <xdr:rowOff>85725</xdr:rowOff>
    </xdr:to>
    <xdr:cxnSp macro="">
      <xdr:nvCxnSpPr>
        <xdr:cNvPr id="11" name="Přímá spojnice se šipkou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V="1">
          <a:off x="4257675" y="6553200"/>
          <a:ext cx="443865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32809</xdr:colOff>
      <xdr:row>1</xdr:row>
      <xdr:rowOff>207433</xdr:rowOff>
    </xdr:from>
    <xdr:to>
      <xdr:col>16</xdr:col>
      <xdr:colOff>53975</xdr:colOff>
      <xdr:row>11</xdr:row>
      <xdr:rowOff>98425</xdr:rowOff>
    </xdr:to>
    <xdr:cxnSp macro="">
      <xdr:nvCxnSpPr>
        <xdr:cNvPr id="12" name="Přímá spojnic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7462309" y="588433"/>
          <a:ext cx="21166" cy="2567517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31750</xdr:colOff>
      <xdr:row>1</xdr:row>
      <xdr:rowOff>254002</xdr:rowOff>
    </xdr:from>
    <xdr:to>
      <xdr:col>22</xdr:col>
      <xdr:colOff>243417</xdr:colOff>
      <xdr:row>10</xdr:row>
      <xdr:rowOff>171451</xdr:rowOff>
    </xdr:to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9899650" y="692152"/>
          <a:ext cx="1430867" cy="2403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 b="1" u="sng"/>
            <a:t>ICER </a:t>
          </a:r>
          <a:r>
            <a:rPr lang="cs-CZ" sz="800" b="1" u="sng"/>
            <a:t>(rozmezí dle hraničních hodnot 95%CI mPFS)</a:t>
          </a:r>
        </a:p>
        <a:p>
          <a:endParaRPr lang="cs-CZ" sz="600" b="1"/>
        </a:p>
        <a:p>
          <a:r>
            <a:rPr lang="cs-CZ" sz="1000" b="1"/>
            <a:t>130.364 Kč - 177.817 Kč</a:t>
          </a:r>
        </a:p>
        <a:p>
          <a:endParaRPr lang="cs-CZ" sz="1400" b="1"/>
        </a:p>
        <a:p>
          <a:endParaRPr lang="cs-CZ" sz="1000" b="1"/>
        </a:p>
        <a:p>
          <a:endParaRPr lang="cs-CZ" sz="600" b="1"/>
        </a:p>
        <a:p>
          <a:endParaRPr lang="cs-CZ" sz="400" b="1"/>
        </a:p>
        <a:p>
          <a:r>
            <a:rPr lang="cs-CZ" sz="1000" b="1" baseline="0"/>
            <a:t>   83.483</a:t>
          </a:r>
          <a:r>
            <a:rPr lang="cs-CZ" sz="1000" b="1"/>
            <a:t> Kč - 96.811 Kč</a:t>
          </a:r>
        </a:p>
        <a:p>
          <a:endParaRPr lang="cs-CZ" sz="1000" b="1"/>
        </a:p>
        <a:p>
          <a:endParaRPr lang="cs-CZ" sz="800" b="1"/>
        </a:p>
        <a:p>
          <a:endParaRPr lang="cs-CZ" sz="1100" b="1"/>
        </a:p>
        <a:p>
          <a:endParaRPr lang="cs-CZ" sz="800" b="1"/>
        </a:p>
        <a:p>
          <a:r>
            <a:rPr lang="cs-CZ" sz="1000" b="1" baseline="0"/>
            <a:t>   79.148</a:t>
          </a:r>
          <a:r>
            <a:rPr lang="cs-CZ" sz="1000" b="1"/>
            <a:t> Kč - 95.526 Kč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0.08611</cdr:x>
      <cdr:y>0</cdr:y>
    </cdr:from>
    <cdr:to>
      <cdr:x>0.89448</cdr:x>
      <cdr:y>0.12156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88E48D18-11FD-47B2-9A01-78A1F9D3011C}"/>
            </a:ext>
          </a:extLst>
        </cdr:cNvPr>
        <cdr:cNvSpPr txBox="1"/>
      </cdr:nvSpPr>
      <cdr:spPr>
        <a:xfrm xmlns:a="http://schemas.openxmlformats.org/drawingml/2006/main">
          <a:off x="590550" y="0"/>
          <a:ext cx="5543771" cy="45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100" b="1">
              <a:effectLst/>
              <a:latin typeface="+mn-lt"/>
              <a:ea typeface="+mn-ea"/>
              <a:cs typeface="+mn-cs"/>
            </a:rPr>
            <a:t>Srovnání ICER (v</a:t>
          </a:r>
          <a:r>
            <a:rPr lang="cs-CZ" sz="1100" b="1" baseline="0">
              <a:effectLst/>
              <a:latin typeface="+mn-lt"/>
              <a:ea typeface="+mn-ea"/>
              <a:cs typeface="+mn-cs"/>
            </a:rPr>
            <a:t> parametru hranic 95%CI mPFS) režimů v</a:t>
          </a:r>
          <a:r>
            <a:rPr lang="cs-CZ" sz="1100" b="1">
              <a:effectLst/>
              <a:latin typeface="+mn-lt"/>
              <a:ea typeface="+mn-ea"/>
              <a:cs typeface="+mn-cs"/>
            </a:rPr>
            <a:t>ůči LL95%CI mPFS</a:t>
          </a:r>
          <a:r>
            <a:rPr lang="cs-CZ" sz="1100" b="1" baseline="0">
              <a:effectLst/>
              <a:latin typeface="+mn-lt"/>
              <a:ea typeface="+mn-ea"/>
              <a:cs typeface="+mn-cs"/>
            </a:rPr>
            <a:t> u CHT (pemetrexed + cisplatina)</a:t>
          </a:r>
          <a:r>
            <a:rPr lang="cs-CZ" sz="1100" b="1" baseline="30000">
              <a:effectLst/>
              <a:latin typeface="+mn-lt"/>
              <a:ea typeface="+mn-ea"/>
              <a:cs typeface="+mn-cs"/>
            </a:rPr>
            <a:t>31</a:t>
          </a:r>
          <a:r>
            <a:rPr lang="cs-CZ" sz="1100" b="1">
              <a:effectLst/>
              <a:latin typeface="+mn-lt"/>
              <a:ea typeface="+mn-ea"/>
              <a:cs typeface="+mn-cs"/>
            </a:rPr>
            <a:t> v </a:t>
          </a:r>
          <a:r>
            <a:rPr lang="cs-CZ" sz="1100" b="1" u="sng" baseline="0">
              <a:effectLst/>
              <a:latin typeface="+mn-lt"/>
              <a:ea typeface="+mn-ea"/>
              <a:cs typeface="+mn-cs"/>
            </a:rPr>
            <a:t>1. linii léčby NSCLC (st. IIIB-IV) pozitivního na ALK</a:t>
          </a:r>
          <a:r>
            <a:rPr lang="cs-CZ" sz="1100" b="1" u="sng" baseline="30000">
              <a:effectLst/>
              <a:latin typeface="+mn-lt"/>
              <a:ea typeface="+mn-ea"/>
              <a:cs typeface="+mn-cs"/>
            </a:rPr>
            <a:t>8</a:t>
          </a:r>
          <a:r>
            <a:rPr lang="cs-CZ" sz="1100" b="1" u="sng" baseline="0">
              <a:effectLst/>
              <a:latin typeface="+mn-lt"/>
              <a:ea typeface="+mn-ea"/>
              <a:cs typeface="+mn-cs"/>
            </a:rPr>
            <a:t>  </a:t>
          </a:r>
          <a:endParaRPr lang="cs-CZ" sz="1100"/>
        </a:p>
      </cdr:txBody>
    </cdr:sp>
  </cdr:relSizeAnchor>
  <cdr:relSizeAnchor xmlns:cdr="http://schemas.openxmlformats.org/drawingml/2006/chartDrawing">
    <cdr:from>
      <cdr:x>0.77912</cdr:x>
      <cdr:y>0.55179</cdr:y>
    </cdr:from>
    <cdr:to>
      <cdr:x>0.99444</cdr:x>
      <cdr:y>0.74097</cdr:y>
    </cdr:to>
    <cdr:sp macro="" textlink="">
      <cdr:nvSpPr>
        <cdr:cNvPr id="3" name="Ovál 2">
          <a:extLst xmlns:a="http://schemas.openxmlformats.org/drawingml/2006/main">
            <a:ext uri="{FF2B5EF4-FFF2-40B4-BE49-F238E27FC236}">
              <a16:creationId xmlns:a16="http://schemas.microsoft.com/office/drawing/2014/main" id="{D8E4FD0E-0204-413B-8037-DB1D46D0FE6C}"/>
            </a:ext>
          </a:extLst>
        </cdr:cNvPr>
        <cdr:cNvSpPr/>
      </cdr:nvSpPr>
      <cdr:spPr>
        <a:xfrm xmlns:a="http://schemas.openxmlformats.org/drawingml/2006/main">
          <a:off x="5343205" y="2110204"/>
          <a:ext cx="1476665" cy="72348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8575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0.6375</cdr:x>
      <cdr:y>0.75343</cdr:y>
    </cdr:from>
    <cdr:to>
      <cdr:x>0.98333</cdr:x>
      <cdr:y>0.97758</cdr:y>
    </cdr:to>
    <cdr:sp macro="" textlink="">
      <cdr:nvSpPr>
        <cdr:cNvPr id="4" name="TextovéPole 1">
          <a:extLst xmlns:a="http://schemas.openxmlformats.org/drawingml/2006/main">
            <a:ext uri="{FF2B5EF4-FFF2-40B4-BE49-F238E27FC236}">
              <a16:creationId xmlns:a16="http://schemas.microsoft.com/office/drawing/2014/main" id="{88679915-D900-4077-8F9C-C5600AC65D3E}"/>
            </a:ext>
          </a:extLst>
        </cdr:cNvPr>
        <cdr:cNvSpPr txBox="1"/>
      </cdr:nvSpPr>
      <cdr:spPr>
        <a:xfrm xmlns:a="http://schemas.openxmlformats.org/drawingml/2006/main">
          <a:off x="4371975" y="2838257"/>
          <a:ext cx="2371725" cy="844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rgbClr val="7030A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850" b="1">
              <a:solidFill>
                <a:srgbClr val="002060"/>
              </a:solidFill>
            </a:rPr>
            <a:t>Výsledky </a:t>
          </a:r>
          <a:r>
            <a:rPr lang="cs-CZ" sz="85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prediktivní hodnoty různých variant fůzí EML4-ALK (zjištěných NGS</a:t>
          </a:r>
          <a:r>
            <a:rPr lang="cs-CZ" sz="850" b="1" baseline="300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cs-CZ" sz="85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) ve vztahu k účinnosti jednotlivých ALK-TKI jsou zatím rozporuplné</a:t>
          </a:r>
          <a:r>
            <a:rPr lang="cs-CZ" sz="850" b="1" baseline="300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39</a:t>
          </a:r>
          <a:r>
            <a:rPr lang="cs-CZ" sz="85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. Mezi ALECENSOU a ALUNBRIGEM jsou mírné číselné rozdíly v účinnosti u pacientů s/bez</a:t>
          </a:r>
          <a:r>
            <a:rPr lang="cs-CZ" sz="85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mozkových metastáz - viz Přílohy č. 5 a č. 8</a:t>
          </a:r>
          <a:endParaRPr lang="cs-CZ" sz="850" b="1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cs-CZ" sz="1100" b="1" u="sng">
            <a:solidFill>
              <a:srgbClr val="00206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230981</xdr:colOff>
      <xdr:row>0</xdr:row>
      <xdr:rowOff>80962</xdr:rowOff>
    </xdr:from>
    <xdr:to>
      <xdr:col>31</xdr:col>
      <xdr:colOff>135731</xdr:colOff>
      <xdr:row>16</xdr:row>
      <xdr:rowOff>366712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C793112-A943-4B4F-B627-386697889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454140</xdr:colOff>
      <xdr:row>8</xdr:row>
      <xdr:rowOff>452436</xdr:rowOff>
    </xdr:from>
    <xdr:to>
      <xdr:col>25</xdr:col>
      <xdr:colOff>202406</xdr:colOff>
      <xdr:row>10</xdr:row>
      <xdr:rowOff>83343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CD332499-3CA4-4469-8F66-5EE67806A037}"/>
            </a:ext>
          </a:extLst>
        </xdr:cNvPr>
        <xdr:cNvSpPr txBox="1"/>
      </xdr:nvSpPr>
      <xdr:spPr>
        <a:xfrm>
          <a:off x="12741390" y="3893342"/>
          <a:ext cx="2177141" cy="5476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 u="sng">
              <a:solidFill>
                <a:srgbClr val="00B050"/>
              </a:solidFill>
            </a:rPr>
            <a:t>ALECENSA 150mg cps 224  (alektinib) </a:t>
          </a:r>
          <a:r>
            <a:rPr lang="cs-CZ" sz="1000" b="1" u="none">
              <a:solidFill>
                <a:srgbClr val="00B050"/>
              </a:solidFill>
            </a:rPr>
            <a:t>- 2. gen. ALK-TKI</a:t>
          </a:r>
          <a:endParaRPr lang="cs-CZ" sz="1000" u="none">
            <a:solidFill>
              <a:srgbClr val="00B050"/>
            </a:solidFill>
          </a:endParaRPr>
        </a:p>
      </xdr:txBody>
    </xdr:sp>
    <xdr:clientData/>
  </xdr:twoCellAnchor>
  <xdr:twoCellAnchor>
    <xdr:from>
      <xdr:col>21</xdr:col>
      <xdr:colOff>464344</xdr:colOff>
      <xdr:row>8</xdr:row>
      <xdr:rowOff>261937</xdr:rowOff>
    </xdr:from>
    <xdr:to>
      <xdr:col>22</xdr:col>
      <xdr:colOff>380999</xdr:colOff>
      <xdr:row>9</xdr:row>
      <xdr:rowOff>11905</xdr:rowOff>
    </xdr:to>
    <xdr:cxnSp macro="">
      <xdr:nvCxnSpPr>
        <xdr:cNvPr id="4" name="Přímá spojnice se šipkou 6">
          <a:extLst>
            <a:ext uri="{FF2B5EF4-FFF2-40B4-BE49-F238E27FC236}">
              <a16:creationId xmlns:a16="http://schemas.microsoft.com/office/drawing/2014/main" id="{746590B3-951C-44B8-804B-1655DFCEDDC2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2751594" y="3702843"/>
          <a:ext cx="523874" cy="202406"/>
        </a:xfrm>
        <a:prstGeom prst="straightConnector1">
          <a:avLst/>
        </a:prstGeom>
        <a:noFill/>
        <a:ln w="9525" algn="ctr">
          <a:solidFill>
            <a:srgbClr val="00B05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119061</xdr:colOff>
      <xdr:row>11</xdr:row>
      <xdr:rowOff>64634</xdr:rowOff>
    </xdr:from>
    <xdr:to>
      <xdr:col>26</xdr:col>
      <xdr:colOff>576600</xdr:colOff>
      <xdr:row>11</xdr:row>
      <xdr:rowOff>381000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5E5D8ABE-4BBE-4FF3-B83E-EE22B83C40C5}"/>
            </a:ext>
          </a:extLst>
        </xdr:cNvPr>
        <xdr:cNvSpPr txBox="1"/>
      </xdr:nvSpPr>
      <xdr:spPr>
        <a:xfrm>
          <a:off x="11082336" y="4893809"/>
          <a:ext cx="4724739" cy="3163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/>
            <a:t>medián přežití bez progrese (mPFS) v  měsících</a:t>
          </a:r>
        </a:p>
      </xdr:txBody>
    </xdr:sp>
    <xdr:clientData/>
  </xdr:twoCellAnchor>
  <xdr:twoCellAnchor>
    <xdr:from>
      <xdr:col>23</xdr:col>
      <xdr:colOff>535781</xdr:colOff>
      <xdr:row>4</xdr:row>
      <xdr:rowOff>297655</xdr:rowOff>
    </xdr:from>
    <xdr:to>
      <xdr:col>27</xdr:col>
      <xdr:colOff>23811</xdr:colOff>
      <xdr:row>6</xdr:row>
      <xdr:rowOff>71436</xdr:rowOff>
    </xdr:to>
    <xdr:sp macro="" textlink="">
      <xdr:nvSpPr>
        <xdr:cNvPr id="6" name="Ovál 5">
          <a:extLst>
            <a:ext uri="{FF2B5EF4-FFF2-40B4-BE49-F238E27FC236}">
              <a16:creationId xmlns:a16="http://schemas.microsoft.com/office/drawing/2014/main" id="{5D9AAF70-A848-4137-9768-B4C6C13A97DB}"/>
            </a:ext>
          </a:extLst>
        </xdr:cNvPr>
        <xdr:cNvSpPr/>
      </xdr:nvSpPr>
      <xdr:spPr>
        <a:xfrm>
          <a:off x="14037469" y="1940718"/>
          <a:ext cx="1916905" cy="65484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25</xdr:col>
      <xdr:colOff>166687</xdr:colOff>
      <xdr:row>6</xdr:row>
      <xdr:rowOff>35719</xdr:rowOff>
    </xdr:from>
    <xdr:to>
      <xdr:col>25</xdr:col>
      <xdr:colOff>285750</xdr:colOff>
      <xdr:row>7</xdr:row>
      <xdr:rowOff>178593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8A6CE8FE-FB98-46D9-99AB-C4508370BEED}"/>
            </a:ext>
          </a:extLst>
        </xdr:cNvPr>
        <xdr:cNvCxnSpPr/>
      </xdr:nvCxnSpPr>
      <xdr:spPr bwMode="auto">
        <a:xfrm flipH="1">
          <a:off x="14882812" y="2559844"/>
          <a:ext cx="119063" cy="595312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119062</xdr:colOff>
      <xdr:row>8</xdr:row>
      <xdr:rowOff>154782</xdr:rowOff>
    </xdr:from>
    <xdr:to>
      <xdr:col>18</xdr:col>
      <xdr:colOff>261937</xdr:colOff>
      <xdr:row>9</xdr:row>
      <xdr:rowOff>309562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AB60CE97-A9E3-4F86-8A99-39030920D9D0}"/>
            </a:ext>
          </a:extLst>
        </xdr:cNvPr>
        <xdr:cNvCxnSpPr/>
      </xdr:nvCxnSpPr>
      <xdr:spPr bwMode="auto">
        <a:xfrm>
          <a:off x="10584656" y="3595688"/>
          <a:ext cx="142875" cy="60721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 cap="flat" cmpd="sng" algn="ctr">
          <a:solidFill>
            <a:srgbClr val="7030A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23</xdr:col>
      <xdr:colOff>595313</xdr:colOff>
      <xdr:row>4</xdr:row>
      <xdr:rowOff>369092</xdr:rowOff>
    </xdr:from>
    <xdr:to>
      <xdr:col>27</xdr:col>
      <xdr:colOff>35638</xdr:colOff>
      <xdr:row>5</xdr:row>
      <xdr:rowOff>417234</xdr:rowOff>
    </xdr:to>
    <xdr:sp macro="" textlink="">
      <xdr:nvSpPr>
        <xdr:cNvPr id="10" name="TextovéPole 1">
          <a:extLst>
            <a:ext uri="{FF2B5EF4-FFF2-40B4-BE49-F238E27FC236}">
              <a16:creationId xmlns:a16="http://schemas.microsoft.com/office/drawing/2014/main" id="{904EEE3B-97CB-4856-A7EC-E7882235396E}"/>
            </a:ext>
          </a:extLst>
        </xdr:cNvPr>
        <xdr:cNvSpPr txBox="1"/>
      </xdr:nvSpPr>
      <xdr:spPr>
        <a:xfrm>
          <a:off x="14097001" y="2012155"/>
          <a:ext cx="1869200" cy="48867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200" b="1" u="sng">
              <a:solidFill>
                <a:schemeClr val="tx1"/>
              </a:solidFill>
            </a:rPr>
            <a:t>ALUNBRIG  180mg tbl 28  (brigatinib) </a:t>
          </a:r>
          <a:r>
            <a:rPr lang="cs-CZ" sz="1000" b="1" u="none">
              <a:solidFill>
                <a:schemeClr val="tx1"/>
              </a:solidFill>
            </a:rPr>
            <a:t>- 2. gen. ALK-TKI</a:t>
          </a:r>
          <a:endParaRPr lang="cs-CZ" sz="1000" u="none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166688</xdr:colOff>
      <xdr:row>6</xdr:row>
      <xdr:rowOff>0</xdr:rowOff>
    </xdr:from>
    <xdr:to>
      <xdr:col>29</xdr:col>
      <xdr:colOff>154781</xdr:colOff>
      <xdr:row>9</xdr:row>
      <xdr:rowOff>107156</xdr:rowOff>
    </xdr:to>
    <xdr:cxnSp macro="">
      <xdr:nvCxnSpPr>
        <xdr:cNvPr id="11" name="Přímá spojnice 10">
          <a:extLst>
            <a:ext uri="{FF2B5EF4-FFF2-40B4-BE49-F238E27FC236}">
              <a16:creationId xmlns:a16="http://schemas.microsoft.com/office/drawing/2014/main" id="{6253CB4C-AE0D-4259-8A30-986A638DFBBB}"/>
            </a:ext>
          </a:extLst>
        </xdr:cNvPr>
        <xdr:cNvCxnSpPr>
          <a:cxnSpLocks noChangeShapeType="1"/>
        </xdr:cNvCxnSpPr>
      </xdr:nvCxnSpPr>
      <xdr:spPr bwMode="auto">
        <a:xfrm flipV="1">
          <a:off x="11846719" y="2524125"/>
          <a:ext cx="5453062" cy="1476375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595313</xdr:colOff>
      <xdr:row>5</xdr:row>
      <xdr:rowOff>190500</xdr:rowOff>
    </xdr:from>
    <xdr:to>
      <xdr:col>30</xdr:col>
      <xdr:colOff>464343</xdr:colOff>
      <xdr:row>10</xdr:row>
      <xdr:rowOff>297657</xdr:rowOff>
    </xdr:to>
    <xdr:cxnSp macro="">
      <xdr:nvCxnSpPr>
        <xdr:cNvPr id="12" name="Přímá spojnice 11">
          <a:extLst>
            <a:ext uri="{FF2B5EF4-FFF2-40B4-BE49-F238E27FC236}">
              <a16:creationId xmlns:a16="http://schemas.microsoft.com/office/drawing/2014/main" id="{4B1BECC2-E05C-4606-8CAE-E1B99CC30103}"/>
            </a:ext>
          </a:extLst>
        </xdr:cNvPr>
        <xdr:cNvCxnSpPr/>
      </xdr:nvCxnSpPr>
      <xdr:spPr>
        <a:xfrm flipV="1">
          <a:off x="9846469" y="2274094"/>
          <a:ext cx="8370093" cy="2381251"/>
        </a:xfrm>
        <a:prstGeom prst="line">
          <a:avLst/>
        </a:prstGeom>
        <a:ln w="1905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369094</xdr:colOff>
      <xdr:row>8</xdr:row>
      <xdr:rowOff>440531</xdr:rowOff>
    </xdr:from>
    <xdr:to>
      <xdr:col>21</xdr:col>
      <xdr:colOff>190500</xdr:colOff>
      <xdr:row>10</xdr:row>
      <xdr:rowOff>71438</xdr:rowOff>
    </xdr:to>
    <xdr:cxnSp macro="">
      <xdr:nvCxnSpPr>
        <xdr:cNvPr id="14" name="Přímá spojnice 13">
          <a:extLst>
            <a:ext uri="{FF2B5EF4-FFF2-40B4-BE49-F238E27FC236}">
              <a16:creationId xmlns:a16="http://schemas.microsoft.com/office/drawing/2014/main" id="{99E198C5-30F4-4AAF-B0FB-A100933BFA64}"/>
            </a:ext>
          </a:extLst>
        </xdr:cNvPr>
        <xdr:cNvCxnSpPr>
          <a:cxnSpLocks noChangeShapeType="1"/>
        </xdr:cNvCxnSpPr>
      </xdr:nvCxnSpPr>
      <xdr:spPr bwMode="auto">
        <a:xfrm flipV="1">
          <a:off x="10227469" y="3881437"/>
          <a:ext cx="2250281" cy="547689"/>
        </a:xfrm>
        <a:prstGeom prst="line">
          <a:avLst/>
        </a:prstGeom>
        <a:noFill/>
        <a:ln w="28575" algn="ctr">
          <a:solidFill>
            <a:srgbClr val="0070C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25</xdr:col>
      <xdr:colOff>523875</xdr:colOff>
      <xdr:row>5</xdr:row>
      <xdr:rowOff>404812</xdr:rowOff>
    </xdr:from>
    <xdr:to>
      <xdr:col>26</xdr:col>
      <xdr:colOff>238125</xdr:colOff>
      <xdr:row>8</xdr:row>
      <xdr:rowOff>11906</xdr:rowOff>
    </xdr:to>
    <xdr:cxnSp macro="">
      <xdr:nvCxnSpPr>
        <xdr:cNvPr id="13" name="Přímá spojnice se šipkou 12">
          <a:extLst>
            <a:ext uri="{FF2B5EF4-FFF2-40B4-BE49-F238E27FC236}">
              <a16:creationId xmlns:a16="http://schemas.microsoft.com/office/drawing/2014/main" id="{1A1072A8-D6CF-4A57-A4B0-154F44EE1C7D}"/>
            </a:ext>
          </a:extLst>
        </xdr:cNvPr>
        <xdr:cNvCxnSpPr/>
      </xdr:nvCxnSpPr>
      <xdr:spPr bwMode="auto">
        <a:xfrm>
          <a:off x="15240000" y="2488406"/>
          <a:ext cx="321469" cy="96440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00206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404813</xdr:colOff>
      <xdr:row>8</xdr:row>
      <xdr:rowOff>190500</xdr:rowOff>
    </xdr:from>
    <xdr:to>
      <xdr:col>25</xdr:col>
      <xdr:colOff>452437</xdr:colOff>
      <xdr:row>9</xdr:row>
      <xdr:rowOff>250030</xdr:rowOff>
    </xdr:to>
    <xdr:cxnSp macro="">
      <xdr:nvCxnSpPr>
        <xdr:cNvPr id="15" name="Přímá spojnice se šipkou 14">
          <a:extLst>
            <a:ext uri="{FF2B5EF4-FFF2-40B4-BE49-F238E27FC236}">
              <a16:creationId xmlns:a16="http://schemas.microsoft.com/office/drawing/2014/main" id="{F16F870B-2446-48A0-951B-658A0081AFA1}"/>
            </a:ext>
          </a:extLst>
        </xdr:cNvPr>
        <xdr:cNvCxnSpPr/>
      </xdr:nvCxnSpPr>
      <xdr:spPr bwMode="auto">
        <a:xfrm flipV="1">
          <a:off x="14513719" y="3631406"/>
          <a:ext cx="654843" cy="51196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00206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0.75969</cdr:x>
      <cdr:y>0.38117</cdr:y>
    </cdr:from>
    <cdr:to>
      <cdr:x>0.91275</cdr:x>
      <cdr:y>0.42138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8230956" y="2845511"/>
          <a:ext cx="1658358" cy="3001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/>
            <a:t>linie nákladové efektivity</a:t>
          </a:r>
        </a:p>
      </cdr:txBody>
    </cdr:sp>
  </cdr:relSizeAnchor>
  <cdr:relSizeAnchor xmlns:cdr="http://schemas.openxmlformats.org/drawingml/2006/chartDrawing">
    <cdr:from>
      <cdr:x>0.05011</cdr:x>
      <cdr:y>0.00869</cdr:y>
    </cdr:from>
    <cdr:to>
      <cdr:x>0.98637</cdr:x>
      <cdr:y>0.11412</cdr:y>
    </cdr:to>
    <cdr:sp macro="" textlink="">
      <cdr:nvSpPr>
        <cdr:cNvPr id="8" name="TextovéPole 7"/>
        <cdr:cNvSpPr txBox="1"/>
      </cdr:nvSpPr>
      <cdr:spPr>
        <a:xfrm xmlns:a="http://schemas.openxmlformats.org/drawingml/2006/main">
          <a:off x="542926" y="64873"/>
          <a:ext cx="10144086" cy="787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cs-CZ" sz="1600" b="1"/>
            <a:t>Hodnocení náklad. efektivity (cena za léčbu do progrese onem. či úmrtí vs odhadovaný</a:t>
          </a:r>
          <a:r>
            <a:rPr lang="cs-CZ" sz="1600" b="1" baseline="30000"/>
            <a:t>35</a:t>
          </a:r>
          <a:r>
            <a:rPr lang="cs-CZ" sz="1600" b="1"/>
            <a:t> medián přežití bez progrese, vč. 95%CI) režimů </a:t>
          </a:r>
          <a:r>
            <a:rPr lang="cs-CZ" sz="1600" b="1" baseline="0"/>
            <a:t>použitých </a:t>
          </a:r>
          <a:r>
            <a:rPr lang="cs-CZ" sz="1600" b="1" u="sng" baseline="0"/>
            <a:t>jako 2. linie léčby NSCLC (st. IIIB-IV) pozitivního na ALK</a:t>
          </a:r>
          <a:r>
            <a:rPr lang="cs-CZ" sz="1600" b="1" u="sng" baseline="30000"/>
            <a:t>8</a:t>
          </a:r>
          <a:r>
            <a:rPr lang="cs-CZ" sz="1600" b="1" u="sng" baseline="0"/>
            <a:t> (po léčbě krizotinibem)</a:t>
          </a:r>
          <a:endParaRPr lang="cs-CZ" sz="1600" b="1" u="sng"/>
        </a:p>
      </cdr:txBody>
    </cdr:sp>
  </cdr:relSizeAnchor>
  <cdr:relSizeAnchor xmlns:cdr="http://schemas.openxmlformats.org/drawingml/2006/chartDrawing">
    <cdr:from>
      <cdr:x>0.15348</cdr:x>
      <cdr:y>0.46763</cdr:y>
    </cdr:from>
    <cdr:to>
      <cdr:x>0.2633</cdr:x>
      <cdr:y>0.54896</cdr:y>
    </cdr:to>
    <cdr:sp macro="" textlink="">
      <cdr:nvSpPr>
        <cdr:cNvPr id="9" name="TextovéPole 4"/>
        <cdr:cNvSpPr txBox="1"/>
      </cdr:nvSpPr>
      <cdr:spPr>
        <a:xfrm xmlns:a="http://schemas.openxmlformats.org/drawingml/2006/main">
          <a:off x="1662884" y="3490954"/>
          <a:ext cx="1189853" cy="6071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200" b="1"/>
            <a:t>CHT - docetaxel</a:t>
          </a:r>
          <a:r>
            <a:rPr lang="cs-CZ" sz="1200" b="1" baseline="0"/>
            <a:t> </a:t>
          </a:r>
          <a:r>
            <a:rPr lang="cs-CZ" sz="1000" b="0" baseline="0"/>
            <a:t>(LL95%CI hodnota mPFS dle</a:t>
          </a:r>
          <a:r>
            <a:rPr lang="cs-CZ" sz="1000" b="0" baseline="30000"/>
            <a:t>27</a:t>
          </a:r>
          <a:r>
            <a:rPr lang="cs-CZ" sz="1000" b="0" baseline="0"/>
            <a:t>)</a:t>
          </a:r>
          <a:endParaRPr lang="cs-CZ" sz="1000" b="0" u="sng"/>
        </a:p>
      </cdr:txBody>
    </cdr:sp>
  </cdr:relSizeAnchor>
  <cdr:relSizeAnchor xmlns:cdr="http://schemas.openxmlformats.org/drawingml/2006/chartDrawing">
    <cdr:from>
      <cdr:x>0.02997</cdr:x>
      <cdr:y>0.07528</cdr:y>
    </cdr:from>
    <cdr:to>
      <cdr:x>0.06807</cdr:x>
      <cdr:y>0.63668</cdr:y>
    </cdr:to>
    <cdr:sp macro="" textlink="">
      <cdr:nvSpPr>
        <cdr:cNvPr id="14" name="TextovéPole 18">
          <a:extLst xmlns:a="http://schemas.openxmlformats.org/drawingml/2006/main"/>
        </cdr:cNvPr>
        <cdr:cNvSpPr txBox="1"/>
      </cdr:nvSpPr>
      <cdr:spPr>
        <a:xfrm xmlns:a="http://schemas.openxmlformats.org/drawingml/2006/main">
          <a:off x="324718" y="561975"/>
          <a:ext cx="412801" cy="41910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bg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100"/>
            <a:t>                 cena za léčbu</a:t>
          </a:r>
          <a:r>
            <a:rPr lang="cs-CZ" sz="1100" baseline="0"/>
            <a:t> vynaložená do progrese onemocnění čí úmrtí</a:t>
          </a:r>
          <a:endParaRPr lang="cs-CZ" sz="1100"/>
        </a:p>
      </cdr:txBody>
    </cdr:sp>
  </cdr:relSizeAnchor>
  <cdr:relSizeAnchor xmlns:cdr="http://schemas.openxmlformats.org/drawingml/2006/chartDrawing">
    <cdr:from>
      <cdr:x>0.20396</cdr:x>
      <cdr:y>0.41014</cdr:y>
    </cdr:from>
    <cdr:to>
      <cdr:x>0.37648</cdr:x>
      <cdr:y>0.4756</cdr:y>
    </cdr:to>
    <cdr:sp macro="" textlink="">
      <cdr:nvSpPr>
        <cdr:cNvPr id="24" name="TextovéPole 1">
          <a:extLst xmlns:a="http://schemas.openxmlformats.org/drawingml/2006/main"/>
        </cdr:cNvPr>
        <cdr:cNvSpPr txBox="1"/>
      </cdr:nvSpPr>
      <cdr:spPr>
        <a:xfrm xmlns:a="http://schemas.openxmlformats.org/drawingml/2006/main">
          <a:off x="2209816" y="3061760"/>
          <a:ext cx="1869200" cy="488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200" b="1" u="sng">
              <a:solidFill>
                <a:srgbClr val="0070C0"/>
              </a:solidFill>
            </a:rPr>
            <a:t>ZYKADIA 150mg cps 90  (ceritinib)</a:t>
          </a:r>
          <a:r>
            <a:rPr lang="cs-CZ" sz="1000" b="1" u="none">
              <a:solidFill>
                <a:srgbClr val="0070C0"/>
              </a:solidFill>
            </a:rPr>
            <a:t> - 2. gen. ALK-TKI</a:t>
          </a:r>
          <a:endParaRPr lang="cs-CZ" sz="1000" u="none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0.16066</cdr:x>
      <cdr:y>0.1311</cdr:y>
    </cdr:from>
    <cdr:to>
      <cdr:x>0.53473</cdr:x>
      <cdr:y>0.35439</cdr:y>
    </cdr:to>
    <cdr:sp macro="" textlink="">
      <cdr:nvSpPr>
        <cdr:cNvPr id="7" name="TextovéPole 6"/>
        <cdr:cNvSpPr txBox="1"/>
      </cdr:nvSpPr>
      <cdr:spPr>
        <a:xfrm xmlns:a="http://schemas.openxmlformats.org/drawingml/2006/main">
          <a:off x="1740702" y="978694"/>
          <a:ext cx="4052880" cy="1666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rgbClr val="7030A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 u="sng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V bezpečnosti je v parametru výskytu NÚ st. 3-5 (či 3-4) nejlepší (a to statisticky významně) alektinib vůči brigatinibu</a:t>
          </a:r>
          <a:r>
            <a:rPr lang="cs-CZ" sz="11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(cca 2,7x), </a:t>
          </a:r>
          <a:r>
            <a:rPr lang="cs-CZ" sz="1100" b="1" u="sng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mezi ceritinibem a brigatinibem nebude pravděpodobně statisticky významný rozdíl  </a:t>
          </a:r>
          <a:r>
            <a:rPr lang="cs-CZ" sz="11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- viz Příloha č. 5 a 6.</a:t>
          </a:r>
          <a:r>
            <a:rPr lang="cs-CZ" sz="1100" b="1"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>
              <a:solidFill>
                <a:srgbClr val="002060"/>
              </a:solidFill>
            </a:rPr>
            <a:t>Mezi jednotlivými ALK-TKI jsou mj. i rozdíly v dávkování: ZYKADIA</a:t>
          </a:r>
          <a:r>
            <a:rPr lang="cs-CZ" sz="1100" b="1" baseline="0">
              <a:solidFill>
                <a:srgbClr val="002060"/>
              </a:solidFill>
            </a:rPr>
            <a:t> - 1x denně 3cps, ALECENSA - 2x denně 4cps, ALUNBRIG - 1x denně 1 tbl (</a:t>
          </a:r>
          <a:r>
            <a:rPr lang="cs-CZ" sz="1100" b="1" u="sng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jako jediný má ale </a:t>
          </a:r>
          <a:r>
            <a:rPr lang="cs-CZ" sz="1100" b="1" u="sng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iniciál. dávk. 7 dní 1x 90mg)</a:t>
          </a:r>
          <a:r>
            <a:rPr lang="cs-CZ" sz="1100" b="1">
              <a:solidFill>
                <a:srgbClr val="002060"/>
              </a:solidFill>
            </a:rPr>
            <a:t>.  </a:t>
          </a:r>
          <a:r>
            <a:rPr lang="cs-CZ" sz="1100" b="1" u="sng">
              <a:solidFill>
                <a:srgbClr val="002060"/>
              </a:solidFill>
            </a:rPr>
            <a:t>CAVE!</a:t>
          </a:r>
          <a:r>
            <a:rPr lang="cs-CZ" sz="1100" b="1" u="sng" baseline="0">
              <a:solidFill>
                <a:srgbClr val="002060"/>
              </a:solidFill>
            </a:rPr>
            <a:t> jednotlivé ALK-TKI se liší </a:t>
          </a:r>
          <a:r>
            <a:rPr lang="cs-CZ" sz="1100" b="1" u="sng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vůči různým EML4-ALK rezistentním mutacím po léčbě předchozím ALK-TKI - viz Příloha č.</a:t>
          </a:r>
          <a:r>
            <a:rPr lang="cs-CZ" sz="1100" b="1" u="sng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3 a 7</a:t>
          </a:r>
          <a:endParaRPr lang="cs-CZ" sz="1100" b="1" u="sng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0.33363</cdr:x>
      <cdr:y>0.45008</cdr:y>
    </cdr:from>
    <cdr:to>
      <cdr:x>0.5578</cdr:x>
      <cdr:y>0.54099</cdr:y>
    </cdr:to>
    <cdr:cxnSp macro="">
      <cdr:nvCxnSpPr>
        <cdr:cNvPr id="38" name="Přímá spojnice 37">
          <a:extLst xmlns:a="http://schemas.openxmlformats.org/drawingml/2006/main">
            <a:ext uri="{FF2B5EF4-FFF2-40B4-BE49-F238E27FC236}">
              <a16:creationId xmlns:a16="http://schemas.microsoft.com/office/drawing/2014/main" id="{1DEF1B58-14AA-470B-A623-8356394C421D}"/>
            </a:ext>
          </a:extLst>
        </cdr:cNvPr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 flipV="1">
          <a:off x="3614738" y="3359944"/>
          <a:ext cx="2428875" cy="6786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 algn="ctr">
          <a:solidFill>
            <a:srgbClr val="00B05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0.18857</cdr:x>
      <cdr:y>0.55056</cdr:y>
    </cdr:from>
    <cdr:to>
      <cdr:x>0.19626</cdr:x>
      <cdr:y>0.59681</cdr:y>
    </cdr:to>
    <cdr:cxnSp macro="">
      <cdr:nvCxnSpPr>
        <cdr:cNvPr id="45" name="Přímá spojnice se šipkou 44">
          <a:extLst xmlns:a="http://schemas.openxmlformats.org/drawingml/2006/main">
            <a:ext uri="{FF2B5EF4-FFF2-40B4-BE49-F238E27FC236}">
              <a16:creationId xmlns:a16="http://schemas.microsoft.com/office/drawing/2014/main" id="{199AE4DC-C8D0-489A-B13E-DF1EF49320DE}"/>
            </a:ext>
          </a:extLst>
        </cdr:cNvPr>
        <cdr:cNvCxnSpPr/>
      </cdr:nvCxnSpPr>
      <cdr:spPr bwMode="auto">
        <a:xfrm xmlns:a="http://schemas.openxmlformats.org/drawingml/2006/main">
          <a:off x="2043113" y="4110038"/>
          <a:ext cx="83344" cy="345281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0.68711</cdr:x>
      <cdr:y>0.44211</cdr:y>
    </cdr:from>
    <cdr:to>
      <cdr:x>0.97648</cdr:x>
      <cdr:y>0.6</cdr:y>
    </cdr:to>
    <cdr:sp macro="" textlink="">
      <cdr:nvSpPr>
        <cdr:cNvPr id="10" name="TextovéPole 1">
          <a:extLst xmlns:a="http://schemas.openxmlformats.org/drawingml/2006/main">
            <a:ext uri="{FF2B5EF4-FFF2-40B4-BE49-F238E27FC236}">
              <a16:creationId xmlns:a16="http://schemas.microsoft.com/office/drawing/2014/main" id="{094937E8-B587-4CE3-93EE-ACCF2A5E6013}"/>
            </a:ext>
          </a:extLst>
        </cdr:cNvPr>
        <cdr:cNvSpPr txBox="1"/>
      </cdr:nvSpPr>
      <cdr:spPr>
        <a:xfrm xmlns:a="http://schemas.openxmlformats.org/drawingml/2006/main">
          <a:off x="7444582" y="3300414"/>
          <a:ext cx="3135312" cy="1178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rgbClr val="7030A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 u="sng">
              <a:solidFill>
                <a:srgbClr val="002060"/>
              </a:solidFill>
            </a:rPr>
            <a:t>V porovnání ALUNBRIGU s ALECENSOU jsou výsledky (dle PFS) nejednoznačné</a:t>
          </a:r>
          <a:r>
            <a:rPr lang="cs-CZ" sz="1100" b="1" u="sng" baseline="30000">
              <a:solidFill>
                <a:srgbClr val="002060"/>
              </a:solidFill>
            </a:rPr>
            <a:t>37</a:t>
          </a:r>
          <a:r>
            <a:rPr lang="cs-CZ" sz="1100" b="1" u="sng">
              <a:solidFill>
                <a:srgbClr val="002060"/>
              </a:solidFill>
            </a:rPr>
            <a:t> (je buď stejný nebo o něco lepší než ALECENSA).</a:t>
          </a:r>
          <a:r>
            <a:rPr lang="cs-CZ" sz="1100" b="1">
              <a:solidFill>
                <a:srgbClr val="002060"/>
              </a:solidFill>
            </a:rPr>
            <a:t> Výsledky </a:t>
          </a:r>
          <a:r>
            <a:rPr lang="cs-CZ" sz="11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prediktivní hodnoty různých variant fůzí EML4-ALK (zjištěných NGS</a:t>
          </a:r>
          <a:r>
            <a:rPr lang="cs-CZ" sz="1100" b="1" baseline="300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cs-CZ" sz="11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) ve vztahu k účinnosti jednotlivých ALK-TKI jsou zatím rozporuplné</a:t>
          </a:r>
          <a:r>
            <a:rPr lang="cs-CZ" sz="1100" b="1" baseline="300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39</a:t>
          </a:r>
          <a:r>
            <a:rPr lang="cs-CZ" sz="11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.</a:t>
          </a:r>
        </a:p>
        <a:p xmlns:a="http://schemas.openxmlformats.org/drawingml/2006/main">
          <a:endParaRPr lang="cs-CZ" sz="1100" b="1" u="sng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381000</xdr:colOff>
      <xdr:row>0</xdr:row>
      <xdr:rowOff>252411</xdr:rowOff>
    </xdr:from>
    <xdr:to>
      <xdr:col>26</xdr:col>
      <xdr:colOff>38100</xdr:colOff>
      <xdr:row>16</xdr:row>
      <xdr:rowOff>9525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08695FC-E109-4D97-911B-A75496E90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527049</xdr:colOff>
      <xdr:row>12</xdr:row>
      <xdr:rowOff>137583</xdr:rowOff>
    </xdr:from>
    <xdr:to>
      <xdr:col>20</xdr:col>
      <xdr:colOff>476250</xdr:colOff>
      <xdr:row>14</xdr:row>
      <xdr:rowOff>169334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B35B4245-9119-494B-84D6-1993D6A8386F}"/>
            </a:ext>
          </a:extLst>
        </xdr:cNvPr>
        <xdr:cNvSpPr txBox="1"/>
      </xdr:nvSpPr>
      <xdr:spPr>
        <a:xfrm>
          <a:off x="6127749" y="3452283"/>
          <a:ext cx="4216401" cy="412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cs-CZ" sz="9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kolik Kč vynaložím navíc  při použití dražší a účinnější intervence ALK-TKI pro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dosažení  1 měsíce přežití bez progrese navíc </a:t>
          </a:r>
          <a:r>
            <a:rPr lang="cs-CZ" sz="9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vůči  CHT (docetaxel)</a:t>
          </a:r>
          <a:endParaRPr lang="cs-CZ" sz="1100"/>
        </a:p>
      </xdr:txBody>
    </xdr:sp>
    <xdr:clientData/>
  </xdr:twoCellAnchor>
  <xdr:twoCellAnchor>
    <xdr:from>
      <xdr:col>26</xdr:col>
      <xdr:colOff>485775</xdr:colOff>
      <xdr:row>22</xdr:row>
      <xdr:rowOff>76200</xdr:rowOff>
    </xdr:from>
    <xdr:to>
      <xdr:col>27</xdr:col>
      <xdr:colOff>561976</xdr:colOff>
      <xdr:row>24</xdr:row>
      <xdr:rowOff>57150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7C40CEC8-0432-489C-9413-D7A84C1890D2}"/>
            </a:ext>
          </a:extLst>
        </xdr:cNvPr>
        <xdr:cNvCxnSpPr/>
      </xdr:nvCxnSpPr>
      <xdr:spPr>
        <a:xfrm flipH="1" flipV="1">
          <a:off x="14011275" y="5286375"/>
          <a:ext cx="771526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466725</xdr:colOff>
      <xdr:row>24</xdr:row>
      <xdr:rowOff>85725</xdr:rowOff>
    </xdr:from>
    <xdr:to>
      <xdr:col>27</xdr:col>
      <xdr:colOff>571500</xdr:colOff>
      <xdr:row>27</xdr:row>
      <xdr:rowOff>95250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CA5EB2D0-91BB-4BC4-92DA-4A94CB8D70A6}"/>
            </a:ext>
          </a:extLst>
        </xdr:cNvPr>
        <xdr:cNvCxnSpPr/>
      </xdr:nvCxnSpPr>
      <xdr:spPr>
        <a:xfrm flipH="1">
          <a:off x="13992225" y="5619750"/>
          <a:ext cx="800100" cy="581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542925</xdr:colOff>
      <xdr:row>24</xdr:row>
      <xdr:rowOff>152400</xdr:rowOff>
    </xdr:from>
    <xdr:to>
      <xdr:col>28</xdr:col>
      <xdr:colOff>66675</xdr:colOff>
      <xdr:row>26</xdr:row>
      <xdr:rowOff>76200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A3343DE0-23CC-407E-88E5-9E34D9E1A7F4}"/>
            </a:ext>
          </a:extLst>
        </xdr:cNvPr>
        <xdr:cNvCxnSpPr/>
      </xdr:nvCxnSpPr>
      <xdr:spPr>
        <a:xfrm flipH="1" flipV="1">
          <a:off x="11020425" y="5686425"/>
          <a:ext cx="3876675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438150</xdr:colOff>
      <xdr:row>22</xdr:row>
      <xdr:rowOff>38100</xdr:rowOff>
    </xdr:from>
    <xdr:to>
      <xdr:col>15</xdr:col>
      <xdr:colOff>304800</xdr:colOff>
      <xdr:row>26</xdr:row>
      <xdr:rowOff>171450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784F966B-296B-43B8-BE71-DAE796F4D867}"/>
            </a:ext>
          </a:extLst>
        </xdr:cNvPr>
        <xdr:cNvCxnSpPr/>
      </xdr:nvCxnSpPr>
      <xdr:spPr>
        <a:xfrm flipV="1">
          <a:off x="4543425" y="5248275"/>
          <a:ext cx="2581275" cy="838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447675</xdr:colOff>
      <xdr:row>22</xdr:row>
      <xdr:rowOff>161925</xdr:rowOff>
    </xdr:from>
    <xdr:to>
      <xdr:col>14</xdr:col>
      <xdr:colOff>28575</xdr:colOff>
      <xdr:row>26</xdr:row>
      <xdr:rowOff>104776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65562FD9-37BE-4F31-97DA-0CD0F5308A6E}"/>
            </a:ext>
          </a:extLst>
        </xdr:cNvPr>
        <xdr:cNvCxnSpPr/>
      </xdr:nvCxnSpPr>
      <xdr:spPr>
        <a:xfrm flipV="1">
          <a:off x="4552950" y="5372100"/>
          <a:ext cx="1685925" cy="6477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447675</xdr:colOff>
      <xdr:row>25</xdr:row>
      <xdr:rowOff>114300</xdr:rowOff>
    </xdr:from>
    <xdr:to>
      <xdr:col>14</xdr:col>
      <xdr:colOff>342900</xdr:colOff>
      <xdr:row>27</xdr:row>
      <xdr:rowOff>76200</xdr:rowOff>
    </xdr:to>
    <xdr:cxnSp macro="">
      <xdr:nvCxnSpPr>
        <xdr:cNvPr id="9" name="Přímá spojnice se šipkou 8">
          <a:extLst>
            <a:ext uri="{FF2B5EF4-FFF2-40B4-BE49-F238E27FC236}">
              <a16:creationId xmlns:a16="http://schemas.microsoft.com/office/drawing/2014/main" id="{F7AB23CF-C29F-4FA9-924E-E5690AAAA797}"/>
            </a:ext>
          </a:extLst>
        </xdr:cNvPr>
        <xdr:cNvCxnSpPr/>
      </xdr:nvCxnSpPr>
      <xdr:spPr>
        <a:xfrm flipV="1">
          <a:off x="4552950" y="5838825"/>
          <a:ext cx="20002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438150</xdr:colOff>
      <xdr:row>22</xdr:row>
      <xdr:rowOff>28575</xdr:rowOff>
    </xdr:from>
    <xdr:to>
      <xdr:col>17</xdr:col>
      <xdr:colOff>409575</xdr:colOff>
      <xdr:row>27</xdr:row>
      <xdr:rowOff>19050</xdr:rowOff>
    </xdr:to>
    <xdr:cxnSp macro="">
      <xdr:nvCxnSpPr>
        <xdr:cNvPr id="10" name="Přímá spojnice se šipkou 9">
          <a:extLst>
            <a:ext uri="{FF2B5EF4-FFF2-40B4-BE49-F238E27FC236}">
              <a16:creationId xmlns:a16="http://schemas.microsoft.com/office/drawing/2014/main" id="{F1C0D4AC-883B-4B53-8633-FF4E4E92C087}"/>
            </a:ext>
          </a:extLst>
        </xdr:cNvPr>
        <xdr:cNvCxnSpPr/>
      </xdr:nvCxnSpPr>
      <xdr:spPr>
        <a:xfrm flipV="1">
          <a:off x="4543425" y="5238750"/>
          <a:ext cx="3905250" cy="885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28</xdr:row>
      <xdr:rowOff>76200</xdr:rowOff>
    </xdr:from>
    <xdr:to>
      <xdr:col>18</xdr:col>
      <xdr:colOff>209550</xdr:colOff>
      <xdr:row>30</xdr:row>
      <xdr:rowOff>85725</xdr:rowOff>
    </xdr:to>
    <xdr:cxnSp macro="">
      <xdr:nvCxnSpPr>
        <xdr:cNvPr id="11" name="Přímá spojnice se šipkou 10">
          <a:extLst>
            <a:ext uri="{FF2B5EF4-FFF2-40B4-BE49-F238E27FC236}">
              <a16:creationId xmlns:a16="http://schemas.microsoft.com/office/drawing/2014/main" id="{4BD42A51-5613-4453-AFA6-E6AD06E6A0B3}"/>
            </a:ext>
          </a:extLst>
        </xdr:cNvPr>
        <xdr:cNvCxnSpPr/>
      </xdr:nvCxnSpPr>
      <xdr:spPr>
        <a:xfrm flipV="1">
          <a:off x="4419600" y="6372225"/>
          <a:ext cx="443865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345018</xdr:colOff>
      <xdr:row>1</xdr:row>
      <xdr:rowOff>262467</xdr:rowOff>
    </xdr:from>
    <xdr:to>
      <xdr:col>15</xdr:col>
      <xdr:colOff>366184</xdr:colOff>
      <xdr:row>11</xdr:row>
      <xdr:rowOff>153459</xdr:rowOff>
    </xdr:to>
    <xdr:cxnSp macro="">
      <xdr:nvCxnSpPr>
        <xdr:cNvPr id="12" name="Přímá spojnice 11">
          <a:extLst>
            <a:ext uri="{FF2B5EF4-FFF2-40B4-BE49-F238E27FC236}">
              <a16:creationId xmlns:a16="http://schemas.microsoft.com/office/drawing/2014/main" id="{605A9513-DEEB-4CF9-8391-5E67D893C093}"/>
            </a:ext>
          </a:extLst>
        </xdr:cNvPr>
        <xdr:cNvCxnSpPr/>
      </xdr:nvCxnSpPr>
      <xdr:spPr>
        <a:xfrm>
          <a:off x="7164918" y="700617"/>
          <a:ext cx="21166" cy="2577042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31750</xdr:colOff>
      <xdr:row>1</xdr:row>
      <xdr:rowOff>254001</xdr:rowOff>
    </xdr:from>
    <xdr:to>
      <xdr:col>22</xdr:col>
      <xdr:colOff>243417</xdr:colOff>
      <xdr:row>11</xdr:row>
      <xdr:rowOff>31751</xdr:rowOff>
    </xdr:to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6C76E68C-865F-4483-9ED0-A9CC1886D1E9}"/>
            </a:ext>
          </a:extLst>
        </xdr:cNvPr>
        <xdr:cNvSpPr txBox="1"/>
      </xdr:nvSpPr>
      <xdr:spPr>
        <a:xfrm>
          <a:off x="9899650" y="692151"/>
          <a:ext cx="1430867" cy="2454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 b="1" u="sng"/>
            <a:t>ICER </a:t>
          </a:r>
          <a:r>
            <a:rPr lang="cs-CZ" sz="800" b="1" u="sng"/>
            <a:t>(rozmezí dle hraničních hodnot 95%CI mPFS)</a:t>
          </a:r>
        </a:p>
        <a:p>
          <a:endParaRPr lang="cs-CZ" sz="600" b="1"/>
        </a:p>
        <a:p>
          <a:r>
            <a:rPr lang="cs-CZ" sz="1000" b="1" baseline="0"/>
            <a:t> 76.594</a:t>
          </a:r>
          <a:r>
            <a:rPr lang="cs-CZ" sz="1000" b="1"/>
            <a:t> Kč - 134.883 Kč</a:t>
          </a:r>
        </a:p>
        <a:p>
          <a:endParaRPr lang="cs-CZ" sz="1400" b="1"/>
        </a:p>
        <a:p>
          <a:endParaRPr lang="cs-CZ" sz="1000" b="1"/>
        </a:p>
        <a:p>
          <a:endParaRPr lang="cs-CZ" sz="600" b="1"/>
        </a:p>
        <a:p>
          <a:endParaRPr lang="cs-CZ" sz="400" b="1"/>
        </a:p>
        <a:p>
          <a:r>
            <a:rPr lang="cs-CZ" sz="1000" b="1" baseline="0"/>
            <a:t>   81.514</a:t>
          </a:r>
          <a:r>
            <a:rPr lang="cs-CZ" sz="1000" b="1"/>
            <a:t> Kč - 95.661 Kč</a:t>
          </a:r>
        </a:p>
        <a:p>
          <a:endParaRPr lang="cs-CZ" sz="1000" b="1"/>
        </a:p>
        <a:p>
          <a:endParaRPr lang="cs-CZ" sz="800" b="1"/>
        </a:p>
        <a:p>
          <a:endParaRPr lang="cs-CZ" sz="1100" b="1"/>
        </a:p>
        <a:p>
          <a:endParaRPr lang="cs-CZ" sz="800" b="1"/>
        </a:p>
        <a:p>
          <a:r>
            <a:rPr lang="cs-CZ" sz="1000" b="1" baseline="0"/>
            <a:t>   73.198</a:t>
          </a:r>
          <a:r>
            <a:rPr lang="cs-CZ" sz="1000" b="1"/>
            <a:t> Kč - 84.273 Kč</a:t>
          </a:r>
        </a:p>
      </xdr:txBody>
    </xdr:sp>
    <xdr:clientData/>
  </xdr:twoCellAnchor>
  <xdr:twoCellAnchor>
    <xdr:from>
      <xdr:col>22</xdr:col>
      <xdr:colOff>114299</xdr:colOff>
      <xdr:row>7</xdr:row>
      <xdr:rowOff>38100</xdr:rowOff>
    </xdr:from>
    <xdr:to>
      <xdr:col>26</xdr:col>
      <xdr:colOff>9524</xdr:colOff>
      <xdr:row>11</xdr:row>
      <xdr:rowOff>0</xdr:rowOff>
    </xdr:to>
    <xdr:sp macro="" textlink="">
      <xdr:nvSpPr>
        <xdr:cNvPr id="14" name="Ovál 13">
          <a:extLst>
            <a:ext uri="{FF2B5EF4-FFF2-40B4-BE49-F238E27FC236}">
              <a16:creationId xmlns:a16="http://schemas.microsoft.com/office/drawing/2014/main" id="{D419EECB-C19C-47A5-B1CC-A973584B3505}"/>
            </a:ext>
          </a:extLst>
        </xdr:cNvPr>
        <xdr:cNvSpPr/>
      </xdr:nvSpPr>
      <xdr:spPr>
        <a:xfrm>
          <a:off x="11201399" y="2400300"/>
          <a:ext cx="2333625" cy="7239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21</xdr:col>
      <xdr:colOff>142875</xdr:colOff>
      <xdr:row>11</xdr:row>
      <xdr:rowOff>47626</xdr:rowOff>
    </xdr:from>
    <xdr:to>
      <xdr:col>25</xdr:col>
      <xdr:colOff>581025</xdr:colOff>
      <xdr:row>15</xdr:row>
      <xdr:rowOff>47626</xdr:rowOff>
    </xdr:to>
    <xdr:sp macro="" textlink="">
      <xdr:nvSpPr>
        <xdr:cNvPr id="15" name="TextovéPole 1">
          <a:extLst>
            <a:ext uri="{FF2B5EF4-FFF2-40B4-BE49-F238E27FC236}">
              <a16:creationId xmlns:a16="http://schemas.microsoft.com/office/drawing/2014/main" id="{50E39EB4-018C-4C75-BDA2-E75BD7521887}"/>
            </a:ext>
          </a:extLst>
        </xdr:cNvPr>
        <xdr:cNvSpPr txBox="1"/>
      </xdr:nvSpPr>
      <xdr:spPr>
        <a:xfrm>
          <a:off x="10620375" y="3171826"/>
          <a:ext cx="2876550" cy="762000"/>
        </a:xfrm>
        <a:prstGeom prst="rect">
          <a:avLst/>
        </a:prstGeom>
        <a:noFill/>
        <a:ln w="19050">
          <a:solidFill>
            <a:srgbClr val="7030A0"/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850" b="1">
              <a:solidFill>
                <a:srgbClr val="002060"/>
              </a:solidFill>
            </a:rPr>
            <a:t>Výsledky </a:t>
          </a:r>
          <a:r>
            <a:rPr lang="cs-CZ" sz="85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prediktivní hodnoty různých variant fůzí EML4-ALK (zjištěných NGS</a:t>
          </a:r>
          <a:r>
            <a:rPr lang="cs-CZ" sz="850" b="1" baseline="300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cs-CZ" sz="85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) ve vztahu k účinnosti jednotlivých ALK-TKI jsou zatím rozporuplné</a:t>
          </a:r>
          <a:r>
            <a:rPr lang="cs-CZ" sz="850" b="1" baseline="300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39</a:t>
          </a:r>
          <a:r>
            <a:rPr lang="cs-CZ" sz="85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. Mezi ALECENSOU a ALUNBRIGEM jsou mírné číselné rozdíly v účinnosti u pacientů s/bez</a:t>
          </a:r>
          <a:r>
            <a:rPr lang="cs-CZ" sz="85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mozkových metastáz - viz Přílohy č. 5 a č. 8</a:t>
          </a:r>
          <a:endParaRPr lang="cs-CZ" sz="850" b="1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endParaRPr lang="cs-CZ" sz="1100" b="1" u="sng">
            <a:solidFill>
              <a:srgbClr val="002060"/>
            </a:solidFill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0.08472</cdr:x>
      <cdr:y>0.00573</cdr:y>
    </cdr:from>
    <cdr:to>
      <cdr:x>0.92781</cdr:x>
      <cdr:y>0.12729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88E48D18-11FD-47B2-9A01-78A1F9D3011C}"/>
            </a:ext>
          </a:extLst>
        </cdr:cNvPr>
        <cdr:cNvSpPr txBox="1"/>
      </cdr:nvSpPr>
      <cdr:spPr>
        <a:xfrm xmlns:a="http://schemas.openxmlformats.org/drawingml/2006/main">
          <a:off x="581025" y="21913"/>
          <a:ext cx="5781896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100" b="1">
              <a:effectLst/>
              <a:latin typeface="+mn-lt"/>
              <a:ea typeface="+mn-ea"/>
              <a:cs typeface="+mn-cs"/>
            </a:rPr>
            <a:t>Srovnání ICER (v</a:t>
          </a:r>
          <a:r>
            <a:rPr lang="cs-CZ" sz="1100" b="1" baseline="0">
              <a:effectLst/>
              <a:latin typeface="+mn-lt"/>
              <a:ea typeface="+mn-ea"/>
              <a:cs typeface="+mn-cs"/>
            </a:rPr>
            <a:t> parametru hranic 95%CI mPFS) režimů v</a:t>
          </a:r>
          <a:r>
            <a:rPr lang="cs-CZ" sz="1100" b="1">
              <a:effectLst/>
              <a:latin typeface="+mn-lt"/>
              <a:ea typeface="+mn-ea"/>
              <a:cs typeface="+mn-cs"/>
            </a:rPr>
            <a:t>ůči LL95%CI mPFS</a:t>
          </a:r>
          <a:r>
            <a:rPr lang="cs-CZ" sz="1100" b="1" baseline="0">
              <a:effectLst/>
              <a:latin typeface="+mn-lt"/>
              <a:ea typeface="+mn-ea"/>
              <a:cs typeface="+mn-cs"/>
            </a:rPr>
            <a:t> u CHT (docetaxel)</a:t>
          </a:r>
          <a:r>
            <a:rPr lang="cs-CZ" sz="1100" b="1" baseline="30000">
              <a:effectLst/>
              <a:latin typeface="+mn-lt"/>
              <a:ea typeface="+mn-ea"/>
              <a:cs typeface="+mn-cs"/>
            </a:rPr>
            <a:t>35</a:t>
          </a:r>
          <a:r>
            <a:rPr lang="cs-CZ" sz="1100" b="1">
              <a:effectLst/>
              <a:latin typeface="+mn-lt"/>
              <a:ea typeface="+mn-ea"/>
              <a:cs typeface="+mn-cs"/>
            </a:rPr>
            <a:t>                                 v </a:t>
          </a:r>
          <a:r>
            <a:rPr lang="cs-CZ" sz="1100" b="1" u="sng" baseline="0">
              <a:effectLst/>
              <a:latin typeface="+mn-lt"/>
              <a:ea typeface="+mn-ea"/>
              <a:cs typeface="+mn-cs"/>
            </a:rPr>
            <a:t>2. linii léčby NSCLC (st. IIIB-IV) pozitivního na ALK</a:t>
          </a:r>
          <a:r>
            <a:rPr lang="cs-CZ" sz="1100" b="1" u="sng" baseline="30000">
              <a:effectLst/>
              <a:latin typeface="+mn-lt"/>
              <a:ea typeface="+mn-ea"/>
              <a:cs typeface="+mn-cs"/>
            </a:rPr>
            <a:t>8</a:t>
          </a:r>
          <a:r>
            <a:rPr lang="cs-CZ" sz="1100" b="1" u="sng" baseline="0">
              <a:effectLst/>
              <a:latin typeface="+mn-lt"/>
              <a:ea typeface="+mn-ea"/>
              <a:cs typeface="+mn-cs"/>
            </a:rPr>
            <a:t> (po léčbě krizotinibem)</a:t>
          </a:r>
          <a:endParaRPr lang="cs-CZ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85723</xdr:rowOff>
    </xdr:from>
    <xdr:to>
      <xdr:col>23</xdr:col>
      <xdr:colOff>158750</xdr:colOff>
      <xdr:row>94</xdr:row>
      <xdr:rowOff>74083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76225" y="85723"/>
          <a:ext cx="14000692" cy="17895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                                                     1. linie léčby                                                                                                                                                                                                                                      2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linie léčby</a:t>
          </a:r>
          <a:endParaRPr lang="cs-CZ" sz="1100"/>
        </a:p>
      </xdr:txBody>
    </xdr:sp>
    <xdr:clientData/>
  </xdr:twoCellAnchor>
  <xdr:twoCellAnchor editAs="oneCell">
    <xdr:from>
      <xdr:col>0</xdr:col>
      <xdr:colOff>476250</xdr:colOff>
      <xdr:row>2</xdr:row>
      <xdr:rowOff>95250</xdr:rowOff>
    </xdr:from>
    <xdr:to>
      <xdr:col>12</xdr:col>
      <xdr:colOff>133350</xdr:colOff>
      <xdr:row>19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476250"/>
          <a:ext cx="6972300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19</xdr:row>
      <xdr:rowOff>152400</xdr:rowOff>
    </xdr:from>
    <xdr:to>
      <xdr:col>12</xdr:col>
      <xdr:colOff>381000</xdr:colOff>
      <xdr:row>23</xdr:row>
      <xdr:rowOff>9525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71900"/>
          <a:ext cx="69342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438150</xdr:colOff>
      <xdr:row>6</xdr:row>
      <xdr:rowOff>57150</xdr:rowOff>
    </xdr:from>
    <xdr:to>
      <xdr:col>4</xdr:col>
      <xdr:colOff>352425</xdr:colOff>
      <xdr:row>8</xdr:row>
      <xdr:rowOff>95250</xdr:rowOff>
    </xdr:to>
    <xdr:sp macro="" textlink="">
      <xdr:nvSpPr>
        <xdr:cNvPr id="5" name="Ová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657350" y="1200150"/>
          <a:ext cx="1133475" cy="4191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5</xdr:col>
      <xdr:colOff>542924</xdr:colOff>
      <xdr:row>5</xdr:row>
      <xdr:rowOff>180975</xdr:rowOff>
    </xdr:from>
    <xdr:to>
      <xdr:col>9</xdr:col>
      <xdr:colOff>95250</xdr:colOff>
      <xdr:row>8</xdr:row>
      <xdr:rowOff>152400</xdr:rowOff>
    </xdr:to>
    <xdr:sp macro="" textlink="">
      <xdr:nvSpPr>
        <xdr:cNvPr id="6" name="Ová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590924" y="1133475"/>
          <a:ext cx="1990726" cy="5429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5</xdr:col>
      <xdr:colOff>476250</xdr:colOff>
      <xdr:row>4</xdr:row>
      <xdr:rowOff>85724</xdr:rowOff>
    </xdr:from>
    <xdr:to>
      <xdr:col>9</xdr:col>
      <xdr:colOff>114300</xdr:colOff>
      <xdr:row>5</xdr:row>
      <xdr:rowOff>85725</xdr:rowOff>
    </xdr:to>
    <xdr:sp macro="" textlink="">
      <xdr:nvSpPr>
        <xdr:cNvPr id="8" name="Ová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524250" y="847724"/>
          <a:ext cx="2076450" cy="190501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447675</xdr:colOff>
      <xdr:row>21</xdr:row>
      <xdr:rowOff>57150</xdr:rowOff>
    </xdr:from>
    <xdr:to>
      <xdr:col>12</xdr:col>
      <xdr:colOff>190500</xdr:colOff>
      <xdr:row>21</xdr:row>
      <xdr:rowOff>57150</xdr:rowOff>
    </xdr:to>
    <xdr:cxnSp macro="">
      <xdr:nvCxnSpPr>
        <xdr:cNvPr id="10" name="Přímá spojnic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2276475" y="4057650"/>
          <a:ext cx="522922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22</xdr:row>
      <xdr:rowOff>9525</xdr:rowOff>
    </xdr:from>
    <xdr:to>
      <xdr:col>10</xdr:col>
      <xdr:colOff>438150</xdr:colOff>
      <xdr:row>22</xdr:row>
      <xdr:rowOff>19050</xdr:rowOff>
    </xdr:to>
    <xdr:cxnSp macro="">
      <xdr:nvCxnSpPr>
        <xdr:cNvPr id="13" name="Přímá spojnic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800100" y="4200525"/>
          <a:ext cx="5734050" cy="95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447675</xdr:colOff>
      <xdr:row>12</xdr:row>
      <xdr:rowOff>171450</xdr:rowOff>
    </xdr:from>
    <xdr:to>
      <xdr:col>9</xdr:col>
      <xdr:colOff>85725</xdr:colOff>
      <xdr:row>13</xdr:row>
      <xdr:rowOff>171451</xdr:rowOff>
    </xdr:to>
    <xdr:sp macro="" textlink="">
      <xdr:nvSpPr>
        <xdr:cNvPr id="17" name="Ová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3495675" y="2457450"/>
          <a:ext cx="2076450" cy="190501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5</xdr:col>
      <xdr:colOff>533400</xdr:colOff>
      <xdr:row>14</xdr:row>
      <xdr:rowOff>95250</xdr:rowOff>
    </xdr:from>
    <xdr:to>
      <xdr:col>9</xdr:col>
      <xdr:colOff>85726</xdr:colOff>
      <xdr:row>17</xdr:row>
      <xdr:rowOff>66675</xdr:rowOff>
    </xdr:to>
    <xdr:sp macro="" textlink="">
      <xdr:nvSpPr>
        <xdr:cNvPr id="18" name="Ová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3581400" y="2762250"/>
          <a:ext cx="1990726" cy="5429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419100</xdr:colOff>
      <xdr:row>14</xdr:row>
      <xdr:rowOff>133350</xdr:rowOff>
    </xdr:from>
    <xdr:to>
      <xdr:col>4</xdr:col>
      <xdr:colOff>333375</xdr:colOff>
      <xdr:row>16</xdr:row>
      <xdr:rowOff>171450</xdr:rowOff>
    </xdr:to>
    <xdr:sp macro="" textlink="">
      <xdr:nvSpPr>
        <xdr:cNvPr id="19" name="Ová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638300" y="2800350"/>
          <a:ext cx="1133475" cy="4191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 editAs="oneCell">
    <xdr:from>
      <xdr:col>12</xdr:col>
      <xdr:colOff>447675</xdr:colOff>
      <xdr:row>3</xdr:row>
      <xdr:rowOff>161925</xdr:rowOff>
    </xdr:from>
    <xdr:to>
      <xdr:col>21</xdr:col>
      <xdr:colOff>419100</xdr:colOff>
      <xdr:row>24</xdr:row>
      <xdr:rowOff>161925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733425"/>
          <a:ext cx="5457825" cy="400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76200</xdr:colOff>
      <xdr:row>30</xdr:row>
      <xdr:rowOff>85724</xdr:rowOff>
    </xdr:from>
    <xdr:to>
      <xdr:col>21</xdr:col>
      <xdr:colOff>171450</xdr:colOff>
      <xdr:row>37</xdr:row>
      <xdr:rowOff>19049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5800724"/>
          <a:ext cx="497205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180974</xdr:colOff>
      <xdr:row>25</xdr:row>
      <xdr:rowOff>57151</xdr:rowOff>
    </xdr:from>
    <xdr:to>
      <xdr:col>9</xdr:col>
      <xdr:colOff>361949</xdr:colOff>
      <xdr:row>26</xdr:row>
      <xdr:rowOff>171451</xdr:rowOff>
    </xdr:to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3228974" y="4819651"/>
          <a:ext cx="26193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2. linie</a:t>
          </a:r>
        </a:p>
      </xdr:txBody>
    </xdr:sp>
    <xdr:clientData/>
  </xdr:twoCellAnchor>
  <xdr:twoCellAnchor editAs="oneCell">
    <xdr:from>
      <xdr:col>13</xdr:col>
      <xdr:colOff>66675</xdr:colOff>
      <xdr:row>36</xdr:row>
      <xdr:rowOff>161925</xdr:rowOff>
    </xdr:from>
    <xdr:to>
      <xdr:col>21</xdr:col>
      <xdr:colOff>152400</xdr:colOff>
      <xdr:row>44</xdr:row>
      <xdr:rowOff>152400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7019925"/>
          <a:ext cx="496252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581025</xdr:colOff>
      <xdr:row>44</xdr:row>
      <xdr:rowOff>114300</xdr:rowOff>
    </xdr:from>
    <xdr:to>
      <xdr:col>21</xdr:col>
      <xdr:colOff>247650</xdr:colOff>
      <xdr:row>51</xdr:row>
      <xdr:rowOff>9525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8496300"/>
          <a:ext cx="515302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28</xdr:row>
      <xdr:rowOff>66675</xdr:rowOff>
    </xdr:from>
    <xdr:to>
      <xdr:col>10</xdr:col>
      <xdr:colOff>514350</xdr:colOff>
      <xdr:row>54</xdr:row>
      <xdr:rowOff>152400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5400675"/>
          <a:ext cx="4410075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228600</xdr:colOff>
      <xdr:row>56</xdr:row>
      <xdr:rowOff>47625</xdr:rowOff>
    </xdr:from>
    <xdr:to>
      <xdr:col>10</xdr:col>
      <xdr:colOff>523875</xdr:colOff>
      <xdr:row>82</xdr:row>
      <xdr:rowOff>171450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0715625"/>
          <a:ext cx="4562475" cy="507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447675</xdr:colOff>
      <xdr:row>57</xdr:row>
      <xdr:rowOff>169335</xdr:rowOff>
    </xdr:from>
    <xdr:to>
      <xdr:col>21</xdr:col>
      <xdr:colOff>116416</xdr:colOff>
      <xdr:row>59</xdr:row>
      <xdr:rowOff>52917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DCA90862-951D-4FBE-AF17-19156C1024DA}"/>
            </a:ext>
          </a:extLst>
        </xdr:cNvPr>
        <xdr:cNvSpPr txBox="1"/>
      </xdr:nvSpPr>
      <xdr:spPr>
        <a:xfrm>
          <a:off x="8372475" y="11027835"/>
          <a:ext cx="4545541" cy="2645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/>
            <a:t>HR pro PFS u podskupiny pacientů s/bez mozkových</a:t>
          </a:r>
          <a:r>
            <a:rPr lang="cs-CZ" sz="1200" b="1" baseline="0"/>
            <a:t> metastáz </a:t>
          </a:r>
          <a:endParaRPr lang="cs-CZ" sz="1200" b="1"/>
        </a:p>
      </xdr:txBody>
    </xdr:sp>
    <xdr:clientData/>
  </xdr:twoCellAnchor>
  <xdr:twoCellAnchor editAs="oneCell">
    <xdr:from>
      <xdr:col>11</xdr:col>
      <xdr:colOff>42332</xdr:colOff>
      <xdr:row>59</xdr:row>
      <xdr:rowOff>127000</xdr:rowOff>
    </xdr:from>
    <xdr:to>
      <xdr:col>22</xdr:col>
      <xdr:colOff>318558</xdr:colOff>
      <xdr:row>67</xdr:row>
      <xdr:rowOff>107950</xdr:rowOff>
    </xdr:to>
    <xdr:pic>
      <xdr:nvPicPr>
        <xdr:cNvPr id="27" name="Obrázek 26">
          <a:extLst>
            <a:ext uri="{FF2B5EF4-FFF2-40B4-BE49-F238E27FC236}">
              <a16:creationId xmlns:a16="http://schemas.microsoft.com/office/drawing/2014/main" id="{EE05C55C-2676-4D6C-A80C-B33AEB486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7932" y="11366500"/>
          <a:ext cx="6981826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28576</xdr:colOff>
      <xdr:row>63</xdr:row>
      <xdr:rowOff>28575</xdr:rowOff>
    </xdr:from>
    <xdr:to>
      <xdr:col>19</xdr:col>
      <xdr:colOff>260352</xdr:colOff>
      <xdr:row>65</xdr:row>
      <xdr:rowOff>119592</xdr:rowOff>
    </xdr:to>
    <xdr:sp macro="" textlink="">
      <xdr:nvSpPr>
        <xdr:cNvPr id="29" name="Ovál 28">
          <a:extLst>
            <a:ext uri="{FF2B5EF4-FFF2-40B4-BE49-F238E27FC236}">
              <a16:creationId xmlns:a16="http://schemas.microsoft.com/office/drawing/2014/main" id="{1F17081D-6315-4350-AB38-6C86B17858BC}"/>
            </a:ext>
          </a:extLst>
        </xdr:cNvPr>
        <xdr:cNvSpPr/>
      </xdr:nvSpPr>
      <xdr:spPr>
        <a:xfrm>
          <a:off x="9782176" y="12030075"/>
          <a:ext cx="2060576" cy="472017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5894/Desktop/FE%20anal&#253;zy/HFrEF%20-%20VERQUVO/VERQUVO%20FE%20anal&#253;za%203.0%20bez%20bonus&#367;%20k%2011.10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A"/>
      <sheetName val="CEA-ICER+dopor.ESC+úhrad.omezen"/>
      <sheetName val="CEA eff.frontier"/>
      <sheetName val="faktory prefer. přidání VERQUVA"/>
      <sheetName val="léčba HFrEF dle článku 2021"/>
      <sheetName val="Obrázky"/>
      <sheetName val="AHA guideline 2022"/>
    </sheetNames>
    <sheetDataSet>
      <sheetData sheetId="0">
        <row r="5">
          <cell r="P5">
            <v>1228532.7039999999</v>
          </cell>
        </row>
        <row r="6">
          <cell r="P6">
            <v>1125788.96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4"/>
  <sheetViews>
    <sheetView tabSelected="1"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M19" sqref="M19"/>
    </sheetView>
  </sheetViews>
  <sheetFormatPr defaultRowHeight="15" x14ac:dyDescent="0.25"/>
  <cols>
    <col min="1" max="1" width="2.85546875" customWidth="1"/>
    <col min="2" max="2" width="9.5703125" customWidth="1"/>
    <col min="3" max="3" width="25.140625" customWidth="1"/>
    <col min="4" max="5" width="11.42578125" customWidth="1"/>
    <col min="6" max="6" width="35.140625" customWidth="1"/>
    <col min="7" max="7" width="14.85546875" customWidth="1"/>
    <col min="8" max="8" width="14.7109375" customWidth="1"/>
    <col min="9" max="9" width="21.140625" customWidth="1"/>
    <col min="10" max="10" width="15.5703125" customWidth="1"/>
    <col min="11" max="11" width="21.7109375" customWidth="1"/>
    <col min="12" max="12" width="11.7109375" customWidth="1"/>
    <col min="13" max="13" width="30" customWidth="1"/>
    <col min="14" max="14" width="27.140625" customWidth="1"/>
    <col min="15" max="15" width="7.28515625" customWidth="1"/>
    <col min="16" max="16" width="11.85546875" customWidth="1"/>
    <col min="17" max="17" width="11.42578125" customWidth="1"/>
    <col min="18" max="18" width="11" customWidth="1"/>
  </cols>
  <sheetData>
    <row r="1" spans="2:18" ht="24.75" customHeight="1" thickBot="1" x14ac:dyDescent="0.3">
      <c r="B1" s="156" t="s">
        <v>5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2:18" ht="0.75" hidden="1" customHeight="1" thickBot="1" x14ac:dyDescent="0.3"/>
    <row r="3" spans="2:18" ht="94.5" customHeight="1" thickTop="1" thickBot="1" x14ac:dyDescent="0.3">
      <c r="B3" s="1" t="s">
        <v>6</v>
      </c>
      <c r="C3" s="4" t="s">
        <v>2</v>
      </c>
      <c r="D3" s="4" t="s">
        <v>0</v>
      </c>
      <c r="E3" s="4" t="s">
        <v>19</v>
      </c>
      <c r="F3" s="2" t="s">
        <v>24</v>
      </c>
      <c r="G3" s="6" t="s">
        <v>84</v>
      </c>
      <c r="H3" s="6" t="s">
        <v>85</v>
      </c>
      <c r="I3" s="9" t="s">
        <v>54</v>
      </c>
      <c r="J3" s="9" t="s">
        <v>55</v>
      </c>
      <c r="K3" s="10" t="s">
        <v>77</v>
      </c>
      <c r="L3" s="10" t="s">
        <v>55</v>
      </c>
      <c r="M3" s="89" t="s">
        <v>78</v>
      </c>
      <c r="N3" s="133" t="s">
        <v>86</v>
      </c>
      <c r="O3" s="5" t="s">
        <v>1</v>
      </c>
    </row>
    <row r="4" spans="2:18" ht="48" customHeight="1" thickTop="1" thickBot="1" x14ac:dyDescent="0.3">
      <c r="B4" s="41" t="s">
        <v>8</v>
      </c>
      <c r="C4" s="42" t="s">
        <v>14</v>
      </c>
      <c r="D4" s="43" t="s">
        <v>3</v>
      </c>
      <c r="E4" s="43" t="s">
        <v>4</v>
      </c>
      <c r="F4" s="44" t="s">
        <v>53</v>
      </c>
      <c r="G4" s="45">
        <v>276.01</v>
      </c>
      <c r="H4" s="46">
        <f t="shared" ref="H4:H24" si="0">G4-P4</f>
        <v>276.01</v>
      </c>
      <c r="I4" s="47">
        <f>(H4*2)*2</f>
        <v>1104.04</v>
      </c>
      <c r="J4" s="48">
        <f t="shared" ref="J4:J24" si="1">I4/Q4</f>
        <v>1</v>
      </c>
      <c r="K4" s="49">
        <f>I4+((2*1877)+(2*2257))</f>
        <v>9372.0400000000009</v>
      </c>
      <c r="L4" s="50">
        <f t="shared" ref="L4" si="2">K4/R4</f>
        <v>1</v>
      </c>
      <c r="M4" s="134"/>
      <c r="N4" s="134"/>
      <c r="O4" s="8">
        <v>0</v>
      </c>
      <c r="P4" s="7">
        <f t="shared" ref="P4" si="3">O4*G4</f>
        <v>0</v>
      </c>
      <c r="Q4" s="82">
        <f>I4</f>
        <v>1104.04</v>
      </c>
      <c r="R4" s="82">
        <f>K4</f>
        <v>9372.0400000000009</v>
      </c>
    </row>
    <row r="5" spans="2:18" ht="44.25" customHeight="1" thickTop="1" x14ac:dyDescent="0.25">
      <c r="B5" s="157" t="s">
        <v>9</v>
      </c>
      <c r="C5" s="52" t="s">
        <v>10</v>
      </c>
      <c r="D5" s="3" t="s">
        <v>12</v>
      </c>
      <c r="E5" s="3" t="s">
        <v>20</v>
      </c>
      <c r="F5" s="53" t="s">
        <v>51</v>
      </c>
      <c r="G5" s="54">
        <v>539.55999999999995</v>
      </c>
      <c r="H5" s="12">
        <f t="shared" ref="H5:H18" si="4">G5-P5</f>
        <v>539.55999999999995</v>
      </c>
      <c r="I5" s="163">
        <f>((H5*2)*6)+((H6*2)*6)</f>
        <v>13504.439999999999</v>
      </c>
      <c r="J5" s="165">
        <f t="shared" ref="J5" si="5">I5/Q5</f>
        <v>1</v>
      </c>
      <c r="K5" s="159">
        <f>I5+((12*1877)+(6*2257))</f>
        <v>49570.44</v>
      </c>
      <c r="L5" s="161">
        <f t="shared" ref="L5" si="6">K5/R5</f>
        <v>1</v>
      </c>
      <c r="M5" s="146"/>
      <c r="N5" s="135"/>
      <c r="O5" s="79">
        <v>0</v>
      </c>
      <c r="P5" s="7">
        <f t="shared" ref="P5" si="7">O5*G5</f>
        <v>0</v>
      </c>
      <c r="Q5" s="82">
        <f>I5</f>
        <v>13504.439999999999</v>
      </c>
      <c r="R5" s="82">
        <f>K5</f>
        <v>49570.44</v>
      </c>
    </row>
    <row r="6" spans="2:18" ht="47.25" customHeight="1" thickBot="1" x14ac:dyDescent="0.3">
      <c r="B6" s="158"/>
      <c r="C6" s="55" t="s">
        <v>11</v>
      </c>
      <c r="D6" s="56" t="s">
        <v>13</v>
      </c>
      <c r="E6" s="56" t="s">
        <v>21</v>
      </c>
      <c r="F6" s="57" t="s">
        <v>52</v>
      </c>
      <c r="G6" s="58">
        <v>585.80999999999995</v>
      </c>
      <c r="H6" s="59">
        <f t="shared" si="4"/>
        <v>585.80999999999995</v>
      </c>
      <c r="I6" s="164"/>
      <c r="J6" s="166"/>
      <c r="K6" s="160"/>
      <c r="L6" s="162"/>
      <c r="M6" s="136"/>
      <c r="N6" s="136"/>
      <c r="O6" s="81">
        <v>0</v>
      </c>
      <c r="P6" s="7">
        <f t="shared" ref="P6:P24" si="8">O6*G6</f>
        <v>0</v>
      </c>
    </row>
    <row r="7" spans="2:18" ht="44.25" customHeight="1" thickTop="1" x14ac:dyDescent="0.25">
      <c r="B7" s="29" t="s">
        <v>7</v>
      </c>
      <c r="C7" s="52" t="s">
        <v>23</v>
      </c>
      <c r="D7" s="3" t="s">
        <v>15</v>
      </c>
      <c r="E7" s="3" t="s">
        <v>22</v>
      </c>
      <c r="F7" s="53" t="s">
        <v>27</v>
      </c>
      <c r="G7" s="54">
        <v>93500</v>
      </c>
      <c r="H7" s="12">
        <f t="shared" si="4"/>
        <v>93500</v>
      </c>
      <c r="I7" s="60">
        <f>((H7/60)*2*(15.3*30.42*0.92))</f>
        <v>1334531.4840000002</v>
      </c>
      <c r="J7" s="83">
        <f t="shared" si="1"/>
        <v>98.821682646596258</v>
      </c>
      <c r="K7" s="61">
        <f t="shared" ref="K7:K19" si="9">I7</f>
        <v>1334531.4840000002</v>
      </c>
      <c r="L7" s="88">
        <f t="shared" ref="L7:L18" si="10">K7/R7</f>
        <v>26.921921290188269</v>
      </c>
      <c r="M7" s="92">
        <f>K19-K7</f>
        <v>904111.0130520002</v>
      </c>
      <c r="N7" s="153">
        <f>((H19/28)*1*(365*0.889))-((H7/60)*2*(365*0.92))</f>
        <v>-217540.66916666657</v>
      </c>
      <c r="O7" s="79">
        <v>0</v>
      </c>
      <c r="P7" s="7">
        <f t="shared" si="8"/>
        <v>0</v>
      </c>
      <c r="Q7" s="82">
        <f>Q5</f>
        <v>13504.439999999999</v>
      </c>
      <c r="R7" s="82">
        <f>R5</f>
        <v>49570.44</v>
      </c>
    </row>
    <row r="8" spans="2:18" ht="44.25" customHeight="1" x14ac:dyDescent="0.25">
      <c r="B8" s="51" t="s">
        <v>7</v>
      </c>
      <c r="C8" s="37" t="s">
        <v>23</v>
      </c>
      <c r="D8" s="40" t="s">
        <v>15</v>
      </c>
      <c r="E8" s="40" t="s">
        <v>22</v>
      </c>
      <c r="F8" s="34" t="s">
        <v>28</v>
      </c>
      <c r="G8" s="35">
        <v>93500</v>
      </c>
      <c r="H8" s="14">
        <f t="shared" si="4"/>
        <v>93500</v>
      </c>
      <c r="I8" s="19">
        <f>((H8/60)*2*(12.8*30.42*0.92))</f>
        <v>1116470.784</v>
      </c>
      <c r="J8" s="84">
        <f t="shared" si="1"/>
        <v>82.674348880812545</v>
      </c>
      <c r="K8" s="17">
        <f t="shared" si="9"/>
        <v>1116470.784</v>
      </c>
      <c r="L8" s="90">
        <f t="shared" si="10"/>
        <v>22.522914543425475</v>
      </c>
      <c r="M8" s="93">
        <f t="shared" ref="M8:M9" si="11">K20-K8</f>
        <v>451960.84202100011</v>
      </c>
      <c r="N8" s="154"/>
      <c r="O8" s="80">
        <v>0</v>
      </c>
      <c r="P8" s="7">
        <f t="shared" si="8"/>
        <v>0</v>
      </c>
      <c r="Q8" s="82">
        <f>Q5</f>
        <v>13504.439999999999</v>
      </c>
      <c r="R8" s="82">
        <f>R5</f>
        <v>49570.44</v>
      </c>
    </row>
    <row r="9" spans="2:18" ht="44.25" customHeight="1" thickBot="1" x14ac:dyDescent="0.3">
      <c r="B9" s="62" t="s">
        <v>7</v>
      </c>
      <c r="C9" s="63" t="s">
        <v>23</v>
      </c>
      <c r="D9" s="64" t="s">
        <v>15</v>
      </c>
      <c r="E9" s="64" t="s">
        <v>22</v>
      </c>
      <c r="F9" s="57" t="s">
        <v>29</v>
      </c>
      <c r="G9" s="58">
        <v>93500</v>
      </c>
      <c r="H9" s="59">
        <f t="shared" si="4"/>
        <v>93500</v>
      </c>
      <c r="I9" s="66">
        <f>((H9/60)*2*(19.4*30.42*0.92))</f>
        <v>1692151.0320000001</v>
      </c>
      <c r="J9" s="85">
        <f t="shared" si="1"/>
        <v>125.30331002248151</v>
      </c>
      <c r="K9" s="67">
        <f t="shared" si="9"/>
        <v>1692151.0320000001</v>
      </c>
      <c r="L9" s="91">
        <f t="shared" si="10"/>
        <v>34.136292354879238</v>
      </c>
      <c r="M9" s="94">
        <f t="shared" si="11"/>
        <v>1665812.7135780002</v>
      </c>
      <c r="N9" s="155"/>
      <c r="O9" s="81">
        <v>0</v>
      </c>
      <c r="P9" s="7">
        <f t="shared" si="8"/>
        <v>0</v>
      </c>
      <c r="Q9" s="82">
        <f>Q7</f>
        <v>13504.439999999999</v>
      </c>
      <c r="R9" s="82">
        <f>R7</f>
        <v>49570.44</v>
      </c>
    </row>
    <row r="10" spans="2:18" ht="44.25" customHeight="1" thickTop="1" x14ac:dyDescent="0.25">
      <c r="B10" s="51" t="s">
        <v>7</v>
      </c>
      <c r="C10" s="37" t="s">
        <v>26</v>
      </c>
      <c r="D10" s="40" t="s">
        <v>16</v>
      </c>
      <c r="E10" s="40" t="s">
        <v>25</v>
      </c>
      <c r="F10" s="75" t="s">
        <v>41</v>
      </c>
      <c r="G10" s="54">
        <v>68230.23</v>
      </c>
      <c r="H10" s="12">
        <f t="shared" si="4"/>
        <v>68230.23</v>
      </c>
      <c r="I10" s="60">
        <f>((H10/90)*3*(4.4*30.42*0.95))</f>
        <v>289195.19445960002</v>
      </c>
      <c r="J10" s="83">
        <f t="shared" si="1"/>
        <v>261.94267821781824</v>
      </c>
      <c r="K10" s="61">
        <f t="shared" si="9"/>
        <v>289195.19445960002</v>
      </c>
      <c r="L10" s="88">
        <f t="shared" si="10"/>
        <v>30.857230065129897</v>
      </c>
      <c r="M10" s="92">
        <f>K22-K10</f>
        <v>512294.09460840002</v>
      </c>
      <c r="N10" s="137"/>
      <c r="O10" s="79">
        <v>0</v>
      </c>
      <c r="P10" s="7">
        <f t="shared" si="8"/>
        <v>0</v>
      </c>
      <c r="Q10" s="82">
        <f>Q4</f>
        <v>1104.04</v>
      </c>
      <c r="R10" s="82">
        <f>R4</f>
        <v>9372.0400000000009</v>
      </c>
    </row>
    <row r="11" spans="2:18" ht="44.25" customHeight="1" x14ac:dyDescent="0.25">
      <c r="B11" s="51" t="s">
        <v>7</v>
      </c>
      <c r="C11" s="37" t="s">
        <v>26</v>
      </c>
      <c r="D11" s="40" t="s">
        <v>16</v>
      </c>
      <c r="E11" s="40" t="s">
        <v>25</v>
      </c>
      <c r="F11" s="34" t="s">
        <v>42</v>
      </c>
      <c r="G11" s="35">
        <v>68230.23</v>
      </c>
      <c r="H11" s="14">
        <f t="shared" si="4"/>
        <v>68230.23</v>
      </c>
      <c r="I11" s="19">
        <f>((H11/90)*3*(2.4*30.42*0.95))</f>
        <v>157742.83334159997</v>
      </c>
      <c r="J11" s="84">
        <f t="shared" si="1"/>
        <v>142.87782448244627</v>
      </c>
      <c r="K11" s="17">
        <f t="shared" si="9"/>
        <v>157742.83334159997</v>
      </c>
      <c r="L11" s="90">
        <f t="shared" si="10"/>
        <v>16.831216399161757</v>
      </c>
      <c r="M11" s="93">
        <f t="shared" ref="M11:M12" si="12">K23-K11</f>
        <v>298276.93457640009</v>
      </c>
      <c r="N11" s="138"/>
      <c r="O11" s="80">
        <v>0</v>
      </c>
      <c r="P11" s="7">
        <f t="shared" si="8"/>
        <v>0</v>
      </c>
      <c r="Q11" s="82">
        <f>Q4</f>
        <v>1104.04</v>
      </c>
      <c r="R11" s="82">
        <f>R4</f>
        <v>9372.0400000000009</v>
      </c>
    </row>
    <row r="12" spans="2:18" ht="44.25" customHeight="1" thickBot="1" x14ac:dyDescent="0.3">
      <c r="B12" s="51" t="s">
        <v>7</v>
      </c>
      <c r="C12" s="37" t="s">
        <v>26</v>
      </c>
      <c r="D12" s="40" t="s">
        <v>16</v>
      </c>
      <c r="E12" s="40" t="s">
        <v>25</v>
      </c>
      <c r="F12" s="36" t="s">
        <v>43</v>
      </c>
      <c r="G12" s="58">
        <v>68230.23</v>
      </c>
      <c r="H12" s="59">
        <f t="shared" si="4"/>
        <v>68230.23</v>
      </c>
      <c r="I12" s="66">
        <f>((H12/90)*3*(8.3*30.42*0.95))</f>
        <v>545527.29863970005</v>
      </c>
      <c r="J12" s="85">
        <f t="shared" si="1"/>
        <v>494.11914300179347</v>
      </c>
      <c r="K12" s="67">
        <f t="shared" si="9"/>
        <v>545527.29863970005</v>
      </c>
      <c r="L12" s="91">
        <f t="shared" si="10"/>
        <v>58.207956713767757</v>
      </c>
      <c r="M12" s="94">
        <f t="shared" si="12"/>
        <v>898535.29976730002</v>
      </c>
      <c r="N12" s="139"/>
      <c r="O12" s="81">
        <v>0</v>
      </c>
      <c r="P12" s="7">
        <f t="shared" si="8"/>
        <v>0</v>
      </c>
      <c r="Q12" s="82">
        <f>Q4</f>
        <v>1104.04</v>
      </c>
      <c r="R12" s="82">
        <f>R4</f>
        <v>9372.0400000000009</v>
      </c>
    </row>
    <row r="13" spans="2:18" ht="44.25" customHeight="1" thickTop="1" x14ac:dyDescent="0.25">
      <c r="B13" s="29" t="s">
        <v>7</v>
      </c>
      <c r="C13" s="52" t="s">
        <v>30</v>
      </c>
      <c r="D13" s="3" t="s">
        <v>17</v>
      </c>
      <c r="E13" s="3" t="s">
        <v>32</v>
      </c>
      <c r="F13" s="53" t="s">
        <v>33</v>
      </c>
      <c r="G13" s="54">
        <v>70840</v>
      </c>
      <c r="H13" s="12">
        <f t="shared" si="4"/>
        <v>70840</v>
      </c>
      <c r="I13" s="60">
        <f>((H13/224)*8*(37.8*30.42*0.956))</f>
        <v>2781182.0836799997</v>
      </c>
      <c r="J13" s="83">
        <f t="shared" si="1"/>
        <v>205.94575440966082</v>
      </c>
      <c r="K13" s="61">
        <f t="shared" si="9"/>
        <v>2781182.0836799997</v>
      </c>
      <c r="L13" s="88">
        <f t="shared" si="10"/>
        <v>56.105656590500296</v>
      </c>
      <c r="M13" s="92">
        <f t="shared" ref="M13:M18" si="13">K19-K13</f>
        <v>-542539.58662799932</v>
      </c>
      <c r="N13" s="153">
        <f>((H19/28)*1*(365*0.889))-((H13/224)*8*(365*0.956))</f>
        <v>-53782.202499999898</v>
      </c>
      <c r="O13" s="79">
        <v>0</v>
      </c>
      <c r="P13" s="7">
        <f t="shared" si="8"/>
        <v>0</v>
      </c>
      <c r="Q13" s="82">
        <f>Q9</f>
        <v>13504.439999999999</v>
      </c>
      <c r="R13" s="82">
        <f>R9</f>
        <v>49570.44</v>
      </c>
    </row>
    <row r="14" spans="2:18" ht="44.25" customHeight="1" x14ac:dyDescent="0.25">
      <c r="B14" s="30" t="s">
        <v>7</v>
      </c>
      <c r="C14" s="33" t="s">
        <v>30</v>
      </c>
      <c r="D14" s="13" t="s">
        <v>17</v>
      </c>
      <c r="E14" s="13" t="s">
        <v>32</v>
      </c>
      <c r="F14" s="34" t="s">
        <v>34</v>
      </c>
      <c r="G14" s="35">
        <v>70840</v>
      </c>
      <c r="H14" s="14">
        <f t="shared" si="4"/>
        <v>70840</v>
      </c>
      <c r="I14" s="19">
        <f>((H14/224)*8*(26.2*30.42*0.956))</f>
        <v>1927697.63472</v>
      </c>
      <c r="J14" s="84">
        <f t="shared" si="1"/>
        <v>142.74546998764851</v>
      </c>
      <c r="K14" s="17">
        <f t="shared" si="9"/>
        <v>1927697.63472</v>
      </c>
      <c r="L14" s="90">
        <f t="shared" si="10"/>
        <v>38.888047689711847</v>
      </c>
      <c r="M14" s="93">
        <f t="shared" si="13"/>
        <v>-359266.00869899988</v>
      </c>
      <c r="N14" s="154"/>
      <c r="O14" s="80">
        <v>0</v>
      </c>
      <c r="P14" s="7">
        <f t="shared" si="8"/>
        <v>0</v>
      </c>
      <c r="Q14" s="82">
        <f>Q9</f>
        <v>13504.439999999999</v>
      </c>
      <c r="R14" s="82">
        <f>R9</f>
        <v>49570.44</v>
      </c>
    </row>
    <row r="15" spans="2:18" ht="44.25" customHeight="1" thickBot="1" x14ac:dyDescent="0.3">
      <c r="B15" s="65" t="s">
        <v>7</v>
      </c>
      <c r="C15" s="55" t="s">
        <v>30</v>
      </c>
      <c r="D15" s="56" t="s">
        <v>17</v>
      </c>
      <c r="E15" s="56" t="s">
        <v>32</v>
      </c>
      <c r="F15" s="57" t="s">
        <v>35</v>
      </c>
      <c r="G15" s="58">
        <v>70840</v>
      </c>
      <c r="H15" s="59">
        <f t="shared" si="4"/>
        <v>70840</v>
      </c>
      <c r="I15" s="66">
        <f>((H15/224)*8*(52.3*30.42*0.956))</f>
        <v>3848037.6448799996</v>
      </c>
      <c r="J15" s="85">
        <f t="shared" si="1"/>
        <v>284.94610993717623</v>
      </c>
      <c r="K15" s="67">
        <f t="shared" si="9"/>
        <v>3848037.6448799996</v>
      </c>
      <c r="L15" s="91">
        <f t="shared" si="10"/>
        <v>77.62766771648586</v>
      </c>
      <c r="M15" s="94">
        <f t="shared" si="13"/>
        <v>-490073.89930199925</v>
      </c>
      <c r="N15" s="155"/>
      <c r="O15" s="81">
        <v>0</v>
      </c>
      <c r="P15" s="7">
        <f t="shared" si="8"/>
        <v>0</v>
      </c>
      <c r="Q15" s="82">
        <f>Q9</f>
        <v>13504.439999999999</v>
      </c>
      <c r="R15" s="82">
        <f>R9</f>
        <v>49570.44</v>
      </c>
    </row>
    <row r="16" spans="2:18" ht="44.25" customHeight="1" thickTop="1" x14ac:dyDescent="0.25">
      <c r="B16" s="51" t="s">
        <v>7</v>
      </c>
      <c r="C16" s="37" t="s">
        <v>31</v>
      </c>
      <c r="D16" s="40" t="s">
        <v>17</v>
      </c>
      <c r="E16" s="40" t="s">
        <v>32</v>
      </c>
      <c r="F16" s="75" t="s">
        <v>44</v>
      </c>
      <c r="G16" s="54">
        <v>70840</v>
      </c>
      <c r="H16" s="12">
        <f t="shared" si="4"/>
        <v>70840</v>
      </c>
      <c r="I16" s="60">
        <f>((H16/224)*8*(7.7*30.42*0.95))</f>
        <v>562981.41899999999</v>
      </c>
      <c r="J16" s="83">
        <f t="shared" si="1"/>
        <v>509.9284618310931</v>
      </c>
      <c r="K16" s="61">
        <f t="shared" si="9"/>
        <v>562981.41899999999</v>
      </c>
      <c r="L16" s="88">
        <f t="shared" si="10"/>
        <v>60.07031756159811</v>
      </c>
      <c r="M16" s="92">
        <f t="shared" si="13"/>
        <v>238507.87006800005</v>
      </c>
      <c r="N16" s="137"/>
      <c r="O16" s="79">
        <v>0</v>
      </c>
      <c r="P16" s="7">
        <f t="shared" si="8"/>
        <v>0</v>
      </c>
      <c r="Q16" s="82">
        <f>Q10</f>
        <v>1104.04</v>
      </c>
      <c r="R16" s="82">
        <f>R10</f>
        <v>9372.0400000000009</v>
      </c>
    </row>
    <row r="17" spans="2:18" ht="44.25" customHeight="1" x14ac:dyDescent="0.25">
      <c r="B17" s="51" t="s">
        <v>7</v>
      </c>
      <c r="C17" s="37" t="s">
        <v>31</v>
      </c>
      <c r="D17" s="40" t="s">
        <v>17</v>
      </c>
      <c r="E17" s="40" t="s">
        <v>32</v>
      </c>
      <c r="F17" s="34" t="s">
        <v>45</v>
      </c>
      <c r="G17" s="35">
        <v>70840</v>
      </c>
      <c r="H17" s="14">
        <f t="shared" si="4"/>
        <v>70840</v>
      </c>
      <c r="I17" s="19">
        <f>((H17/224)*8*(5.1*30.42*0.95))</f>
        <v>372883.79699999996</v>
      </c>
      <c r="J17" s="84">
        <f t="shared" si="1"/>
        <v>337.74482536864605</v>
      </c>
      <c r="K17" s="17">
        <f t="shared" si="9"/>
        <v>372883.79699999996</v>
      </c>
      <c r="L17" s="90">
        <f t="shared" si="10"/>
        <v>39.78683370962991</v>
      </c>
      <c r="M17" s="93">
        <f t="shared" si="13"/>
        <v>83135.970918000094</v>
      </c>
      <c r="N17" s="138"/>
      <c r="O17" s="80">
        <v>0</v>
      </c>
      <c r="P17" s="7">
        <f t="shared" si="8"/>
        <v>0</v>
      </c>
      <c r="Q17" s="82">
        <f t="shared" ref="Q17:R17" si="14">Q11</f>
        <v>1104.04</v>
      </c>
      <c r="R17" s="82">
        <f t="shared" si="14"/>
        <v>9372.0400000000009</v>
      </c>
    </row>
    <row r="18" spans="2:18" ht="44.25" customHeight="1" thickBot="1" x14ac:dyDescent="0.3">
      <c r="B18" s="51" t="s">
        <v>7</v>
      </c>
      <c r="C18" s="37" t="s">
        <v>31</v>
      </c>
      <c r="D18" s="40" t="s">
        <v>17</v>
      </c>
      <c r="E18" s="40" t="s">
        <v>32</v>
      </c>
      <c r="F18" s="36" t="s">
        <v>46</v>
      </c>
      <c r="G18" s="58">
        <v>70840</v>
      </c>
      <c r="H18" s="59">
        <f t="shared" si="4"/>
        <v>70840</v>
      </c>
      <c r="I18" s="66">
        <f>((H18/224)*8*(11.5*30.42*0.95))</f>
        <v>840816.40500000003</v>
      </c>
      <c r="J18" s="86">
        <f t="shared" si="1"/>
        <v>761.58146896851565</v>
      </c>
      <c r="K18" s="67">
        <f t="shared" si="9"/>
        <v>840816.40500000003</v>
      </c>
      <c r="L18" s="91">
        <f t="shared" si="10"/>
        <v>89.715409345243927</v>
      </c>
      <c r="M18" s="94">
        <f t="shared" si="13"/>
        <v>603246.19340700004</v>
      </c>
      <c r="N18" s="139"/>
      <c r="O18" s="81">
        <v>0</v>
      </c>
      <c r="P18" s="7">
        <f t="shared" si="8"/>
        <v>0</v>
      </c>
      <c r="Q18" s="82">
        <f t="shared" ref="Q18:R18" si="15">Q12</f>
        <v>1104.04</v>
      </c>
      <c r="R18" s="82">
        <f t="shared" si="15"/>
        <v>9372.0400000000009</v>
      </c>
    </row>
    <row r="19" spans="2:18" ht="45" customHeight="1" thickTop="1" x14ac:dyDescent="0.25">
      <c r="B19" s="68" t="s">
        <v>7</v>
      </c>
      <c r="C19" s="69" t="s">
        <v>36</v>
      </c>
      <c r="D19" s="70" t="s">
        <v>18</v>
      </c>
      <c r="E19" s="70" t="s">
        <v>37</v>
      </c>
      <c r="F19" s="70" t="s">
        <v>38</v>
      </c>
      <c r="G19" s="147">
        <v>71538</v>
      </c>
      <c r="H19" s="148">
        <f t="shared" ref="H19" si="16">G19-P19</f>
        <v>71538</v>
      </c>
      <c r="I19" s="71">
        <f>((H19/28)*1*(32.4*30.42*0.889))</f>
        <v>2238642.4970520004</v>
      </c>
      <c r="J19" s="72">
        <f t="shared" si="1"/>
        <v>165.7708499613461</v>
      </c>
      <c r="K19" s="73">
        <f t="shared" si="9"/>
        <v>2238642.4970520004</v>
      </c>
      <c r="L19" s="74">
        <f t="shared" ref="L19" si="17">K19/R19</f>
        <v>45.160835712815953</v>
      </c>
      <c r="M19" s="141"/>
      <c r="N19" s="142"/>
      <c r="O19" s="79">
        <v>0</v>
      </c>
      <c r="P19" s="7">
        <f t="shared" si="8"/>
        <v>0</v>
      </c>
      <c r="Q19" s="82">
        <f>Q15</f>
        <v>13504.439999999999</v>
      </c>
      <c r="R19" s="82">
        <f>R15</f>
        <v>49570.44</v>
      </c>
    </row>
    <row r="20" spans="2:18" ht="48.75" customHeight="1" x14ac:dyDescent="0.25">
      <c r="B20" s="31" t="s">
        <v>7</v>
      </c>
      <c r="C20" s="38" t="s">
        <v>36</v>
      </c>
      <c r="D20" s="15" t="s">
        <v>18</v>
      </c>
      <c r="E20" s="15" t="s">
        <v>37</v>
      </c>
      <c r="F20" s="15" t="s">
        <v>39</v>
      </c>
      <c r="G20" s="149">
        <v>71538</v>
      </c>
      <c r="H20" s="150">
        <f t="shared" ref="H20:H23" si="18">G20-P20</f>
        <v>71538</v>
      </c>
      <c r="I20" s="95">
        <f>((H20/28)*1*(22.7*30.42*0.889))</f>
        <v>1568431.6260210001</v>
      </c>
      <c r="J20" s="87">
        <f t="shared" si="1"/>
        <v>116.14192265810358</v>
      </c>
      <c r="K20" s="96">
        <f t="shared" ref="K20:K21" si="19">I20</f>
        <v>1568431.6260210001</v>
      </c>
      <c r="L20" s="97">
        <f t="shared" ref="L20:L22" si="20">K20/R20</f>
        <v>31.640462058053146</v>
      </c>
      <c r="M20" s="143"/>
      <c r="N20" s="140"/>
      <c r="O20" s="80">
        <v>0</v>
      </c>
      <c r="P20" s="7">
        <f t="shared" si="8"/>
        <v>0</v>
      </c>
      <c r="Q20" s="82">
        <f>Q15</f>
        <v>13504.439999999999</v>
      </c>
      <c r="R20" s="82">
        <f>R15</f>
        <v>49570.44</v>
      </c>
    </row>
    <row r="21" spans="2:18" ht="46.5" customHeight="1" thickBot="1" x14ac:dyDescent="0.3">
      <c r="B21" s="32" t="s">
        <v>7</v>
      </c>
      <c r="C21" s="39" t="s">
        <v>36</v>
      </c>
      <c r="D21" s="11" t="s">
        <v>18</v>
      </c>
      <c r="E21" s="11" t="s">
        <v>37</v>
      </c>
      <c r="F21" s="11" t="s">
        <v>40</v>
      </c>
      <c r="G21" s="151">
        <v>71538</v>
      </c>
      <c r="H21" s="152">
        <f t="shared" si="18"/>
        <v>71538</v>
      </c>
      <c r="I21" s="20">
        <f>((H21/28)*1*(48.6*30.42*0.889))</f>
        <v>3357963.7455780003</v>
      </c>
      <c r="J21" s="21">
        <f t="shared" si="1"/>
        <v>248.65627494201911</v>
      </c>
      <c r="K21" s="18">
        <f t="shared" si="19"/>
        <v>3357963.7455780003</v>
      </c>
      <c r="L21" s="16">
        <f t="shared" si="20"/>
        <v>67.741253569223915</v>
      </c>
      <c r="M21" s="144"/>
      <c r="N21" s="145"/>
      <c r="O21" s="81">
        <v>0</v>
      </c>
      <c r="P21" s="7">
        <f t="shared" si="8"/>
        <v>0</v>
      </c>
      <c r="Q21" s="82">
        <f>Q15</f>
        <v>13504.439999999999</v>
      </c>
      <c r="R21" s="82">
        <f>R15</f>
        <v>49570.44</v>
      </c>
    </row>
    <row r="22" spans="2:18" ht="48" customHeight="1" thickTop="1" x14ac:dyDescent="0.25">
      <c r="B22" s="68" t="s">
        <v>7</v>
      </c>
      <c r="C22" s="76" t="s">
        <v>48</v>
      </c>
      <c r="D22" s="70" t="s">
        <v>18</v>
      </c>
      <c r="E22" s="70" t="s">
        <v>37</v>
      </c>
      <c r="F22" s="70" t="s">
        <v>47</v>
      </c>
      <c r="G22" s="147">
        <v>71538</v>
      </c>
      <c r="H22" s="148">
        <f t="shared" si="18"/>
        <v>71538</v>
      </c>
      <c r="I22" s="71">
        <f>((H22/28)*1*(11.6*30.42*0.889))</f>
        <v>801489.28906800004</v>
      </c>
      <c r="J22" s="72">
        <f t="shared" si="1"/>
        <v>725.960371968407</v>
      </c>
      <c r="K22" s="73">
        <f>I22</f>
        <v>801489.28906800004</v>
      </c>
      <c r="L22" s="74">
        <f t="shared" si="20"/>
        <v>85.519192093503648</v>
      </c>
      <c r="M22" s="143"/>
      <c r="N22" s="140"/>
      <c r="O22" s="79">
        <v>0</v>
      </c>
      <c r="P22" s="7">
        <f t="shared" si="8"/>
        <v>0</v>
      </c>
      <c r="Q22" s="82">
        <f>Q16</f>
        <v>1104.04</v>
      </c>
      <c r="R22" s="82">
        <f>R16</f>
        <v>9372.0400000000009</v>
      </c>
    </row>
    <row r="23" spans="2:18" ht="45" customHeight="1" x14ac:dyDescent="0.25">
      <c r="B23" s="31" t="s">
        <v>7</v>
      </c>
      <c r="C23" s="77" t="s">
        <v>48</v>
      </c>
      <c r="D23" s="15" t="s">
        <v>18</v>
      </c>
      <c r="E23" s="15" t="s">
        <v>37</v>
      </c>
      <c r="F23" s="15" t="s">
        <v>49</v>
      </c>
      <c r="G23" s="149">
        <v>71538</v>
      </c>
      <c r="H23" s="150">
        <f t="shared" si="18"/>
        <v>71538</v>
      </c>
      <c r="I23" s="95">
        <f>((H23/28)*1*(6.6*30.42*0.889))</f>
        <v>456019.76791800006</v>
      </c>
      <c r="J23" s="87">
        <f t="shared" si="1"/>
        <v>413.04641853374886</v>
      </c>
      <c r="K23" s="96">
        <f t="shared" ref="K23:K24" si="21">I23</f>
        <v>456019.76791800006</v>
      </c>
      <c r="L23" s="97">
        <f t="shared" ref="L23:L24" si="22">K23/R23</f>
        <v>48.657471363545184</v>
      </c>
      <c r="M23" s="143"/>
      <c r="N23" s="140"/>
      <c r="O23" s="80">
        <v>0</v>
      </c>
      <c r="P23" s="7">
        <f t="shared" si="8"/>
        <v>0</v>
      </c>
      <c r="Q23" s="82">
        <f t="shared" ref="Q23:R23" si="23">Q17</f>
        <v>1104.04</v>
      </c>
      <c r="R23" s="82">
        <f t="shared" si="23"/>
        <v>9372.0400000000009</v>
      </c>
    </row>
    <row r="24" spans="2:18" ht="47.25" customHeight="1" thickBot="1" x14ac:dyDescent="0.3">
      <c r="B24" s="32" t="s">
        <v>7</v>
      </c>
      <c r="C24" s="78" t="s">
        <v>48</v>
      </c>
      <c r="D24" s="11" t="s">
        <v>18</v>
      </c>
      <c r="E24" s="11" t="s">
        <v>37</v>
      </c>
      <c r="F24" s="11" t="s">
        <v>50</v>
      </c>
      <c r="G24" s="151">
        <v>71538</v>
      </c>
      <c r="H24" s="152">
        <f t="shared" si="0"/>
        <v>71538</v>
      </c>
      <c r="I24" s="20">
        <f>((H24/28)*1*(20.9*30.42*0.889))</f>
        <v>1444062.5984070001</v>
      </c>
      <c r="J24" s="21">
        <f t="shared" si="1"/>
        <v>1307.9803253568712</v>
      </c>
      <c r="K24" s="18">
        <f t="shared" si="21"/>
        <v>1444062.5984070001</v>
      </c>
      <c r="L24" s="16">
        <f t="shared" si="22"/>
        <v>154.08199265122641</v>
      </c>
      <c r="M24" s="144"/>
      <c r="N24" s="145"/>
      <c r="O24" s="81">
        <v>0</v>
      </c>
      <c r="P24" s="7">
        <f t="shared" si="8"/>
        <v>0</v>
      </c>
      <c r="Q24" s="82">
        <f t="shared" ref="Q24:R24" si="24">Q18</f>
        <v>1104.04</v>
      </c>
      <c r="R24" s="82">
        <f t="shared" si="24"/>
        <v>9372.0400000000009</v>
      </c>
    </row>
    <row r="25" spans="2:18" ht="7.5" customHeight="1" thickTop="1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2:18" ht="12.75" customHeight="1" x14ac:dyDescent="0.25">
      <c r="B26" s="23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2:18" ht="14.25" customHeight="1" x14ac:dyDescent="0.25">
      <c r="B27" s="23"/>
      <c r="C27" s="24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2:18" ht="12" customHeight="1" x14ac:dyDescent="0.25">
      <c r="B28" s="23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2:18" ht="12" customHeight="1" x14ac:dyDescent="0.25">
      <c r="B29" s="23"/>
      <c r="C29" s="22"/>
      <c r="D29" s="23"/>
      <c r="E29" s="23"/>
      <c r="F29" s="25"/>
      <c r="G29" s="26"/>
      <c r="H29" s="23"/>
      <c r="I29" s="23"/>
      <c r="J29" s="23"/>
      <c r="K29" s="23"/>
      <c r="L29" s="23"/>
      <c r="M29" s="23"/>
      <c r="N29" s="23"/>
      <c r="O29" s="23"/>
      <c r="P29" s="23"/>
    </row>
    <row r="30" spans="2:18" ht="12" customHeight="1" x14ac:dyDescent="0.25">
      <c r="B30" s="23"/>
      <c r="C30" s="22"/>
      <c r="D30" s="23"/>
      <c r="E30" s="23"/>
      <c r="F30" s="23"/>
      <c r="G30" s="27"/>
      <c r="H30" s="23"/>
      <c r="I30" s="23"/>
      <c r="J30" s="23"/>
      <c r="K30" s="23"/>
      <c r="L30" s="23"/>
      <c r="M30" s="23"/>
      <c r="N30" s="23"/>
      <c r="O30" s="23"/>
      <c r="P30" s="23"/>
    </row>
    <row r="31" spans="2:18" ht="0.75" customHeight="1" x14ac:dyDescent="0.25">
      <c r="B31" s="23"/>
      <c r="C31" s="23"/>
      <c r="D31" s="23"/>
      <c r="E31" s="23"/>
      <c r="F31" s="23"/>
      <c r="G31" s="28"/>
      <c r="H31" s="23"/>
      <c r="I31" s="23"/>
      <c r="J31" s="23"/>
      <c r="K31" s="23"/>
      <c r="L31" s="23"/>
      <c r="M31" s="23"/>
      <c r="N31" s="23"/>
      <c r="O31" s="23"/>
      <c r="P31" s="23"/>
    </row>
    <row r="32" spans="2:18" ht="14.25" customHeight="1" x14ac:dyDescent="0.25">
      <c r="B32" s="23"/>
      <c r="C32" s="24"/>
      <c r="D32" s="23"/>
      <c r="E32" s="23"/>
      <c r="F32" s="23"/>
      <c r="G32" s="28"/>
      <c r="H32" s="23"/>
      <c r="I32" s="23"/>
      <c r="J32" s="23"/>
      <c r="K32" s="23"/>
      <c r="L32" s="23"/>
      <c r="M32" s="23"/>
      <c r="N32" s="23"/>
      <c r="O32" s="23"/>
      <c r="P32" s="23"/>
    </row>
    <row r="33" spans="2:16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2:16" x14ac:dyDescent="0.25">
      <c r="B34" s="23"/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</sheetData>
  <mergeCells count="8">
    <mergeCell ref="N7:N9"/>
    <mergeCell ref="N13:N15"/>
    <mergeCell ref="B1:O1"/>
    <mergeCell ref="B5:B6"/>
    <mergeCell ref="K5:K6"/>
    <mergeCell ref="L5:L6"/>
    <mergeCell ref="I5:I6"/>
    <mergeCell ref="J5:J6"/>
  </mergeCells>
  <pageMargins left="0.7" right="0.7" top="0.78740157499999996" bottom="0.78740157499999996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CF4E-6845-4AED-80D9-89E9286C5389}">
  <dimension ref="A1:AO19"/>
  <sheetViews>
    <sheetView topLeftCell="O1" zoomScale="80" zoomScaleNormal="80" workbookViewId="0">
      <selection activeCell="AJ7" sqref="AJ7"/>
    </sheetView>
  </sheetViews>
  <sheetFormatPr defaultRowHeight="12.75" x14ac:dyDescent="0.2"/>
  <cols>
    <col min="1" max="1" width="26.5703125" style="98" customWidth="1"/>
    <col min="2" max="2" width="2" style="98" customWidth="1"/>
    <col min="3" max="3" width="11.5703125" style="98" hidden="1" customWidth="1"/>
    <col min="4" max="4" width="13.5703125" style="98" hidden="1" customWidth="1"/>
    <col min="5" max="5" width="11" style="98" hidden="1" customWidth="1"/>
    <col min="6" max="6" width="12.28515625" style="98" hidden="1" customWidth="1"/>
    <col min="7" max="7" width="3" style="98" customWidth="1"/>
    <col min="8" max="8" width="2.5703125" style="98" customWidth="1"/>
    <col min="9" max="9" width="9.7109375" style="98" customWidth="1"/>
    <col min="10" max="10" width="34.42578125" style="98" customWidth="1"/>
    <col min="11" max="11" width="13.7109375" style="98" customWidth="1"/>
    <col min="12" max="12" width="11.28515625" style="98" customWidth="1"/>
    <col min="13" max="13" width="6.28515625" style="98" customWidth="1"/>
    <col min="14" max="256" width="9.140625" style="98"/>
    <col min="257" max="257" width="43.140625" style="98" customWidth="1"/>
    <col min="258" max="258" width="17" style="98" customWidth="1"/>
    <col min="259" max="262" width="0" style="98" hidden="1" customWidth="1"/>
    <col min="263" max="264" width="16.28515625" style="98" customWidth="1"/>
    <col min="265" max="265" width="10.28515625" style="98" customWidth="1"/>
    <col min="266" max="266" width="16.28515625" style="98" customWidth="1"/>
    <col min="267" max="267" width="14.85546875" style="98" customWidth="1"/>
    <col min="268" max="268" width="15" style="98" customWidth="1"/>
    <col min="269" max="269" width="15.28515625" style="98" customWidth="1"/>
    <col min="270" max="512" width="9.140625" style="98"/>
    <col min="513" max="513" width="43.140625" style="98" customWidth="1"/>
    <col min="514" max="514" width="17" style="98" customWidth="1"/>
    <col min="515" max="518" width="0" style="98" hidden="1" customWidth="1"/>
    <col min="519" max="520" width="16.28515625" style="98" customWidth="1"/>
    <col min="521" max="521" width="10.28515625" style="98" customWidth="1"/>
    <col min="522" max="522" width="16.28515625" style="98" customWidth="1"/>
    <col min="523" max="523" width="14.85546875" style="98" customWidth="1"/>
    <col min="524" max="524" width="15" style="98" customWidth="1"/>
    <col min="525" max="525" width="15.28515625" style="98" customWidth="1"/>
    <col min="526" max="768" width="9.140625" style="98"/>
    <col min="769" max="769" width="43.140625" style="98" customWidth="1"/>
    <col min="770" max="770" width="17" style="98" customWidth="1"/>
    <col min="771" max="774" width="0" style="98" hidden="1" customWidth="1"/>
    <col min="775" max="776" width="16.28515625" style="98" customWidth="1"/>
    <col min="777" max="777" width="10.28515625" style="98" customWidth="1"/>
    <col min="778" max="778" width="16.28515625" style="98" customWidth="1"/>
    <col min="779" max="779" width="14.85546875" style="98" customWidth="1"/>
    <col min="780" max="780" width="15" style="98" customWidth="1"/>
    <col min="781" max="781" width="15.28515625" style="98" customWidth="1"/>
    <col min="782" max="1024" width="9.140625" style="98"/>
    <col min="1025" max="1025" width="43.140625" style="98" customWidth="1"/>
    <col min="1026" max="1026" width="17" style="98" customWidth="1"/>
    <col min="1027" max="1030" width="0" style="98" hidden="1" customWidth="1"/>
    <col min="1031" max="1032" width="16.28515625" style="98" customWidth="1"/>
    <col min="1033" max="1033" width="10.28515625" style="98" customWidth="1"/>
    <col min="1034" max="1034" width="16.28515625" style="98" customWidth="1"/>
    <col min="1035" max="1035" width="14.85546875" style="98" customWidth="1"/>
    <col min="1036" max="1036" width="15" style="98" customWidth="1"/>
    <col min="1037" max="1037" width="15.28515625" style="98" customWidth="1"/>
    <col min="1038" max="1280" width="9.140625" style="98"/>
    <col min="1281" max="1281" width="43.140625" style="98" customWidth="1"/>
    <col min="1282" max="1282" width="17" style="98" customWidth="1"/>
    <col min="1283" max="1286" width="0" style="98" hidden="1" customWidth="1"/>
    <col min="1287" max="1288" width="16.28515625" style="98" customWidth="1"/>
    <col min="1289" max="1289" width="10.28515625" style="98" customWidth="1"/>
    <col min="1290" max="1290" width="16.28515625" style="98" customWidth="1"/>
    <col min="1291" max="1291" width="14.85546875" style="98" customWidth="1"/>
    <col min="1292" max="1292" width="15" style="98" customWidth="1"/>
    <col min="1293" max="1293" width="15.28515625" style="98" customWidth="1"/>
    <col min="1294" max="1536" width="9.140625" style="98"/>
    <col min="1537" max="1537" width="43.140625" style="98" customWidth="1"/>
    <col min="1538" max="1538" width="17" style="98" customWidth="1"/>
    <col min="1539" max="1542" width="0" style="98" hidden="1" customWidth="1"/>
    <col min="1543" max="1544" width="16.28515625" style="98" customWidth="1"/>
    <col min="1545" max="1545" width="10.28515625" style="98" customWidth="1"/>
    <col min="1546" max="1546" width="16.28515625" style="98" customWidth="1"/>
    <col min="1547" max="1547" width="14.85546875" style="98" customWidth="1"/>
    <col min="1548" max="1548" width="15" style="98" customWidth="1"/>
    <col min="1549" max="1549" width="15.28515625" style="98" customWidth="1"/>
    <col min="1550" max="1792" width="9.140625" style="98"/>
    <col min="1793" max="1793" width="43.140625" style="98" customWidth="1"/>
    <col min="1794" max="1794" width="17" style="98" customWidth="1"/>
    <col min="1795" max="1798" width="0" style="98" hidden="1" customWidth="1"/>
    <col min="1799" max="1800" width="16.28515625" style="98" customWidth="1"/>
    <col min="1801" max="1801" width="10.28515625" style="98" customWidth="1"/>
    <col min="1802" max="1802" width="16.28515625" style="98" customWidth="1"/>
    <col min="1803" max="1803" width="14.85546875" style="98" customWidth="1"/>
    <col min="1804" max="1804" width="15" style="98" customWidth="1"/>
    <col min="1805" max="1805" width="15.28515625" style="98" customWidth="1"/>
    <col min="1806" max="2048" width="9.140625" style="98"/>
    <col min="2049" max="2049" width="43.140625" style="98" customWidth="1"/>
    <col min="2050" max="2050" width="17" style="98" customWidth="1"/>
    <col min="2051" max="2054" width="0" style="98" hidden="1" customWidth="1"/>
    <col min="2055" max="2056" width="16.28515625" style="98" customWidth="1"/>
    <col min="2057" max="2057" width="10.28515625" style="98" customWidth="1"/>
    <col min="2058" max="2058" width="16.28515625" style="98" customWidth="1"/>
    <col min="2059" max="2059" width="14.85546875" style="98" customWidth="1"/>
    <col min="2060" max="2060" width="15" style="98" customWidth="1"/>
    <col min="2061" max="2061" width="15.28515625" style="98" customWidth="1"/>
    <col min="2062" max="2304" width="9.140625" style="98"/>
    <col min="2305" max="2305" width="43.140625" style="98" customWidth="1"/>
    <col min="2306" max="2306" width="17" style="98" customWidth="1"/>
    <col min="2307" max="2310" width="0" style="98" hidden="1" customWidth="1"/>
    <col min="2311" max="2312" width="16.28515625" style="98" customWidth="1"/>
    <col min="2313" max="2313" width="10.28515625" style="98" customWidth="1"/>
    <col min="2314" max="2314" width="16.28515625" style="98" customWidth="1"/>
    <col min="2315" max="2315" width="14.85546875" style="98" customWidth="1"/>
    <col min="2316" max="2316" width="15" style="98" customWidth="1"/>
    <col min="2317" max="2317" width="15.28515625" style="98" customWidth="1"/>
    <col min="2318" max="2560" width="9.140625" style="98"/>
    <col min="2561" max="2561" width="43.140625" style="98" customWidth="1"/>
    <col min="2562" max="2562" width="17" style="98" customWidth="1"/>
    <col min="2563" max="2566" width="0" style="98" hidden="1" customWidth="1"/>
    <col min="2567" max="2568" width="16.28515625" style="98" customWidth="1"/>
    <col min="2569" max="2569" width="10.28515625" style="98" customWidth="1"/>
    <col min="2570" max="2570" width="16.28515625" style="98" customWidth="1"/>
    <col min="2571" max="2571" width="14.85546875" style="98" customWidth="1"/>
    <col min="2572" max="2572" width="15" style="98" customWidth="1"/>
    <col min="2573" max="2573" width="15.28515625" style="98" customWidth="1"/>
    <col min="2574" max="2816" width="9.140625" style="98"/>
    <col min="2817" max="2817" width="43.140625" style="98" customWidth="1"/>
    <col min="2818" max="2818" width="17" style="98" customWidth="1"/>
    <col min="2819" max="2822" width="0" style="98" hidden="1" customWidth="1"/>
    <col min="2823" max="2824" width="16.28515625" style="98" customWidth="1"/>
    <col min="2825" max="2825" width="10.28515625" style="98" customWidth="1"/>
    <col min="2826" max="2826" width="16.28515625" style="98" customWidth="1"/>
    <col min="2827" max="2827" width="14.85546875" style="98" customWidth="1"/>
    <col min="2828" max="2828" width="15" style="98" customWidth="1"/>
    <col min="2829" max="2829" width="15.28515625" style="98" customWidth="1"/>
    <col min="2830" max="3072" width="9.140625" style="98"/>
    <col min="3073" max="3073" width="43.140625" style="98" customWidth="1"/>
    <col min="3074" max="3074" width="17" style="98" customWidth="1"/>
    <col min="3075" max="3078" width="0" style="98" hidden="1" customWidth="1"/>
    <col min="3079" max="3080" width="16.28515625" style="98" customWidth="1"/>
    <col min="3081" max="3081" width="10.28515625" style="98" customWidth="1"/>
    <col min="3082" max="3082" width="16.28515625" style="98" customWidth="1"/>
    <col min="3083" max="3083" width="14.85546875" style="98" customWidth="1"/>
    <col min="3084" max="3084" width="15" style="98" customWidth="1"/>
    <col min="3085" max="3085" width="15.28515625" style="98" customWidth="1"/>
    <col min="3086" max="3328" width="9.140625" style="98"/>
    <col min="3329" max="3329" width="43.140625" style="98" customWidth="1"/>
    <col min="3330" max="3330" width="17" style="98" customWidth="1"/>
    <col min="3331" max="3334" width="0" style="98" hidden="1" customWidth="1"/>
    <col min="3335" max="3336" width="16.28515625" style="98" customWidth="1"/>
    <col min="3337" max="3337" width="10.28515625" style="98" customWidth="1"/>
    <col min="3338" max="3338" width="16.28515625" style="98" customWidth="1"/>
    <col min="3339" max="3339" width="14.85546875" style="98" customWidth="1"/>
    <col min="3340" max="3340" width="15" style="98" customWidth="1"/>
    <col min="3341" max="3341" width="15.28515625" style="98" customWidth="1"/>
    <col min="3342" max="3584" width="9.140625" style="98"/>
    <col min="3585" max="3585" width="43.140625" style="98" customWidth="1"/>
    <col min="3586" max="3586" width="17" style="98" customWidth="1"/>
    <col min="3587" max="3590" width="0" style="98" hidden="1" customWidth="1"/>
    <col min="3591" max="3592" width="16.28515625" style="98" customWidth="1"/>
    <col min="3593" max="3593" width="10.28515625" style="98" customWidth="1"/>
    <col min="3594" max="3594" width="16.28515625" style="98" customWidth="1"/>
    <col min="3595" max="3595" width="14.85546875" style="98" customWidth="1"/>
    <col min="3596" max="3596" width="15" style="98" customWidth="1"/>
    <col min="3597" max="3597" width="15.28515625" style="98" customWidth="1"/>
    <col min="3598" max="3840" width="9.140625" style="98"/>
    <col min="3841" max="3841" width="43.140625" style="98" customWidth="1"/>
    <col min="3842" max="3842" width="17" style="98" customWidth="1"/>
    <col min="3843" max="3846" width="0" style="98" hidden="1" customWidth="1"/>
    <col min="3847" max="3848" width="16.28515625" style="98" customWidth="1"/>
    <col min="3849" max="3849" width="10.28515625" style="98" customWidth="1"/>
    <col min="3850" max="3850" width="16.28515625" style="98" customWidth="1"/>
    <col min="3851" max="3851" width="14.85546875" style="98" customWidth="1"/>
    <col min="3852" max="3852" width="15" style="98" customWidth="1"/>
    <col min="3853" max="3853" width="15.28515625" style="98" customWidth="1"/>
    <col min="3854" max="4096" width="9.140625" style="98"/>
    <col min="4097" max="4097" width="43.140625" style="98" customWidth="1"/>
    <col min="4098" max="4098" width="17" style="98" customWidth="1"/>
    <col min="4099" max="4102" width="0" style="98" hidden="1" customWidth="1"/>
    <col min="4103" max="4104" width="16.28515625" style="98" customWidth="1"/>
    <col min="4105" max="4105" width="10.28515625" style="98" customWidth="1"/>
    <col min="4106" max="4106" width="16.28515625" style="98" customWidth="1"/>
    <col min="4107" max="4107" width="14.85546875" style="98" customWidth="1"/>
    <col min="4108" max="4108" width="15" style="98" customWidth="1"/>
    <col min="4109" max="4109" width="15.28515625" style="98" customWidth="1"/>
    <col min="4110" max="4352" width="9.140625" style="98"/>
    <col min="4353" max="4353" width="43.140625" style="98" customWidth="1"/>
    <col min="4354" max="4354" width="17" style="98" customWidth="1"/>
    <col min="4355" max="4358" width="0" style="98" hidden="1" customWidth="1"/>
    <col min="4359" max="4360" width="16.28515625" style="98" customWidth="1"/>
    <col min="4361" max="4361" width="10.28515625" style="98" customWidth="1"/>
    <col min="4362" max="4362" width="16.28515625" style="98" customWidth="1"/>
    <col min="4363" max="4363" width="14.85546875" style="98" customWidth="1"/>
    <col min="4364" max="4364" width="15" style="98" customWidth="1"/>
    <col min="4365" max="4365" width="15.28515625" style="98" customWidth="1"/>
    <col min="4366" max="4608" width="9.140625" style="98"/>
    <col min="4609" max="4609" width="43.140625" style="98" customWidth="1"/>
    <col min="4610" max="4610" width="17" style="98" customWidth="1"/>
    <col min="4611" max="4614" width="0" style="98" hidden="1" customWidth="1"/>
    <col min="4615" max="4616" width="16.28515625" style="98" customWidth="1"/>
    <col min="4617" max="4617" width="10.28515625" style="98" customWidth="1"/>
    <col min="4618" max="4618" width="16.28515625" style="98" customWidth="1"/>
    <col min="4619" max="4619" width="14.85546875" style="98" customWidth="1"/>
    <col min="4620" max="4620" width="15" style="98" customWidth="1"/>
    <col min="4621" max="4621" width="15.28515625" style="98" customWidth="1"/>
    <col min="4622" max="4864" width="9.140625" style="98"/>
    <col min="4865" max="4865" width="43.140625" style="98" customWidth="1"/>
    <col min="4866" max="4866" width="17" style="98" customWidth="1"/>
    <col min="4867" max="4870" width="0" style="98" hidden="1" customWidth="1"/>
    <col min="4871" max="4872" width="16.28515625" style="98" customWidth="1"/>
    <col min="4873" max="4873" width="10.28515625" style="98" customWidth="1"/>
    <col min="4874" max="4874" width="16.28515625" style="98" customWidth="1"/>
    <col min="4875" max="4875" width="14.85546875" style="98" customWidth="1"/>
    <col min="4876" max="4876" width="15" style="98" customWidth="1"/>
    <col min="4877" max="4877" width="15.28515625" style="98" customWidth="1"/>
    <col min="4878" max="5120" width="9.140625" style="98"/>
    <col min="5121" max="5121" width="43.140625" style="98" customWidth="1"/>
    <col min="5122" max="5122" width="17" style="98" customWidth="1"/>
    <col min="5123" max="5126" width="0" style="98" hidden="1" customWidth="1"/>
    <col min="5127" max="5128" width="16.28515625" style="98" customWidth="1"/>
    <col min="5129" max="5129" width="10.28515625" style="98" customWidth="1"/>
    <col min="5130" max="5130" width="16.28515625" style="98" customWidth="1"/>
    <col min="5131" max="5131" width="14.85546875" style="98" customWidth="1"/>
    <col min="5132" max="5132" width="15" style="98" customWidth="1"/>
    <col min="5133" max="5133" width="15.28515625" style="98" customWidth="1"/>
    <col min="5134" max="5376" width="9.140625" style="98"/>
    <col min="5377" max="5377" width="43.140625" style="98" customWidth="1"/>
    <col min="5378" max="5378" width="17" style="98" customWidth="1"/>
    <col min="5379" max="5382" width="0" style="98" hidden="1" customWidth="1"/>
    <col min="5383" max="5384" width="16.28515625" style="98" customWidth="1"/>
    <col min="5385" max="5385" width="10.28515625" style="98" customWidth="1"/>
    <col min="5386" max="5386" width="16.28515625" style="98" customWidth="1"/>
    <col min="5387" max="5387" width="14.85546875" style="98" customWidth="1"/>
    <col min="5388" max="5388" width="15" style="98" customWidth="1"/>
    <col min="5389" max="5389" width="15.28515625" style="98" customWidth="1"/>
    <col min="5390" max="5632" width="9.140625" style="98"/>
    <col min="5633" max="5633" width="43.140625" style="98" customWidth="1"/>
    <col min="5634" max="5634" width="17" style="98" customWidth="1"/>
    <col min="5635" max="5638" width="0" style="98" hidden="1" customWidth="1"/>
    <col min="5639" max="5640" width="16.28515625" style="98" customWidth="1"/>
    <col min="5641" max="5641" width="10.28515625" style="98" customWidth="1"/>
    <col min="5642" max="5642" width="16.28515625" style="98" customWidth="1"/>
    <col min="5643" max="5643" width="14.85546875" style="98" customWidth="1"/>
    <col min="5644" max="5644" width="15" style="98" customWidth="1"/>
    <col min="5645" max="5645" width="15.28515625" style="98" customWidth="1"/>
    <col min="5646" max="5888" width="9.140625" style="98"/>
    <col min="5889" max="5889" width="43.140625" style="98" customWidth="1"/>
    <col min="5890" max="5890" width="17" style="98" customWidth="1"/>
    <col min="5891" max="5894" width="0" style="98" hidden="1" customWidth="1"/>
    <col min="5895" max="5896" width="16.28515625" style="98" customWidth="1"/>
    <col min="5897" max="5897" width="10.28515625" style="98" customWidth="1"/>
    <col min="5898" max="5898" width="16.28515625" style="98" customWidth="1"/>
    <col min="5899" max="5899" width="14.85546875" style="98" customWidth="1"/>
    <col min="5900" max="5900" width="15" style="98" customWidth="1"/>
    <col min="5901" max="5901" width="15.28515625" style="98" customWidth="1"/>
    <col min="5902" max="6144" width="9.140625" style="98"/>
    <col min="6145" max="6145" width="43.140625" style="98" customWidth="1"/>
    <col min="6146" max="6146" width="17" style="98" customWidth="1"/>
    <col min="6147" max="6150" width="0" style="98" hidden="1" customWidth="1"/>
    <col min="6151" max="6152" width="16.28515625" style="98" customWidth="1"/>
    <col min="6153" max="6153" width="10.28515625" style="98" customWidth="1"/>
    <col min="6154" max="6154" width="16.28515625" style="98" customWidth="1"/>
    <col min="6155" max="6155" width="14.85546875" style="98" customWidth="1"/>
    <col min="6156" max="6156" width="15" style="98" customWidth="1"/>
    <col min="6157" max="6157" width="15.28515625" style="98" customWidth="1"/>
    <col min="6158" max="6400" width="9.140625" style="98"/>
    <col min="6401" max="6401" width="43.140625" style="98" customWidth="1"/>
    <col min="6402" max="6402" width="17" style="98" customWidth="1"/>
    <col min="6403" max="6406" width="0" style="98" hidden="1" customWidth="1"/>
    <col min="6407" max="6408" width="16.28515625" style="98" customWidth="1"/>
    <col min="6409" max="6409" width="10.28515625" style="98" customWidth="1"/>
    <col min="6410" max="6410" width="16.28515625" style="98" customWidth="1"/>
    <col min="6411" max="6411" width="14.85546875" style="98" customWidth="1"/>
    <col min="6412" max="6412" width="15" style="98" customWidth="1"/>
    <col min="6413" max="6413" width="15.28515625" style="98" customWidth="1"/>
    <col min="6414" max="6656" width="9.140625" style="98"/>
    <col min="6657" max="6657" width="43.140625" style="98" customWidth="1"/>
    <col min="6658" max="6658" width="17" style="98" customWidth="1"/>
    <col min="6659" max="6662" width="0" style="98" hidden="1" customWidth="1"/>
    <col min="6663" max="6664" width="16.28515625" style="98" customWidth="1"/>
    <col min="6665" max="6665" width="10.28515625" style="98" customWidth="1"/>
    <col min="6666" max="6666" width="16.28515625" style="98" customWidth="1"/>
    <col min="6667" max="6667" width="14.85546875" style="98" customWidth="1"/>
    <col min="6668" max="6668" width="15" style="98" customWidth="1"/>
    <col min="6669" max="6669" width="15.28515625" style="98" customWidth="1"/>
    <col min="6670" max="6912" width="9.140625" style="98"/>
    <col min="6913" max="6913" width="43.140625" style="98" customWidth="1"/>
    <col min="6914" max="6914" width="17" style="98" customWidth="1"/>
    <col min="6915" max="6918" width="0" style="98" hidden="1" customWidth="1"/>
    <col min="6919" max="6920" width="16.28515625" style="98" customWidth="1"/>
    <col min="6921" max="6921" width="10.28515625" style="98" customWidth="1"/>
    <col min="6922" max="6922" width="16.28515625" style="98" customWidth="1"/>
    <col min="6923" max="6923" width="14.85546875" style="98" customWidth="1"/>
    <col min="6924" max="6924" width="15" style="98" customWidth="1"/>
    <col min="6925" max="6925" width="15.28515625" style="98" customWidth="1"/>
    <col min="6926" max="7168" width="9.140625" style="98"/>
    <col min="7169" max="7169" width="43.140625" style="98" customWidth="1"/>
    <col min="7170" max="7170" width="17" style="98" customWidth="1"/>
    <col min="7171" max="7174" width="0" style="98" hidden="1" customWidth="1"/>
    <col min="7175" max="7176" width="16.28515625" style="98" customWidth="1"/>
    <col min="7177" max="7177" width="10.28515625" style="98" customWidth="1"/>
    <col min="7178" max="7178" width="16.28515625" style="98" customWidth="1"/>
    <col min="7179" max="7179" width="14.85546875" style="98" customWidth="1"/>
    <col min="7180" max="7180" width="15" style="98" customWidth="1"/>
    <col min="7181" max="7181" width="15.28515625" style="98" customWidth="1"/>
    <col min="7182" max="7424" width="9.140625" style="98"/>
    <col min="7425" max="7425" width="43.140625" style="98" customWidth="1"/>
    <col min="7426" max="7426" width="17" style="98" customWidth="1"/>
    <col min="7427" max="7430" width="0" style="98" hidden="1" customWidth="1"/>
    <col min="7431" max="7432" width="16.28515625" style="98" customWidth="1"/>
    <col min="7433" max="7433" width="10.28515625" style="98" customWidth="1"/>
    <col min="7434" max="7434" width="16.28515625" style="98" customWidth="1"/>
    <col min="7435" max="7435" width="14.85546875" style="98" customWidth="1"/>
    <col min="7436" max="7436" width="15" style="98" customWidth="1"/>
    <col min="7437" max="7437" width="15.28515625" style="98" customWidth="1"/>
    <col min="7438" max="7680" width="9.140625" style="98"/>
    <col min="7681" max="7681" width="43.140625" style="98" customWidth="1"/>
    <col min="7682" max="7682" width="17" style="98" customWidth="1"/>
    <col min="7683" max="7686" width="0" style="98" hidden="1" customWidth="1"/>
    <col min="7687" max="7688" width="16.28515625" style="98" customWidth="1"/>
    <col min="7689" max="7689" width="10.28515625" style="98" customWidth="1"/>
    <col min="7690" max="7690" width="16.28515625" style="98" customWidth="1"/>
    <col min="7691" max="7691" width="14.85546875" style="98" customWidth="1"/>
    <col min="7692" max="7692" width="15" style="98" customWidth="1"/>
    <col min="7693" max="7693" width="15.28515625" style="98" customWidth="1"/>
    <col min="7694" max="7936" width="9.140625" style="98"/>
    <col min="7937" max="7937" width="43.140625" style="98" customWidth="1"/>
    <col min="7938" max="7938" width="17" style="98" customWidth="1"/>
    <col min="7939" max="7942" width="0" style="98" hidden="1" customWidth="1"/>
    <col min="7943" max="7944" width="16.28515625" style="98" customWidth="1"/>
    <col min="7945" max="7945" width="10.28515625" style="98" customWidth="1"/>
    <col min="7946" max="7946" width="16.28515625" style="98" customWidth="1"/>
    <col min="7947" max="7947" width="14.85546875" style="98" customWidth="1"/>
    <col min="7948" max="7948" width="15" style="98" customWidth="1"/>
    <col min="7949" max="7949" width="15.28515625" style="98" customWidth="1"/>
    <col min="7950" max="8192" width="9.140625" style="98"/>
    <col min="8193" max="8193" width="43.140625" style="98" customWidth="1"/>
    <col min="8194" max="8194" width="17" style="98" customWidth="1"/>
    <col min="8195" max="8198" width="0" style="98" hidden="1" customWidth="1"/>
    <col min="8199" max="8200" width="16.28515625" style="98" customWidth="1"/>
    <col min="8201" max="8201" width="10.28515625" style="98" customWidth="1"/>
    <col min="8202" max="8202" width="16.28515625" style="98" customWidth="1"/>
    <col min="8203" max="8203" width="14.85546875" style="98" customWidth="1"/>
    <col min="8204" max="8204" width="15" style="98" customWidth="1"/>
    <col min="8205" max="8205" width="15.28515625" style="98" customWidth="1"/>
    <col min="8206" max="8448" width="9.140625" style="98"/>
    <col min="8449" max="8449" width="43.140625" style="98" customWidth="1"/>
    <col min="8450" max="8450" width="17" style="98" customWidth="1"/>
    <col min="8451" max="8454" width="0" style="98" hidden="1" customWidth="1"/>
    <col min="8455" max="8456" width="16.28515625" style="98" customWidth="1"/>
    <col min="8457" max="8457" width="10.28515625" style="98" customWidth="1"/>
    <col min="8458" max="8458" width="16.28515625" style="98" customWidth="1"/>
    <col min="8459" max="8459" width="14.85546875" style="98" customWidth="1"/>
    <col min="8460" max="8460" width="15" style="98" customWidth="1"/>
    <col min="8461" max="8461" width="15.28515625" style="98" customWidth="1"/>
    <col min="8462" max="8704" width="9.140625" style="98"/>
    <col min="8705" max="8705" width="43.140625" style="98" customWidth="1"/>
    <col min="8706" max="8706" width="17" style="98" customWidth="1"/>
    <col min="8707" max="8710" width="0" style="98" hidden="1" customWidth="1"/>
    <col min="8711" max="8712" width="16.28515625" style="98" customWidth="1"/>
    <col min="8713" max="8713" width="10.28515625" style="98" customWidth="1"/>
    <col min="8714" max="8714" width="16.28515625" style="98" customWidth="1"/>
    <col min="8715" max="8715" width="14.85546875" style="98" customWidth="1"/>
    <col min="8716" max="8716" width="15" style="98" customWidth="1"/>
    <col min="8717" max="8717" width="15.28515625" style="98" customWidth="1"/>
    <col min="8718" max="8960" width="9.140625" style="98"/>
    <col min="8961" max="8961" width="43.140625" style="98" customWidth="1"/>
    <col min="8962" max="8962" width="17" style="98" customWidth="1"/>
    <col min="8963" max="8966" width="0" style="98" hidden="1" customWidth="1"/>
    <col min="8967" max="8968" width="16.28515625" style="98" customWidth="1"/>
    <col min="8969" max="8969" width="10.28515625" style="98" customWidth="1"/>
    <col min="8970" max="8970" width="16.28515625" style="98" customWidth="1"/>
    <col min="8971" max="8971" width="14.85546875" style="98" customWidth="1"/>
    <col min="8972" max="8972" width="15" style="98" customWidth="1"/>
    <col min="8973" max="8973" width="15.28515625" style="98" customWidth="1"/>
    <col min="8974" max="9216" width="9.140625" style="98"/>
    <col min="9217" max="9217" width="43.140625" style="98" customWidth="1"/>
    <col min="9218" max="9218" width="17" style="98" customWidth="1"/>
    <col min="9219" max="9222" width="0" style="98" hidden="1" customWidth="1"/>
    <col min="9223" max="9224" width="16.28515625" style="98" customWidth="1"/>
    <col min="9225" max="9225" width="10.28515625" style="98" customWidth="1"/>
    <col min="9226" max="9226" width="16.28515625" style="98" customWidth="1"/>
    <col min="9227" max="9227" width="14.85546875" style="98" customWidth="1"/>
    <col min="9228" max="9228" width="15" style="98" customWidth="1"/>
    <col min="9229" max="9229" width="15.28515625" style="98" customWidth="1"/>
    <col min="9230" max="9472" width="9.140625" style="98"/>
    <col min="9473" max="9473" width="43.140625" style="98" customWidth="1"/>
    <col min="9474" max="9474" width="17" style="98" customWidth="1"/>
    <col min="9475" max="9478" width="0" style="98" hidden="1" customWidth="1"/>
    <col min="9479" max="9480" width="16.28515625" style="98" customWidth="1"/>
    <col min="9481" max="9481" width="10.28515625" style="98" customWidth="1"/>
    <col min="9482" max="9482" width="16.28515625" style="98" customWidth="1"/>
    <col min="9483" max="9483" width="14.85546875" style="98" customWidth="1"/>
    <col min="9484" max="9484" width="15" style="98" customWidth="1"/>
    <col min="9485" max="9485" width="15.28515625" style="98" customWidth="1"/>
    <col min="9486" max="9728" width="9.140625" style="98"/>
    <col min="9729" max="9729" width="43.140625" style="98" customWidth="1"/>
    <col min="9730" max="9730" width="17" style="98" customWidth="1"/>
    <col min="9731" max="9734" width="0" style="98" hidden="1" customWidth="1"/>
    <col min="9735" max="9736" width="16.28515625" style="98" customWidth="1"/>
    <col min="9737" max="9737" width="10.28515625" style="98" customWidth="1"/>
    <col min="9738" max="9738" width="16.28515625" style="98" customWidth="1"/>
    <col min="9739" max="9739" width="14.85546875" style="98" customWidth="1"/>
    <col min="9740" max="9740" width="15" style="98" customWidth="1"/>
    <col min="9741" max="9741" width="15.28515625" style="98" customWidth="1"/>
    <col min="9742" max="9984" width="9.140625" style="98"/>
    <col min="9985" max="9985" width="43.140625" style="98" customWidth="1"/>
    <col min="9986" max="9986" width="17" style="98" customWidth="1"/>
    <col min="9987" max="9990" width="0" style="98" hidden="1" customWidth="1"/>
    <col min="9991" max="9992" width="16.28515625" style="98" customWidth="1"/>
    <col min="9993" max="9993" width="10.28515625" style="98" customWidth="1"/>
    <col min="9994" max="9994" width="16.28515625" style="98" customWidth="1"/>
    <col min="9995" max="9995" width="14.85546875" style="98" customWidth="1"/>
    <col min="9996" max="9996" width="15" style="98" customWidth="1"/>
    <col min="9997" max="9997" width="15.28515625" style="98" customWidth="1"/>
    <col min="9998" max="10240" width="9.140625" style="98"/>
    <col min="10241" max="10241" width="43.140625" style="98" customWidth="1"/>
    <col min="10242" max="10242" width="17" style="98" customWidth="1"/>
    <col min="10243" max="10246" width="0" style="98" hidden="1" customWidth="1"/>
    <col min="10247" max="10248" width="16.28515625" style="98" customWidth="1"/>
    <col min="10249" max="10249" width="10.28515625" style="98" customWidth="1"/>
    <col min="10250" max="10250" width="16.28515625" style="98" customWidth="1"/>
    <col min="10251" max="10251" width="14.85546875" style="98" customWidth="1"/>
    <col min="10252" max="10252" width="15" style="98" customWidth="1"/>
    <col min="10253" max="10253" width="15.28515625" style="98" customWidth="1"/>
    <col min="10254" max="10496" width="9.140625" style="98"/>
    <col min="10497" max="10497" width="43.140625" style="98" customWidth="1"/>
    <col min="10498" max="10498" width="17" style="98" customWidth="1"/>
    <col min="10499" max="10502" width="0" style="98" hidden="1" customWidth="1"/>
    <col min="10503" max="10504" width="16.28515625" style="98" customWidth="1"/>
    <col min="10505" max="10505" width="10.28515625" style="98" customWidth="1"/>
    <col min="10506" max="10506" width="16.28515625" style="98" customWidth="1"/>
    <col min="10507" max="10507" width="14.85546875" style="98" customWidth="1"/>
    <col min="10508" max="10508" width="15" style="98" customWidth="1"/>
    <col min="10509" max="10509" width="15.28515625" style="98" customWidth="1"/>
    <col min="10510" max="10752" width="9.140625" style="98"/>
    <col min="10753" max="10753" width="43.140625" style="98" customWidth="1"/>
    <col min="10754" max="10754" width="17" style="98" customWidth="1"/>
    <col min="10755" max="10758" width="0" style="98" hidden="1" customWidth="1"/>
    <col min="10759" max="10760" width="16.28515625" style="98" customWidth="1"/>
    <col min="10761" max="10761" width="10.28515625" style="98" customWidth="1"/>
    <col min="10762" max="10762" width="16.28515625" style="98" customWidth="1"/>
    <col min="10763" max="10763" width="14.85546875" style="98" customWidth="1"/>
    <col min="10764" max="10764" width="15" style="98" customWidth="1"/>
    <col min="10765" max="10765" width="15.28515625" style="98" customWidth="1"/>
    <col min="10766" max="11008" width="9.140625" style="98"/>
    <col min="11009" max="11009" width="43.140625" style="98" customWidth="1"/>
    <col min="11010" max="11010" width="17" style="98" customWidth="1"/>
    <col min="11011" max="11014" width="0" style="98" hidden="1" customWidth="1"/>
    <col min="11015" max="11016" width="16.28515625" style="98" customWidth="1"/>
    <col min="11017" max="11017" width="10.28515625" style="98" customWidth="1"/>
    <col min="11018" max="11018" width="16.28515625" style="98" customWidth="1"/>
    <col min="11019" max="11019" width="14.85546875" style="98" customWidth="1"/>
    <col min="11020" max="11020" width="15" style="98" customWidth="1"/>
    <col min="11021" max="11021" width="15.28515625" style="98" customWidth="1"/>
    <col min="11022" max="11264" width="9.140625" style="98"/>
    <col min="11265" max="11265" width="43.140625" style="98" customWidth="1"/>
    <col min="11266" max="11266" width="17" style="98" customWidth="1"/>
    <col min="11267" max="11270" width="0" style="98" hidden="1" customWidth="1"/>
    <col min="11271" max="11272" width="16.28515625" style="98" customWidth="1"/>
    <col min="11273" max="11273" width="10.28515625" style="98" customWidth="1"/>
    <col min="11274" max="11274" width="16.28515625" style="98" customWidth="1"/>
    <col min="11275" max="11275" width="14.85546875" style="98" customWidth="1"/>
    <col min="11276" max="11276" width="15" style="98" customWidth="1"/>
    <col min="11277" max="11277" width="15.28515625" style="98" customWidth="1"/>
    <col min="11278" max="11520" width="9.140625" style="98"/>
    <col min="11521" max="11521" width="43.140625" style="98" customWidth="1"/>
    <col min="11522" max="11522" width="17" style="98" customWidth="1"/>
    <col min="11523" max="11526" width="0" style="98" hidden="1" customWidth="1"/>
    <col min="11527" max="11528" width="16.28515625" style="98" customWidth="1"/>
    <col min="11529" max="11529" width="10.28515625" style="98" customWidth="1"/>
    <col min="11530" max="11530" width="16.28515625" style="98" customWidth="1"/>
    <col min="11531" max="11531" width="14.85546875" style="98" customWidth="1"/>
    <col min="11532" max="11532" width="15" style="98" customWidth="1"/>
    <col min="11533" max="11533" width="15.28515625" style="98" customWidth="1"/>
    <col min="11534" max="11776" width="9.140625" style="98"/>
    <col min="11777" max="11777" width="43.140625" style="98" customWidth="1"/>
    <col min="11778" max="11778" width="17" style="98" customWidth="1"/>
    <col min="11779" max="11782" width="0" style="98" hidden="1" customWidth="1"/>
    <col min="11783" max="11784" width="16.28515625" style="98" customWidth="1"/>
    <col min="11785" max="11785" width="10.28515625" style="98" customWidth="1"/>
    <col min="11786" max="11786" width="16.28515625" style="98" customWidth="1"/>
    <col min="11787" max="11787" width="14.85546875" style="98" customWidth="1"/>
    <col min="11788" max="11788" width="15" style="98" customWidth="1"/>
    <col min="11789" max="11789" width="15.28515625" style="98" customWidth="1"/>
    <col min="11790" max="12032" width="9.140625" style="98"/>
    <col min="12033" max="12033" width="43.140625" style="98" customWidth="1"/>
    <col min="12034" max="12034" width="17" style="98" customWidth="1"/>
    <col min="12035" max="12038" width="0" style="98" hidden="1" customWidth="1"/>
    <col min="12039" max="12040" width="16.28515625" style="98" customWidth="1"/>
    <col min="12041" max="12041" width="10.28515625" style="98" customWidth="1"/>
    <col min="12042" max="12042" width="16.28515625" style="98" customWidth="1"/>
    <col min="12043" max="12043" width="14.85546875" style="98" customWidth="1"/>
    <col min="12044" max="12044" width="15" style="98" customWidth="1"/>
    <col min="12045" max="12045" width="15.28515625" style="98" customWidth="1"/>
    <col min="12046" max="12288" width="9.140625" style="98"/>
    <col min="12289" max="12289" width="43.140625" style="98" customWidth="1"/>
    <col min="12290" max="12290" width="17" style="98" customWidth="1"/>
    <col min="12291" max="12294" width="0" style="98" hidden="1" customWidth="1"/>
    <col min="12295" max="12296" width="16.28515625" style="98" customWidth="1"/>
    <col min="12297" max="12297" width="10.28515625" style="98" customWidth="1"/>
    <col min="12298" max="12298" width="16.28515625" style="98" customWidth="1"/>
    <col min="12299" max="12299" width="14.85546875" style="98" customWidth="1"/>
    <col min="12300" max="12300" width="15" style="98" customWidth="1"/>
    <col min="12301" max="12301" width="15.28515625" style="98" customWidth="1"/>
    <col min="12302" max="12544" width="9.140625" style="98"/>
    <col min="12545" max="12545" width="43.140625" style="98" customWidth="1"/>
    <col min="12546" max="12546" width="17" style="98" customWidth="1"/>
    <col min="12547" max="12550" width="0" style="98" hidden="1" customWidth="1"/>
    <col min="12551" max="12552" width="16.28515625" style="98" customWidth="1"/>
    <col min="12553" max="12553" width="10.28515625" style="98" customWidth="1"/>
    <col min="12554" max="12554" width="16.28515625" style="98" customWidth="1"/>
    <col min="12555" max="12555" width="14.85546875" style="98" customWidth="1"/>
    <col min="12556" max="12556" width="15" style="98" customWidth="1"/>
    <col min="12557" max="12557" width="15.28515625" style="98" customWidth="1"/>
    <col min="12558" max="12800" width="9.140625" style="98"/>
    <col min="12801" max="12801" width="43.140625" style="98" customWidth="1"/>
    <col min="12802" max="12802" width="17" style="98" customWidth="1"/>
    <col min="12803" max="12806" width="0" style="98" hidden="1" customWidth="1"/>
    <col min="12807" max="12808" width="16.28515625" style="98" customWidth="1"/>
    <col min="12809" max="12809" width="10.28515625" style="98" customWidth="1"/>
    <col min="12810" max="12810" width="16.28515625" style="98" customWidth="1"/>
    <col min="12811" max="12811" width="14.85546875" style="98" customWidth="1"/>
    <col min="12812" max="12812" width="15" style="98" customWidth="1"/>
    <col min="12813" max="12813" width="15.28515625" style="98" customWidth="1"/>
    <col min="12814" max="13056" width="9.140625" style="98"/>
    <col min="13057" max="13057" width="43.140625" style="98" customWidth="1"/>
    <col min="13058" max="13058" width="17" style="98" customWidth="1"/>
    <col min="13059" max="13062" width="0" style="98" hidden="1" customWidth="1"/>
    <col min="13063" max="13064" width="16.28515625" style="98" customWidth="1"/>
    <col min="13065" max="13065" width="10.28515625" style="98" customWidth="1"/>
    <col min="13066" max="13066" width="16.28515625" style="98" customWidth="1"/>
    <col min="13067" max="13067" width="14.85546875" style="98" customWidth="1"/>
    <col min="13068" max="13068" width="15" style="98" customWidth="1"/>
    <col min="13069" max="13069" width="15.28515625" style="98" customWidth="1"/>
    <col min="13070" max="13312" width="9.140625" style="98"/>
    <col min="13313" max="13313" width="43.140625" style="98" customWidth="1"/>
    <col min="13314" max="13314" width="17" style="98" customWidth="1"/>
    <col min="13315" max="13318" width="0" style="98" hidden="1" customWidth="1"/>
    <col min="13319" max="13320" width="16.28515625" style="98" customWidth="1"/>
    <col min="13321" max="13321" width="10.28515625" style="98" customWidth="1"/>
    <col min="13322" max="13322" width="16.28515625" style="98" customWidth="1"/>
    <col min="13323" max="13323" width="14.85546875" style="98" customWidth="1"/>
    <col min="13324" max="13324" width="15" style="98" customWidth="1"/>
    <col min="13325" max="13325" width="15.28515625" style="98" customWidth="1"/>
    <col min="13326" max="13568" width="9.140625" style="98"/>
    <col min="13569" max="13569" width="43.140625" style="98" customWidth="1"/>
    <col min="13570" max="13570" width="17" style="98" customWidth="1"/>
    <col min="13571" max="13574" width="0" style="98" hidden="1" customWidth="1"/>
    <col min="13575" max="13576" width="16.28515625" style="98" customWidth="1"/>
    <col min="13577" max="13577" width="10.28515625" style="98" customWidth="1"/>
    <col min="13578" max="13578" width="16.28515625" style="98" customWidth="1"/>
    <col min="13579" max="13579" width="14.85546875" style="98" customWidth="1"/>
    <col min="13580" max="13580" width="15" style="98" customWidth="1"/>
    <col min="13581" max="13581" width="15.28515625" style="98" customWidth="1"/>
    <col min="13582" max="13824" width="9.140625" style="98"/>
    <col min="13825" max="13825" width="43.140625" style="98" customWidth="1"/>
    <col min="13826" max="13826" width="17" style="98" customWidth="1"/>
    <col min="13827" max="13830" width="0" style="98" hidden="1" customWidth="1"/>
    <col min="13831" max="13832" width="16.28515625" style="98" customWidth="1"/>
    <col min="13833" max="13833" width="10.28515625" style="98" customWidth="1"/>
    <col min="13834" max="13834" width="16.28515625" style="98" customWidth="1"/>
    <col min="13835" max="13835" width="14.85546875" style="98" customWidth="1"/>
    <col min="13836" max="13836" width="15" style="98" customWidth="1"/>
    <col min="13837" max="13837" width="15.28515625" style="98" customWidth="1"/>
    <col min="13838" max="14080" width="9.140625" style="98"/>
    <col min="14081" max="14081" width="43.140625" style="98" customWidth="1"/>
    <col min="14082" max="14082" width="17" style="98" customWidth="1"/>
    <col min="14083" max="14086" width="0" style="98" hidden="1" customWidth="1"/>
    <col min="14087" max="14088" width="16.28515625" style="98" customWidth="1"/>
    <col min="14089" max="14089" width="10.28515625" style="98" customWidth="1"/>
    <col min="14090" max="14090" width="16.28515625" style="98" customWidth="1"/>
    <col min="14091" max="14091" width="14.85546875" style="98" customWidth="1"/>
    <col min="14092" max="14092" width="15" style="98" customWidth="1"/>
    <col min="14093" max="14093" width="15.28515625" style="98" customWidth="1"/>
    <col min="14094" max="14336" width="9.140625" style="98"/>
    <col min="14337" max="14337" width="43.140625" style="98" customWidth="1"/>
    <col min="14338" max="14338" width="17" style="98" customWidth="1"/>
    <col min="14339" max="14342" width="0" style="98" hidden="1" customWidth="1"/>
    <col min="14343" max="14344" width="16.28515625" style="98" customWidth="1"/>
    <col min="14345" max="14345" width="10.28515625" style="98" customWidth="1"/>
    <col min="14346" max="14346" width="16.28515625" style="98" customWidth="1"/>
    <col min="14347" max="14347" width="14.85546875" style="98" customWidth="1"/>
    <col min="14348" max="14348" width="15" style="98" customWidth="1"/>
    <col min="14349" max="14349" width="15.28515625" style="98" customWidth="1"/>
    <col min="14350" max="14592" width="9.140625" style="98"/>
    <col min="14593" max="14593" width="43.140625" style="98" customWidth="1"/>
    <col min="14594" max="14594" width="17" style="98" customWidth="1"/>
    <col min="14595" max="14598" width="0" style="98" hidden="1" customWidth="1"/>
    <col min="14599" max="14600" width="16.28515625" style="98" customWidth="1"/>
    <col min="14601" max="14601" width="10.28515625" style="98" customWidth="1"/>
    <col min="14602" max="14602" width="16.28515625" style="98" customWidth="1"/>
    <col min="14603" max="14603" width="14.85546875" style="98" customWidth="1"/>
    <col min="14604" max="14604" width="15" style="98" customWidth="1"/>
    <col min="14605" max="14605" width="15.28515625" style="98" customWidth="1"/>
    <col min="14606" max="14848" width="9.140625" style="98"/>
    <col min="14849" max="14849" width="43.140625" style="98" customWidth="1"/>
    <col min="14850" max="14850" width="17" style="98" customWidth="1"/>
    <col min="14851" max="14854" width="0" style="98" hidden="1" customWidth="1"/>
    <col min="14855" max="14856" width="16.28515625" style="98" customWidth="1"/>
    <col min="14857" max="14857" width="10.28515625" style="98" customWidth="1"/>
    <col min="14858" max="14858" width="16.28515625" style="98" customWidth="1"/>
    <col min="14859" max="14859" width="14.85546875" style="98" customWidth="1"/>
    <col min="14860" max="14860" width="15" style="98" customWidth="1"/>
    <col min="14861" max="14861" width="15.28515625" style="98" customWidth="1"/>
    <col min="14862" max="15104" width="9.140625" style="98"/>
    <col min="15105" max="15105" width="43.140625" style="98" customWidth="1"/>
    <col min="15106" max="15106" width="17" style="98" customWidth="1"/>
    <col min="15107" max="15110" width="0" style="98" hidden="1" customWidth="1"/>
    <col min="15111" max="15112" width="16.28515625" style="98" customWidth="1"/>
    <col min="15113" max="15113" width="10.28515625" style="98" customWidth="1"/>
    <col min="15114" max="15114" width="16.28515625" style="98" customWidth="1"/>
    <col min="15115" max="15115" width="14.85546875" style="98" customWidth="1"/>
    <col min="15116" max="15116" width="15" style="98" customWidth="1"/>
    <col min="15117" max="15117" width="15.28515625" style="98" customWidth="1"/>
    <col min="15118" max="15360" width="9.140625" style="98"/>
    <col min="15361" max="15361" width="43.140625" style="98" customWidth="1"/>
    <col min="15362" max="15362" width="17" style="98" customWidth="1"/>
    <col min="15363" max="15366" width="0" style="98" hidden="1" customWidth="1"/>
    <col min="15367" max="15368" width="16.28515625" style="98" customWidth="1"/>
    <col min="15369" max="15369" width="10.28515625" style="98" customWidth="1"/>
    <col min="15370" max="15370" width="16.28515625" style="98" customWidth="1"/>
    <col min="15371" max="15371" width="14.85546875" style="98" customWidth="1"/>
    <col min="15372" max="15372" width="15" style="98" customWidth="1"/>
    <col min="15373" max="15373" width="15.28515625" style="98" customWidth="1"/>
    <col min="15374" max="15616" width="9.140625" style="98"/>
    <col min="15617" max="15617" width="43.140625" style="98" customWidth="1"/>
    <col min="15618" max="15618" width="17" style="98" customWidth="1"/>
    <col min="15619" max="15622" width="0" style="98" hidden="1" customWidth="1"/>
    <col min="15623" max="15624" width="16.28515625" style="98" customWidth="1"/>
    <col min="15625" max="15625" width="10.28515625" style="98" customWidth="1"/>
    <col min="15626" max="15626" width="16.28515625" style="98" customWidth="1"/>
    <col min="15627" max="15627" width="14.85546875" style="98" customWidth="1"/>
    <col min="15628" max="15628" width="15" style="98" customWidth="1"/>
    <col min="15629" max="15629" width="15.28515625" style="98" customWidth="1"/>
    <col min="15630" max="15872" width="9.140625" style="98"/>
    <col min="15873" max="15873" width="43.140625" style="98" customWidth="1"/>
    <col min="15874" max="15874" width="17" style="98" customWidth="1"/>
    <col min="15875" max="15878" width="0" style="98" hidden="1" customWidth="1"/>
    <col min="15879" max="15880" width="16.28515625" style="98" customWidth="1"/>
    <col min="15881" max="15881" width="10.28515625" style="98" customWidth="1"/>
    <col min="15882" max="15882" width="16.28515625" style="98" customWidth="1"/>
    <col min="15883" max="15883" width="14.85546875" style="98" customWidth="1"/>
    <col min="15884" max="15884" width="15" style="98" customWidth="1"/>
    <col min="15885" max="15885" width="15.28515625" style="98" customWidth="1"/>
    <col min="15886" max="16128" width="9.140625" style="98"/>
    <col min="16129" max="16129" width="43.140625" style="98" customWidth="1"/>
    <col min="16130" max="16130" width="17" style="98" customWidth="1"/>
    <col min="16131" max="16134" width="0" style="98" hidden="1" customWidth="1"/>
    <col min="16135" max="16136" width="16.28515625" style="98" customWidth="1"/>
    <col min="16137" max="16137" width="10.28515625" style="98" customWidth="1"/>
    <col min="16138" max="16138" width="16.28515625" style="98" customWidth="1"/>
    <col min="16139" max="16139" width="14.85546875" style="98" customWidth="1"/>
    <col min="16140" max="16140" width="15" style="98" customWidth="1"/>
    <col min="16141" max="16141" width="15.28515625" style="98" customWidth="1"/>
    <col min="16142" max="16384" width="9.140625" style="98"/>
  </cols>
  <sheetData>
    <row r="1" spans="1:41" ht="8.25" customHeight="1" thickBot="1" x14ac:dyDescent="0.25"/>
    <row r="2" spans="1:41" ht="45" customHeight="1" thickTop="1" thickBot="1" x14ac:dyDescent="0.25">
      <c r="A2" s="99" t="s">
        <v>56</v>
      </c>
      <c r="B2" s="99"/>
      <c r="C2" s="100" t="s">
        <v>57</v>
      </c>
      <c r="D2" s="101" t="s">
        <v>58</v>
      </c>
      <c r="E2" s="100" t="s">
        <v>59</v>
      </c>
      <c r="F2" s="101" t="s">
        <v>60</v>
      </c>
      <c r="G2" s="102"/>
      <c r="H2" s="102"/>
      <c r="I2" s="100" t="s">
        <v>69</v>
      </c>
      <c r="J2" s="131" t="s">
        <v>71</v>
      </c>
      <c r="K2" s="103" t="s">
        <v>70</v>
      </c>
      <c r="L2" s="103"/>
      <c r="M2" s="103"/>
    </row>
    <row r="3" spans="1:41" ht="39.75" customHeight="1" thickTop="1" x14ac:dyDescent="0.2">
      <c r="A3" s="130" t="s">
        <v>68</v>
      </c>
      <c r="B3" s="105"/>
      <c r="C3" s="106"/>
      <c r="D3" s="106"/>
      <c r="E3" s="106"/>
      <c r="F3" s="106"/>
      <c r="G3" s="107"/>
      <c r="H3" s="107"/>
      <c r="I3" s="108">
        <v>6.8</v>
      </c>
      <c r="J3" s="109">
        <f>'Ceny za léčbu'!K5</f>
        <v>49570.44</v>
      </c>
      <c r="K3" s="109"/>
      <c r="L3" s="109"/>
      <c r="M3" s="109"/>
    </row>
    <row r="4" spans="1:41" ht="36.75" customHeight="1" x14ac:dyDescent="0.2">
      <c r="A4" s="132" t="s">
        <v>72</v>
      </c>
      <c r="B4" s="105"/>
      <c r="C4" s="106"/>
      <c r="D4" s="106"/>
      <c r="E4" s="106"/>
      <c r="F4" s="106"/>
      <c r="G4" s="107"/>
      <c r="H4" s="107"/>
      <c r="I4" s="108">
        <v>15.3</v>
      </c>
      <c r="J4" s="109">
        <f>'Ceny za léčbu'!K7</f>
        <v>1334531.4840000002</v>
      </c>
      <c r="K4" s="110">
        <f>((J4-L4)/(I4-M4))</f>
        <v>151171.88752941179</v>
      </c>
      <c r="L4" s="109">
        <f>J3</f>
        <v>49570.44</v>
      </c>
      <c r="M4" s="108">
        <v>6.8</v>
      </c>
    </row>
    <row r="5" spans="1:41" ht="34.5" customHeight="1" x14ac:dyDescent="0.2">
      <c r="A5" s="132" t="s">
        <v>72</v>
      </c>
      <c r="B5" s="105"/>
      <c r="C5" s="106"/>
      <c r="D5" s="106"/>
      <c r="E5" s="106"/>
      <c r="F5" s="106"/>
      <c r="G5" s="107"/>
      <c r="H5" s="107"/>
      <c r="I5" s="108">
        <v>12.8</v>
      </c>
      <c r="J5" s="109">
        <f>'Ceny za léčbu'!K8</f>
        <v>1116470.784</v>
      </c>
      <c r="K5" s="110">
        <f t="shared" ref="K5:K12" si="0">((J5-L5)/(I5-M5))</f>
        <v>177816.72399999999</v>
      </c>
      <c r="L5" s="109">
        <f>L4</f>
        <v>49570.44</v>
      </c>
      <c r="M5" s="108">
        <v>6.8</v>
      </c>
    </row>
    <row r="6" spans="1:41" ht="34.5" customHeight="1" x14ac:dyDescent="0.2">
      <c r="A6" s="132" t="s">
        <v>72</v>
      </c>
      <c r="B6" s="105"/>
      <c r="C6" s="111"/>
      <c r="D6" s="111"/>
      <c r="E6" s="111"/>
      <c r="F6" s="111"/>
      <c r="G6" s="107"/>
      <c r="H6" s="107"/>
      <c r="I6" s="108">
        <v>19.399999999999999</v>
      </c>
      <c r="J6" s="109">
        <f>'Ceny za léčbu'!K9</f>
        <v>1692151.0320000001</v>
      </c>
      <c r="K6" s="110">
        <f t="shared" si="0"/>
        <v>130363.53904761908</v>
      </c>
      <c r="L6" s="109">
        <f>L5</f>
        <v>49570.44</v>
      </c>
      <c r="M6" s="108">
        <v>6.8</v>
      </c>
    </row>
    <row r="7" spans="1:41" ht="35.25" customHeight="1" x14ac:dyDescent="0.2">
      <c r="A7" s="33" t="s">
        <v>73</v>
      </c>
      <c r="B7" s="105"/>
      <c r="C7" s="106"/>
      <c r="D7" s="112"/>
      <c r="E7" s="106"/>
      <c r="F7" s="112"/>
      <c r="G7" s="107"/>
      <c r="H7" s="107"/>
      <c r="I7" s="108">
        <v>37.799999999999997</v>
      </c>
      <c r="J7" s="109">
        <f>'Ceny za léčbu'!K13</f>
        <v>2781182.0836799997</v>
      </c>
      <c r="K7" s="110">
        <f t="shared" si="0"/>
        <v>88116.504634838711</v>
      </c>
      <c r="L7" s="109">
        <f t="shared" ref="L7:L12" si="1">L6</f>
        <v>49570.44</v>
      </c>
      <c r="M7" s="108">
        <v>6.8</v>
      </c>
    </row>
    <row r="8" spans="1:41" ht="36.75" customHeight="1" x14ac:dyDescent="0.2">
      <c r="A8" s="33" t="s">
        <v>73</v>
      </c>
      <c r="B8" s="105"/>
      <c r="C8" s="106"/>
      <c r="D8" s="112"/>
      <c r="E8" s="106"/>
      <c r="F8" s="112"/>
      <c r="G8" s="107"/>
      <c r="H8" s="107"/>
      <c r="I8" s="108">
        <v>26.2</v>
      </c>
      <c r="J8" s="109">
        <f>'Ceny za léčbu'!K14</f>
        <v>1927697.63472</v>
      </c>
      <c r="K8" s="110">
        <f t="shared" si="0"/>
        <v>96810.680140206197</v>
      </c>
      <c r="L8" s="109">
        <f t="shared" si="1"/>
        <v>49570.44</v>
      </c>
      <c r="M8" s="108">
        <v>6.8</v>
      </c>
    </row>
    <row r="9" spans="1:41" ht="35.25" customHeight="1" x14ac:dyDescent="0.2">
      <c r="A9" s="33" t="s">
        <v>73</v>
      </c>
      <c r="B9" s="105"/>
      <c r="C9" s="106"/>
      <c r="D9" s="112"/>
      <c r="E9" s="106"/>
      <c r="F9" s="112"/>
      <c r="G9" s="107"/>
      <c r="H9" s="107"/>
      <c r="I9" s="113">
        <v>52.3</v>
      </c>
      <c r="J9" s="114">
        <f>'Ceny za léčbu'!K15</f>
        <v>3848037.6448799996</v>
      </c>
      <c r="K9" s="110">
        <f t="shared" si="0"/>
        <v>83482.795711648345</v>
      </c>
      <c r="L9" s="109">
        <f t="shared" si="1"/>
        <v>49570.44</v>
      </c>
      <c r="M9" s="108">
        <v>6.8</v>
      </c>
    </row>
    <row r="10" spans="1:41" ht="36.75" customHeight="1" x14ac:dyDescent="0.2">
      <c r="A10" s="38" t="s">
        <v>74</v>
      </c>
      <c r="B10" s="105"/>
      <c r="C10" s="106"/>
      <c r="D10" s="112"/>
      <c r="E10" s="106"/>
      <c r="F10" s="112"/>
      <c r="G10" s="107"/>
      <c r="H10" s="107"/>
      <c r="I10" s="108">
        <v>32.4</v>
      </c>
      <c r="J10" s="114">
        <f>'Ceny za léčbu'!K19</f>
        <v>2238642.4970520004</v>
      </c>
      <c r="K10" s="110">
        <f t="shared" si="0"/>
        <v>85510.627228593774</v>
      </c>
      <c r="L10" s="109">
        <f t="shared" si="1"/>
        <v>49570.44</v>
      </c>
      <c r="M10" s="108">
        <v>6.8</v>
      </c>
    </row>
    <row r="11" spans="1:41" ht="37.5" customHeight="1" x14ac:dyDescent="0.2">
      <c r="A11" s="38" t="s">
        <v>74</v>
      </c>
      <c r="B11" s="105"/>
      <c r="C11" s="106"/>
      <c r="D11" s="112"/>
      <c r="E11" s="106"/>
      <c r="F11" s="112"/>
      <c r="G11" s="107"/>
      <c r="H11" s="107"/>
      <c r="I11" s="113">
        <v>22.7</v>
      </c>
      <c r="J11" s="114">
        <f>'Ceny za léčbu'!K20</f>
        <v>1568431.6260210001</v>
      </c>
      <c r="K11" s="110">
        <f t="shared" si="0"/>
        <v>95525.860756037757</v>
      </c>
      <c r="L11" s="109">
        <f t="shared" si="1"/>
        <v>49570.44</v>
      </c>
      <c r="M11" s="108">
        <v>6.8</v>
      </c>
    </row>
    <row r="12" spans="1:41" ht="35.25" customHeight="1" x14ac:dyDescent="0.2">
      <c r="A12" s="38" t="s">
        <v>74</v>
      </c>
      <c r="B12" s="105"/>
      <c r="C12" s="106"/>
      <c r="D12" s="112"/>
      <c r="E12" s="106"/>
      <c r="F12" s="112"/>
      <c r="G12" s="107"/>
      <c r="H12" s="107"/>
      <c r="I12" s="108">
        <v>48.6</v>
      </c>
      <c r="J12" s="114">
        <f>'Ceny za léčbu'!K21</f>
        <v>3357963.7455780003</v>
      </c>
      <c r="K12" s="110">
        <f t="shared" si="0"/>
        <v>79148.165205215308</v>
      </c>
      <c r="L12" s="109">
        <f t="shared" si="1"/>
        <v>49570.44</v>
      </c>
      <c r="M12" s="108">
        <v>6.8</v>
      </c>
    </row>
    <row r="13" spans="1:41" ht="37.5" customHeight="1" x14ac:dyDescent="0.2">
      <c r="A13" s="104"/>
      <c r="B13" s="105"/>
      <c r="C13" s="105"/>
      <c r="D13" s="112"/>
      <c r="E13" s="105"/>
      <c r="F13" s="112"/>
      <c r="G13" s="107"/>
      <c r="H13" s="107"/>
      <c r="I13" s="113"/>
      <c r="J13" s="114"/>
      <c r="K13" s="110"/>
      <c r="L13" s="109"/>
      <c r="M13" s="108"/>
    </row>
    <row r="14" spans="1:41" ht="38.25" customHeight="1" x14ac:dyDescent="0.2">
      <c r="A14" s="104"/>
      <c r="B14" s="105"/>
      <c r="C14" s="105"/>
      <c r="D14" s="112"/>
      <c r="E14" s="105"/>
      <c r="F14" s="112"/>
      <c r="G14" s="107"/>
      <c r="H14" s="107"/>
      <c r="I14" s="113"/>
      <c r="J14" s="114"/>
      <c r="K14" s="110"/>
      <c r="L14" s="109"/>
      <c r="M14" s="108"/>
      <c r="AO14" s="98" t="s">
        <v>61</v>
      </c>
    </row>
    <row r="15" spans="1:41" ht="37.5" customHeight="1" x14ac:dyDescent="0.2">
      <c r="A15" s="104"/>
      <c r="B15" s="105"/>
      <c r="C15" s="105"/>
      <c r="D15" s="112"/>
      <c r="E15" s="105"/>
      <c r="F15" s="112"/>
      <c r="G15" s="107"/>
      <c r="H15" s="107"/>
      <c r="I15" s="113"/>
      <c r="J15" s="114"/>
      <c r="K15" s="110"/>
      <c r="L15" s="109"/>
      <c r="M15" s="108"/>
    </row>
    <row r="16" spans="1:41" ht="36" customHeight="1" x14ac:dyDescent="0.2">
      <c r="A16" s="104"/>
      <c r="B16" s="105"/>
      <c r="C16" s="105"/>
      <c r="D16" s="112"/>
      <c r="E16" s="105"/>
      <c r="F16" s="112"/>
      <c r="G16" s="107"/>
      <c r="H16" s="107"/>
      <c r="I16" s="113"/>
      <c r="J16" s="114"/>
      <c r="K16" s="110"/>
      <c r="L16" s="109"/>
      <c r="M16" s="108"/>
    </row>
    <row r="17" spans="1:13" ht="34.5" customHeight="1" x14ac:dyDescent="0.2">
      <c r="A17" s="104"/>
      <c r="B17" s="115"/>
      <c r="C17" s="105"/>
      <c r="D17" s="112"/>
      <c r="E17" s="105"/>
      <c r="F17" s="112"/>
      <c r="G17" s="107"/>
      <c r="H17" s="107"/>
      <c r="I17" s="113"/>
      <c r="J17" s="114"/>
      <c r="K17" s="110"/>
      <c r="L17" s="109"/>
      <c r="M17" s="108"/>
    </row>
    <row r="18" spans="1:13" ht="36.75" customHeight="1" x14ac:dyDescent="0.2">
      <c r="A18" s="104"/>
      <c r="B18" s="115"/>
      <c r="C18" s="105"/>
      <c r="D18" s="112"/>
      <c r="E18" s="105"/>
      <c r="F18" s="112"/>
      <c r="G18" s="107"/>
      <c r="H18" s="107"/>
      <c r="I18" s="113"/>
      <c r="J18" s="114"/>
      <c r="K18" s="110"/>
      <c r="L18" s="109"/>
      <c r="M18" s="108"/>
    </row>
    <row r="19" spans="1:13" ht="15" x14ac:dyDescent="0.2">
      <c r="A19" s="104"/>
      <c r="B19" s="115"/>
      <c r="C19" s="105"/>
      <c r="D19" s="112"/>
      <c r="E19" s="105"/>
      <c r="F19" s="112"/>
      <c r="G19" s="107"/>
      <c r="H19" s="107"/>
      <c r="I19" s="113"/>
      <c r="J19" s="114"/>
      <c r="K19" s="110"/>
      <c r="L19" s="109"/>
      <c r="M19" s="10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864A2-8DDE-49CF-9895-E522EB6A466A}">
  <dimension ref="A1:AX37"/>
  <sheetViews>
    <sheetView topLeftCell="N1" zoomScaleNormal="100" workbookViewId="0">
      <selection activeCell="J12" sqref="J12"/>
    </sheetView>
  </sheetViews>
  <sheetFormatPr defaultRowHeight="15" x14ac:dyDescent="0.25"/>
  <cols>
    <col min="1" max="1" width="3.28515625" customWidth="1"/>
    <col min="2" max="3" width="2.85546875" customWidth="1"/>
    <col min="4" max="4" width="28.42578125" customWidth="1"/>
    <col min="5" max="5" width="11.85546875" hidden="1" customWidth="1"/>
    <col min="6" max="7" width="9.85546875" hidden="1" customWidth="1"/>
    <col min="8" max="8" width="10.28515625" hidden="1" customWidth="1"/>
    <col min="9" max="9" width="13" customWidth="1"/>
    <col min="10" max="10" width="11.140625" customWidth="1"/>
    <col min="11" max="11" width="12.5703125" customWidth="1"/>
    <col min="12" max="12" width="11.7109375" hidden="1" customWidth="1"/>
    <col min="13" max="13" width="9.85546875" customWidth="1"/>
    <col min="27" max="27" width="10.42578125" style="23" customWidth="1"/>
  </cols>
  <sheetData>
    <row r="1" spans="1:50" ht="30" customHeight="1" x14ac:dyDescent="0.25">
      <c r="D1" s="23"/>
      <c r="E1" s="116" t="s">
        <v>62</v>
      </c>
      <c r="F1" s="117" t="s">
        <v>63</v>
      </c>
      <c r="G1" s="117" t="s">
        <v>64</v>
      </c>
      <c r="H1" s="117" t="s">
        <v>65</v>
      </c>
      <c r="I1" s="118" t="s">
        <v>66</v>
      </c>
      <c r="J1" s="118" t="s">
        <v>66</v>
      </c>
      <c r="K1" s="118" t="s">
        <v>66</v>
      </c>
      <c r="L1" s="116" t="s">
        <v>67</v>
      </c>
      <c r="M1" s="119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</row>
    <row r="2" spans="1:50" ht="21.75" customHeight="1" x14ac:dyDescent="0.25">
      <c r="D2" s="104"/>
      <c r="E2" s="120">
        <f t="shared" ref="E2:E3" si="0">L2-M2</f>
        <v>1228532.7039999999</v>
      </c>
      <c r="F2" s="121"/>
      <c r="G2" s="121"/>
      <c r="H2" s="121"/>
      <c r="I2" s="120"/>
      <c r="J2" s="120"/>
      <c r="K2" s="120"/>
      <c r="L2" s="122">
        <f>[1]CMA!P5</f>
        <v>1228532.7039999999</v>
      </c>
      <c r="M2" s="1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</row>
    <row r="3" spans="1:50" ht="36" x14ac:dyDescent="0.25">
      <c r="A3">
        <v>3</v>
      </c>
      <c r="B3">
        <v>3</v>
      </c>
      <c r="C3">
        <v>3</v>
      </c>
      <c r="D3" s="104" t="s">
        <v>76</v>
      </c>
      <c r="E3" s="120">
        <f t="shared" si="0"/>
        <v>1125788.96</v>
      </c>
      <c r="F3" s="121"/>
      <c r="G3" s="121"/>
      <c r="H3" s="121"/>
      <c r="I3" s="120">
        <f>'CEA eff.front.1.linie'!$K$4</f>
        <v>151171.88752941179</v>
      </c>
      <c r="J3" s="120">
        <f>'CEA eff.front.1.linie'!$K$5</f>
        <v>177816.72399999999</v>
      </c>
      <c r="K3" s="120">
        <f>'CEA eff.front.1.linie'!$K$6</f>
        <v>130363.53904761908</v>
      </c>
      <c r="L3" s="122">
        <f>[1]CMA!P6</f>
        <v>1125788.96</v>
      </c>
      <c r="M3" s="1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</row>
    <row r="4" spans="1:50" ht="36" customHeight="1" x14ac:dyDescent="0.25">
      <c r="A4">
        <v>2</v>
      </c>
      <c r="B4">
        <v>2</v>
      </c>
      <c r="C4">
        <v>2</v>
      </c>
      <c r="D4" s="104" t="s">
        <v>90</v>
      </c>
      <c r="E4" s="120" t="e">
        <f>#REF!-#REF!</f>
        <v>#REF!</v>
      </c>
      <c r="F4" s="121"/>
      <c r="G4" s="121"/>
      <c r="H4" s="121"/>
      <c r="I4" s="120">
        <f>'CEA eff.front.1.linie'!K7</f>
        <v>88116.504634838711</v>
      </c>
      <c r="J4" s="120">
        <f>'CEA eff.front.1.linie'!K8</f>
        <v>96810.680140206197</v>
      </c>
      <c r="K4" s="120">
        <f>'CEA eff.front.1.linie'!K9</f>
        <v>83482.795711648345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</row>
    <row r="5" spans="1:50" ht="34.5" customHeight="1" x14ac:dyDescent="0.25">
      <c r="A5">
        <v>1</v>
      </c>
      <c r="B5">
        <v>1</v>
      </c>
      <c r="C5">
        <v>1</v>
      </c>
      <c r="D5" s="104" t="s">
        <v>75</v>
      </c>
      <c r="E5" s="120" t="e">
        <f>#REF!-#REF!</f>
        <v>#REF!</v>
      </c>
      <c r="F5" s="121"/>
      <c r="G5" s="121"/>
      <c r="H5" s="121"/>
      <c r="I5" s="120">
        <f>'CEA eff.front.1.linie'!K10</f>
        <v>85510.627228593774</v>
      </c>
      <c r="J5" s="120">
        <f>'CEA eff.front.1.linie'!K11</f>
        <v>95525.860756037757</v>
      </c>
      <c r="K5" s="120">
        <f>'CEA eff.front.1.linie'!K12</f>
        <v>79148.165205215308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</row>
    <row r="6" spans="1:50" ht="10.5" customHeight="1" x14ac:dyDescent="0.25">
      <c r="D6" s="124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125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</row>
    <row r="7" spans="1:50" ht="12" customHeight="1" x14ac:dyDescent="0.25">
      <c r="D7" s="25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125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</row>
    <row r="8" spans="1:50" x14ac:dyDescent="0.25"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125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</row>
    <row r="9" spans="1:50" x14ac:dyDescent="0.25"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</row>
    <row r="10" spans="1:50" x14ac:dyDescent="0.25"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</row>
    <row r="11" spans="1:50" x14ac:dyDescent="0.25"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</row>
    <row r="12" spans="1:50" x14ac:dyDescent="0.25"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</row>
    <row r="13" spans="1:50" x14ac:dyDescent="0.25"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</row>
    <row r="14" spans="1:50" x14ac:dyDescent="0.25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</row>
    <row r="15" spans="1:50" x14ac:dyDescent="0.25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</row>
    <row r="16" spans="1:50" x14ac:dyDescent="0.25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</row>
    <row r="17" spans="4:50" x14ac:dyDescent="0.25"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</row>
    <row r="18" spans="4:50" x14ac:dyDescent="0.25"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</row>
    <row r="19" spans="4:50" x14ac:dyDescent="0.25"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</row>
    <row r="20" spans="4:50" x14ac:dyDescent="0.25"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</row>
    <row r="21" spans="4:50" x14ac:dyDescent="0.25"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</row>
    <row r="22" spans="4:50" x14ac:dyDescent="0.25"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</row>
    <row r="23" spans="4:50" x14ac:dyDescent="0.25"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</row>
    <row r="24" spans="4:50" ht="10.5" customHeight="1" x14ac:dyDescent="0.25">
      <c r="D24" s="125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</row>
    <row r="25" spans="4:50" x14ac:dyDescent="0.25"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</row>
    <row r="26" spans="4:50" x14ac:dyDescent="0.25"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</row>
    <row r="27" spans="4:50" x14ac:dyDescent="0.25"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</row>
    <row r="28" spans="4:50" x14ac:dyDescent="0.25"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</row>
    <row r="29" spans="4:50" x14ac:dyDescent="0.25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</row>
    <row r="30" spans="4:50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</row>
    <row r="31" spans="4:50" x14ac:dyDescent="0.25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</row>
    <row r="32" spans="4:50" ht="4.5" customHeight="1" x14ac:dyDescent="0.25"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</row>
    <row r="33" spans="4:50" ht="10.5" customHeight="1" x14ac:dyDescent="0.25"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126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</row>
    <row r="34" spans="4:50" ht="12" customHeight="1" x14ac:dyDescent="0.25">
      <c r="N34" s="127"/>
    </row>
    <row r="35" spans="4:50" ht="12" customHeight="1" x14ac:dyDescent="0.25">
      <c r="N35" s="128"/>
    </row>
    <row r="36" spans="4:50" ht="12.75" customHeight="1" x14ac:dyDescent="0.25">
      <c r="N36" s="127"/>
    </row>
    <row r="37" spans="4:50" ht="12" customHeight="1" x14ac:dyDescent="0.25">
      <c r="N37" s="12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B4495-CBEF-4DD5-84DC-FEA9E3B5B2CB}">
  <dimension ref="A1:AO19"/>
  <sheetViews>
    <sheetView topLeftCell="N2" zoomScale="80" zoomScaleNormal="80" workbookViewId="0">
      <selection activeCell="L3" sqref="L3"/>
    </sheetView>
  </sheetViews>
  <sheetFormatPr defaultRowHeight="12.75" x14ac:dyDescent="0.2"/>
  <cols>
    <col min="1" max="1" width="26.5703125" style="98" customWidth="1"/>
    <col min="2" max="2" width="2" style="98" customWidth="1"/>
    <col min="3" max="3" width="11.5703125" style="98" hidden="1" customWidth="1"/>
    <col min="4" max="4" width="13.5703125" style="98" hidden="1" customWidth="1"/>
    <col min="5" max="5" width="11" style="98" hidden="1" customWidth="1"/>
    <col min="6" max="6" width="12.28515625" style="98" hidden="1" customWidth="1"/>
    <col min="7" max="7" width="3" style="98" customWidth="1"/>
    <col min="8" max="8" width="2.5703125" style="98" customWidth="1"/>
    <col min="9" max="9" width="9.7109375" style="98" customWidth="1"/>
    <col min="10" max="10" width="34.7109375" style="98" customWidth="1"/>
    <col min="11" max="11" width="14.28515625" style="98" customWidth="1"/>
    <col min="12" max="12" width="12.5703125" style="98" customWidth="1"/>
    <col min="13" max="13" width="6.28515625" style="98" customWidth="1"/>
    <col min="14" max="256" width="9.140625" style="98"/>
    <col min="257" max="257" width="43.140625" style="98" customWidth="1"/>
    <col min="258" max="258" width="17" style="98" customWidth="1"/>
    <col min="259" max="262" width="0" style="98" hidden="1" customWidth="1"/>
    <col min="263" max="264" width="16.28515625" style="98" customWidth="1"/>
    <col min="265" max="265" width="10.28515625" style="98" customWidth="1"/>
    <col min="266" max="266" width="16.28515625" style="98" customWidth="1"/>
    <col min="267" max="267" width="14.85546875" style="98" customWidth="1"/>
    <col min="268" max="268" width="15" style="98" customWidth="1"/>
    <col min="269" max="269" width="15.28515625" style="98" customWidth="1"/>
    <col min="270" max="512" width="9.140625" style="98"/>
    <col min="513" max="513" width="43.140625" style="98" customWidth="1"/>
    <col min="514" max="514" width="17" style="98" customWidth="1"/>
    <col min="515" max="518" width="0" style="98" hidden="1" customWidth="1"/>
    <col min="519" max="520" width="16.28515625" style="98" customWidth="1"/>
    <col min="521" max="521" width="10.28515625" style="98" customWidth="1"/>
    <col min="522" max="522" width="16.28515625" style="98" customWidth="1"/>
    <col min="523" max="523" width="14.85546875" style="98" customWidth="1"/>
    <col min="524" max="524" width="15" style="98" customWidth="1"/>
    <col min="525" max="525" width="15.28515625" style="98" customWidth="1"/>
    <col min="526" max="768" width="9.140625" style="98"/>
    <col min="769" max="769" width="43.140625" style="98" customWidth="1"/>
    <col min="770" max="770" width="17" style="98" customWidth="1"/>
    <col min="771" max="774" width="0" style="98" hidden="1" customWidth="1"/>
    <col min="775" max="776" width="16.28515625" style="98" customWidth="1"/>
    <col min="777" max="777" width="10.28515625" style="98" customWidth="1"/>
    <col min="778" max="778" width="16.28515625" style="98" customWidth="1"/>
    <col min="779" max="779" width="14.85546875" style="98" customWidth="1"/>
    <col min="780" max="780" width="15" style="98" customWidth="1"/>
    <col min="781" max="781" width="15.28515625" style="98" customWidth="1"/>
    <col min="782" max="1024" width="9.140625" style="98"/>
    <col min="1025" max="1025" width="43.140625" style="98" customWidth="1"/>
    <col min="1026" max="1026" width="17" style="98" customWidth="1"/>
    <col min="1027" max="1030" width="0" style="98" hidden="1" customWidth="1"/>
    <col min="1031" max="1032" width="16.28515625" style="98" customWidth="1"/>
    <col min="1033" max="1033" width="10.28515625" style="98" customWidth="1"/>
    <col min="1034" max="1034" width="16.28515625" style="98" customWidth="1"/>
    <col min="1035" max="1035" width="14.85546875" style="98" customWidth="1"/>
    <col min="1036" max="1036" width="15" style="98" customWidth="1"/>
    <col min="1037" max="1037" width="15.28515625" style="98" customWidth="1"/>
    <col min="1038" max="1280" width="9.140625" style="98"/>
    <col min="1281" max="1281" width="43.140625" style="98" customWidth="1"/>
    <col min="1282" max="1282" width="17" style="98" customWidth="1"/>
    <col min="1283" max="1286" width="0" style="98" hidden="1" customWidth="1"/>
    <col min="1287" max="1288" width="16.28515625" style="98" customWidth="1"/>
    <col min="1289" max="1289" width="10.28515625" style="98" customWidth="1"/>
    <col min="1290" max="1290" width="16.28515625" style="98" customWidth="1"/>
    <col min="1291" max="1291" width="14.85546875" style="98" customWidth="1"/>
    <col min="1292" max="1292" width="15" style="98" customWidth="1"/>
    <col min="1293" max="1293" width="15.28515625" style="98" customWidth="1"/>
    <col min="1294" max="1536" width="9.140625" style="98"/>
    <col min="1537" max="1537" width="43.140625" style="98" customWidth="1"/>
    <col min="1538" max="1538" width="17" style="98" customWidth="1"/>
    <col min="1539" max="1542" width="0" style="98" hidden="1" customWidth="1"/>
    <col min="1543" max="1544" width="16.28515625" style="98" customWidth="1"/>
    <col min="1545" max="1545" width="10.28515625" style="98" customWidth="1"/>
    <col min="1546" max="1546" width="16.28515625" style="98" customWidth="1"/>
    <col min="1547" max="1547" width="14.85546875" style="98" customWidth="1"/>
    <col min="1548" max="1548" width="15" style="98" customWidth="1"/>
    <col min="1549" max="1549" width="15.28515625" style="98" customWidth="1"/>
    <col min="1550" max="1792" width="9.140625" style="98"/>
    <col min="1793" max="1793" width="43.140625" style="98" customWidth="1"/>
    <col min="1794" max="1794" width="17" style="98" customWidth="1"/>
    <col min="1795" max="1798" width="0" style="98" hidden="1" customWidth="1"/>
    <col min="1799" max="1800" width="16.28515625" style="98" customWidth="1"/>
    <col min="1801" max="1801" width="10.28515625" style="98" customWidth="1"/>
    <col min="1802" max="1802" width="16.28515625" style="98" customWidth="1"/>
    <col min="1803" max="1803" width="14.85546875" style="98" customWidth="1"/>
    <col min="1804" max="1804" width="15" style="98" customWidth="1"/>
    <col min="1805" max="1805" width="15.28515625" style="98" customWidth="1"/>
    <col min="1806" max="2048" width="9.140625" style="98"/>
    <col min="2049" max="2049" width="43.140625" style="98" customWidth="1"/>
    <col min="2050" max="2050" width="17" style="98" customWidth="1"/>
    <col min="2051" max="2054" width="0" style="98" hidden="1" customWidth="1"/>
    <col min="2055" max="2056" width="16.28515625" style="98" customWidth="1"/>
    <col min="2057" max="2057" width="10.28515625" style="98" customWidth="1"/>
    <col min="2058" max="2058" width="16.28515625" style="98" customWidth="1"/>
    <col min="2059" max="2059" width="14.85546875" style="98" customWidth="1"/>
    <col min="2060" max="2060" width="15" style="98" customWidth="1"/>
    <col min="2061" max="2061" width="15.28515625" style="98" customWidth="1"/>
    <col min="2062" max="2304" width="9.140625" style="98"/>
    <col min="2305" max="2305" width="43.140625" style="98" customWidth="1"/>
    <col min="2306" max="2306" width="17" style="98" customWidth="1"/>
    <col min="2307" max="2310" width="0" style="98" hidden="1" customWidth="1"/>
    <col min="2311" max="2312" width="16.28515625" style="98" customWidth="1"/>
    <col min="2313" max="2313" width="10.28515625" style="98" customWidth="1"/>
    <col min="2314" max="2314" width="16.28515625" style="98" customWidth="1"/>
    <col min="2315" max="2315" width="14.85546875" style="98" customWidth="1"/>
    <col min="2316" max="2316" width="15" style="98" customWidth="1"/>
    <col min="2317" max="2317" width="15.28515625" style="98" customWidth="1"/>
    <col min="2318" max="2560" width="9.140625" style="98"/>
    <col min="2561" max="2561" width="43.140625" style="98" customWidth="1"/>
    <col min="2562" max="2562" width="17" style="98" customWidth="1"/>
    <col min="2563" max="2566" width="0" style="98" hidden="1" customWidth="1"/>
    <col min="2567" max="2568" width="16.28515625" style="98" customWidth="1"/>
    <col min="2569" max="2569" width="10.28515625" style="98" customWidth="1"/>
    <col min="2570" max="2570" width="16.28515625" style="98" customWidth="1"/>
    <col min="2571" max="2571" width="14.85546875" style="98" customWidth="1"/>
    <col min="2572" max="2572" width="15" style="98" customWidth="1"/>
    <col min="2573" max="2573" width="15.28515625" style="98" customWidth="1"/>
    <col min="2574" max="2816" width="9.140625" style="98"/>
    <col min="2817" max="2817" width="43.140625" style="98" customWidth="1"/>
    <col min="2818" max="2818" width="17" style="98" customWidth="1"/>
    <col min="2819" max="2822" width="0" style="98" hidden="1" customWidth="1"/>
    <col min="2823" max="2824" width="16.28515625" style="98" customWidth="1"/>
    <col min="2825" max="2825" width="10.28515625" style="98" customWidth="1"/>
    <col min="2826" max="2826" width="16.28515625" style="98" customWidth="1"/>
    <col min="2827" max="2827" width="14.85546875" style="98" customWidth="1"/>
    <col min="2828" max="2828" width="15" style="98" customWidth="1"/>
    <col min="2829" max="2829" width="15.28515625" style="98" customWidth="1"/>
    <col min="2830" max="3072" width="9.140625" style="98"/>
    <col min="3073" max="3073" width="43.140625" style="98" customWidth="1"/>
    <col min="3074" max="3074" width="17" style="98" customWidth="1"/>
    <col min="3075" max="3078" width="0" style="98" hidden="1" customWidth="1"/>
    <col min="3079" max="3080" width="16.28515625" style="98" customWidth="1"/>
    <col min="3081" max="3081" width="10.28515625" style="98" customWidth="1"/>
    <col min="3082" max="3082" width="16.28515625" style="98" customWidth="1"/>
    <col min="3083" max="3083" width="14.85546875" style="98" customWidth="1"/>
    <col min="3084" max="3084" width="15" style="98" customWidth="1"/>
    <col min="3085" max="3085" width="15.28515625" style="98" customWidth="1"/>
    <col min="3086" max="3328" width="9.140625" style="98"/>
    <col min="3329" max="3329" width="43.140625" style="98" customWidth="1"/>
    <col min="3330" max="3330" width="17" style="98" customWidth="1"/>
    <col min="3331" max="3334" width="0" style="98" hidden="1" customWidth="1"/>
    <col min="3335" max="3336" width="16.28515625" style="98" customWidth="1"/>
    <col min="3337" max="3337" width="10.28515625" style="98" customWidth="1"/>
    <col min="3338" max="3338" width="16.28515625" style="98" customWidth="1"/>
    <col min="3339" max="3339" width="14.85546875" style="98" customWidth="1"/>
    <col min="3340" max="3340" width="15" style="98" customWidth="1"/>
    <col min="3341" max="3341" width="15.28515625" style="98" customWidth="1"/>
    <col min="3342" max="3584" width="9.140625" style="98"/>
    <col min="3585" max="3585" width="43.140625" style="98" customWidth="1"/>
    <col min="3586" max="3586" width="17" style="98" customWidth="1"/>
    <col min="3587" max="3590" width="0" style="98" hidden="1" customWidth="1"/>
    <col min="3591" max="3592" width="16.28515625" style="98" customWidth="1"/>
    <col min="3593" max="3593" width="10.28515625" style="98" customWidth="1"/>
    <col min="3594" max="3594" width="16.28515625" style="98" customWidth="1"/>
    <col min="3595" max="3595" width="14.85546875" style="98" customWidth="1"/>
    <col min="3596" max="3596" width="15" style="98" customWidth="1"/>
    <col min="3597" max="3597" width="15.28515625" style="98" customWidth="1"/>
    <col min="3598" max="3840" width="9.140625" style="98"/>
    <col min="3841" max="3841" width="43.140625" style="98" customWidth="1"/>
    <col min="3842" max="3842" width="17" style="98" customWidth="1"/>
    <col min="3843" max="3846" width="0" style="98" hidden="1" customWidth="1"/>
    <col min="3847" max="3848" width="16.28515625" style="98" customWidth="1"/>
    <col min="3849" max="3849" width="10.28515625" style="98" customWidth="1"/>
    <col min="3850" max="3850" width="16.28515625" style="98" customWidth="1"/>
    <col min="3851" max="3851" width="14.85546875" style="98" customWidth="1"/>
    <col min="3852" max="3852" width="15" style="98" customWidth="1"/>
    <col min="3853" max="3853" width="15.28515625" style="98" customWidth="1"/>
    <col min="3854" max="4096" width="9.140625" style="98"/>
    <col min="4097" max="4097" width="43.140625" style="98" customWidth="1"/>
    <col min="4098" max="4098" width="17" style="98" customWidth="1"/>
    <col min="4099" max="4102" width="0" style="98" hidden="1" customWidth="1"/>
    <col min="4103" max="4104" width="16.28515625" style="98" customWidth="1"/>
    <col min="4105" max="4105" width="10.28515625" style="98" customWidth="1"/>
    <col min="4106" max="4106" width="16.28515625" style="98" customWidth="1"/>
    <col min="4107" max="4107" width="14.85546875" style="98" customWidth="1"/>
    <col min="4108" max="4108" width="15" style="98" customWidth="1"/>
    <col min="4109" max="4109" width="15.28515625" style="98" customWidth="1"/>
    <col min="4110" max="4352" width="9.140625" style="98"/>
    <col min="4353" max="4353" width="43.140625" style="98" customWidth="1"/>
    <col min="4354" max="4354" width="17" style="98" customWidth="1"/>
    <col min="4355" max="4358" width="0" style="98" hidden="1" customWidth="1"/>
    <col min="4359" max="4360" width="16.28515625" style="98" customWidth="1"/>
    <col min="4361" max="4361" width="10.28515625" style="98" customWidth="1"/>
    <col min="4362" max="4362" width="16.28515625" style="98" customWidth="1"/>
    <col min="4363" max="4363" width="14.85546875" style="98" customWidth="1"/>
    <col min="4364" max="4364" width="15" style="98" customWidth="1"/>
    <col min="4365" max="4365" width="15.28515625" style="98" customWidth="1"/>
    <col min="4366" max="4608" width="9.140625" style="98"/>
    <col min="4609" max="4609" width="43.140625" style="98" customWidth="1"/>
    <col min="4610" max="4610" width="17" style="98" customWidth="1"/>
    <col min="4611" max="4614" width="0" style="98" hidden="1" customWidth="1"/>
    <col min="4615" max="4616" width="16.28515625" style="98" customWidth="1"/>
    <col min="4617" max="4617" width="10.28515625" style="98" customWidth="1"/>
    <col min="4618" max="4618" width="16.28515625" style="98" customWidth="1"/>
    <col min="4619" max="4619" width="14.85546875" style="98" customWidth="1"/>
    <col min="4620" max="4620" width="15" style="98" customWidth="1"/>
    <col min="4621" max="4621" width="15.28515625" style="98" customWidth="1"/>
    <col min="4622" max="4864" width="9.140625" style="98"/>
    <col min="4865" max="4865" width="43.140625" style="98" customWidth="1"/>
    <col min="4866" max="4866" width="17" style="98" customWidth="1"/>
    <col min="4867" max="4870" width="0" style="98" hidden="1" customWidth="1"/>
    <col min="4871" max="4872" width="16.28515625" style="98" customWidth="1"/>
    <col min="4873" max="4873" width="10.28515625" style="98" customWidth="1"/>
    <col min="4874" max="4874" width="16.28515625" style="98" customWidth="1"/>
    <col min="4875" max="4875" width="14.85546875" style="98" customWidth="1"/>
    <col min="4876" max="4876" width="15" style="98" customWidth="1"/>
    <col min="4877" max="4877" width="15.28515625" style="98" customWidth="1"/>
    <col min="4878" max="5120" width="9.140625" style="98"/>
    <col min="5121" max="5121" width="43.140625" style="98" customWidth="1"/>
    <col min="5122" max="5122" width="17" style="98" customWidth="1"/>
    <col min="5123" max="5126" width="0" style="98" hidden="1" customWidth="1"/>
    <col min="5127" max="5128" width="16.28515625" style="98" customWidth="1"/>
    <col min="5129" max="5129" width="10.28515625" style="98" customWidth="1"/>
    <col min="5130" max="5130" width="16.28515625" style="98" customWidth="1"/>
    <col min="5131" max="5131" width="14.85546875" style="98" customWidth="1"/>
    <col min="5132" max="5132" width="15" style="98" customWidth="1"/>
    <col min="5133" max="5133" width="15.28515625" style="98" customWidth="1"/>
    <col min="5134" max="5376" width="9.140625" style="98"/>
    <col min="5377" max="5377" width="43.140625" style="98" customWidth="1"/>
    <col min="5378" max="5378" width="17" style="98" customWidth="1"/>
    <col min="5379" max="5382" width="0" style="98" hidden="1" customWidth="1"/>
    <col min="5383" max="5384" width="16.28515625" style="98" customWidth="1"/>
    <col min="5385" max="5385" width="10.28515625" style="98" customWidth="1"/>
    <col min="5386" max="5386" width="16.28515625" style="98" customWidth="1"/>
    <col min="5387" max="5387" width="14.85546875" style="98" customWidth="1"/>
    <col min="5388" max="5388" width="15" style="98" customWidth="1"/>
    <col min="5389" max="5389" width="15.28515625" style="98" customWidth="1"/>
    <col min="5390" max="5632" width="9.140625" style="98"/>
    <col min="5633" max="5633" width="43.140625" style="98" customWidth="1"/>
    <col min="5634" max="5634" width="17" style="98" customWidth="1"/>
    <col min="5635" max="5638" width="0" style="98" hidden="1" customWidth="1"/>
    <col min="5639" max="5640" width="16.28515625" style="98" customWidth="1"/>
    <col min="5641" max="5641" width="10.28515625" style="98" customWidth="1"/>
    <col min="5642" max="5642" width="16.28515625" style="98" customWidth="1"/>
    <col min="5643" max="5643" width="14.85546875" style="98" customWidth="1"/>
    <col min="5644" max="5644" width="15" style="98" customWidth="1"/>
    <col min="5645" max="5645" width="15.28515625" style="98" customWidth="1"/>
    <col min="5646" max="5888" width="9.140625" style="98"/>
    <col min="5889" max="5889" width="43.140625" style="98" customWidth="1"/>
    <col min="5890" max="5890" width="17" style="98" customWidth="1"/>
    <col min="5891" max="5894" width="0" style="98" hidden="1" customWidth="1"/>
    <col min="5895" max="5896" width="16.28515625" style="98" customWidth="1"/>
    <col min="5897" max="5897" width="10.28515625" style="98" customWidth="1"/>
    <col min="5898" max="5898" width="16.28515625" style="98" customWidth="1"/>
    <col min="5899" max="5899" width="14.85546875" style="98" customWidth="1"/>
    <col min="5900" max="5900" width="15" style="98" customWidth="1"/>
    <col min="5901" max="5901" width="15.28515625" style="98" customWidth="1"/>
    <col min="5902" max="6144" width="9.140625" style="98"/>
    <col min="6145" max="6145" width="43.140625" style="98" customWidth="1"/>
    <col min="6146" max="6146" width="17" style="98" customWidth="1"/>
    <col min="6147" max="6150" width="0" style="98" hidden="1" customWidth="1"/>
    <col min="6151" max="6152" width="16.28515625" style="98" customWidth="1"/>
    <col min="6153" max="6153" width="10.28515625" style="98" customWidth="1"/>
    <col min="6154" max="6154" width="16.28515625" style="98" customWidth="1"/>
    <col min="6155" max="6155" width="14.85546875" style="98" customWidth="1"/>
    <col min="6156" max="6156" width="15" style="98" customWidth="1"/>
    <col min="6157" max="6157" width="15.28515625" style="98" customWidth="1"/>
    <col min="6158" max="6400" width="9.140625" style="98"/>
    <col min="6401" max="6401" width="43.140625" style="98" customWidth="1"/>
    <col min="6402" max="6402" width="17" style="98" customWidth="1"/>
    <col min="6403" max="6406" width="0" style="98" hidden="1" customWidth="1"/>
    <col min="6407" max="6408" width="16.28515625" style="98" customWidth="1"/>
    <col min="6409" max="6409" width="10.28515625" style="98" customWidth="1"/>
    <col min="6410" max="6410" width="16.28515625" style="98" customWidth="1"/>
    <col min="6411" max="6411" width="14.85546875" style="98" customWidth="1"/>
    <col min="6412" max="6412" width="15" style="98" customWidth="1"/>
    <col min="6413" max="6413" width="15.28515625" style="98" customWidth="1"/>
    <col min="6414" max="6656" width="9.140625" style="98"/>
    <col min="6657" max="6657" width="43.140625" style="98" customWidth="1"/>
    <col min="6658" max="6658" width="17" style="98" customWidth="1"/>
    <col min="6659" max="6662" width="0" style="98" hidden="1" customWidth="1"/>
    <col min="6663" max="6664" width="16.28515625" style="98" customWidth="1"/>
    <col min="6665" max="6665" width="10.28515625" style="98" customWidth="1"/>
    <col min="6666" max="6666" width="16.28515625" style="98" customWidth="1"/>
    <col min="6667" max="6667" width="14.85546875" style="98" customWidth="1"/>
    <col min="6668" max="6668" width="15" style="98" customWidth="1"/>
    <col min="6669" max="6669" width="15.28515625" style="98" customWidth="1"/>
    <col min="6670" max="6912" width="9.140625" style="98"/>
    <col min="6913" max="6913" width="43.140625" style="98" customWidth="1"/>
    <col min="6914" max="6914" width="17" style="98" customWidth="1"/>
    <col min="6915" max="6918" width="0" style="98" hidden="1" customWidth="1"/>
    <col min="6919" max="6920" width="16.28515625" style="98" customWidth="1"/>
    <col min="6921" max="6921" width="10.28515625" style="98" customWidth="1"/>
    <col min="6922" max="6922" width="16.28515625" style="98" customWidth="1"/>
    <col min="6923" max="6923" width="14.85546875" style="98" customWidth="1"/>
    <col min="6924" max="6924" width="15" style="98" customWidth="1"/>
    <col min="6925" max="6925" width="15.28515625" style="98" customWidth="1"/>
    <col min="6926" max="7168" width="9.140625" style="98"/>
    <col min="7169" max="7169" width="43.140625" style="98" customWidth="1"/>
    <col min="7170" max="7170" width="17" style="98" customWidth="1"/>
    <col min="7171" max="7174" width="0" style="98" hidden="1" customWidth="1"/>
    <col min="7175" max="7176" width="16.28515625" style="98" customWidth="1"/>
    <col min="7177" max="7177" width="10.28515625" style="98" customWidth="1"/>
    <col min="7178" max="7178" width="16.28515625" style="98" customWidth="1"/>
    <col min="7179" max="7179" width="14.85546875" style="98" customWidth="1"/>
    <col min="7180" max="7180" width="15" style="98" customWidth="1"/>
    <col min="7181" max="7181" width="15.28515625" style="98" customWidth="1"/>
    <col min="7182" max="7424" width="9.140625" style="98"/>
    <col min="7425" max="7425" width="43.140625" style="98" customWidth="1"/>
    <col min="7426" max="7426" width="17" style="98" customWidth="1"/>
    <col min="7427" max="7430" width="0" style="98" hidden="1" customWidth="1"/>
    <col min="7431" max="7432" width="16.28515625" style="98" customWidth="1"/>
    <col min="7433" max="7433" width="10.28515625" style="98" customWidth="1"/>
    <col min="7434" max="7434" width="16.28515625" style="98" customWidth="1"/>
    <col min="7435" max="7435" width="14.85546875" style="98" customWidth="1"/>
    <col min="7436" max="7436" width="15" style="98" customWidth="1"/>
    <col min="7437" max="7437" width="15.28515625" style="98" customWidth="1"/>
    <col min="7438" max="7680" width="9.140625" style="98"/>
    <col min="7681" max="7681" width="43.140625" style="98" customWidth="1"/>
    <col min="7682" max="7682" width="17" style="98" customWidth="1"/>
    <col min="7683" max="7686" width="0" style="98" hidden="1" customWidth="1"/>
    <col min="7687" max="7688" width="16.28515625" style="98" customWidth="1"/>
    <col min="7689" max="7689" width="10.28515625" style="98" customWidth="1"/>
    <col min="7690" max="7690" width="16.28515625" style="98" customWidth="1"/>
    <col min="7691" max="7691" width="14.85546875" style="98" customWidth="1"/>
    <col min="7692" max="7692" width="15" style="98" customWidth="1"/>
    <col min="7693" max="7693" width="15.28515625" style="98" customWidth="1"/>
    <col min="7694" max="7936" width="9.140625" style="98"/>
    <col min="7937" max="7937" width="43.140625" style="98" customWidth="1"/>
    <col min="7938" max="7938" width="17" style="98" customWidth="1"/>
    <col min="7939" max="7942" width="0" style="98" hidden="1" customWidth="1"/>
    <col min="7943" max="7944" width="16.28515625" style="98" customWidth="1"/>
    <col min="7945" max="7945" width="10.28515625" style="98" customWidth="1"/>
    <col min="7946" max="7946" width="16.28515625" style="98" customWidth="1"/>
    <col min="7947" max="7947" width="14.85546875" style="98" customWidth="1"/>
    <col min="7948" max="7948" width="15" style="98" customWidth="1"/>
    <col min="7949" max="7949" width="15.28515625" style="98" customWidth="1"/>
    <col min="7950" max="8192" width="9.140625" style="98"/>
    <col min="8193" max="8193" width="43.140625" style="98" customWidth="1"/>
    <col min="8194" max="8194" width="17" style="98" customWidth="1"/>
    <col min="8195" max="8198" width="0" style="98" hidden="1" customWidth="1"/>
    <col min="8199" max="8200" width="16.28515625" style="98" customWidth="1"/>
    <col min="8201" max="8201" width="10.28515625" style="98" customWidth="1"/>
    <col min="8202" max="8202" width="16.28515625" style="98" customWidth="1"/>
    <col min="8203" max="8203" width="14.85546875" style="98" customWidth="1"/>
    <col min="8204" max="8204" width="15" style="98" customWidth="1"/>
    <col min="8205" max="8205" width="15.28515625" style="98" customWidth="1"/>
    <col min="8206" max="8448" width="9.140625" style="98"/>
    <col min="8449" max="8449" width="43.140625" style="98" customWidth="1"/>
    <col min="8450" max="8450" width="17" style="98" customWidth="1"/>
    <col min="8451" max="8454" width="0" style="98" hidden="1" customWidth="1"/>
    <col min="8455" max="8456" width="16.28515625" style="98" customWidth="1"/>
    <col min="8457" max="8457" width="10.28515625" style="98" customWidth="1"/>
    <col min="8458" max="8458" width="16.28515625" style="98" customWidth="1"/>
    <col min="8459" max="8459" width="14.85546875" style="98" customWidth="1"/>
    <col min="8460" max="8460" width="15" style="98" customWidth="1"/>
    <col min="8461" max="8461" width="15.28515625" style="98" customWidth="1"/>
    <col min="8462" max="8704" width="9.140625" style="98"/>
    <col min="8705" max="8705" width="43.140625" style="98" customWidth="1"/>
    <col min="8706" max="8706" width="17" style="98" customWidth="1"/>
    <col min="8707" max="8710" width="0" style="98" hidden="1" customWidth="1"/>
    <col min="8711" max="8712" width="16.28515625" style="98" customWidth="1"/>
    <col min="8713" max="8713" width="10.28515625" style="98" customWidth="1"/>
    <col min="8714" max="8714" width="16.28515625" style="98" customWidth="1"/>
    <col min="8715" max="8715" width="14.85546875" style="98" customWidth="1"/>
    <col min="8716" max="8716" width="15" style="98" customWidth="1"/>
    <col min="8717" max="8717" width="15.28515625" style="98" customWidth="1"/>
    <col min="8718" max="8960" width="9.140625" style="98"/>
    <col min="8961" max="8961" width="43.140625" style="98" customWidth="1"/>
    <col min="8962" max="8962" width="17" style="98" customWidth="1"/>
    <col min="8963" max="8966" width="0" style="98" hidden="1" customWidth="1"/>
    <col min="8967" max="8968" width="16.28515625" style="98" customWidth="1"/>
    <col min="8969" max="8969" width="10.28515625" style="98" customWidth="1"/>
    <col min="8970" max="8970" width="16.28515625" style="98" customWidth="1"/>
    <col min="8971" max="8971" width="14.85546875" style="98" customWidth="1"/>
    <col min="8972" max="8972" width="15" style="98" customWidth="1"/>
    <col min="8973" max="8973" width="15.28515625" style="98" customWidth="1"/>
    <col min="8974" max="9216" width="9.140625" style="98"/>
    <col min="9217" max="9217" width="43.140625" style="98" customWidth="1"/>
    <col min="9218" max="9218" width="17" style="98" customWidth="1"/>
    <col min="9219" max="9222" width="0" style="98" hidden="1" customWidth="1"/>
    <col min="9223" max="9224" width="16.28515625" style="98" customWidth="1"/>
    <col min="9225" max="9225" width="10.28515625" style="98" customWidth="1"/>
    <col min="9226" max="9226" width="16.28515625" style="98" customWidth="1"/>
    <col min="9227" max="9227" width="14.85546875" style="98" customWidth="1"/>
    <col min="9228" max="9228" width="15" style="98" customWidth="1"/>
    <col min="9229" max="9229" width="15.28515625" style="98" customWidth="1"/>
    <col min="9230" max="9472" width="9.140625" style="98"/>
    <col min="9473" max="9473" width="43.140625" style="98" customWidth="1"/>
    <col min="9474" max="9474" width="17" style="98" customWidth="1"/>
    <col min="9475" max="9478" width="0" style="98" hidden="1" customWidth="1"/>
    <col min="9479" max="9480" width="16.28515625" style="98" customWidth="1"/>
    <col min="9481" max="9481" width="10.28515625" style="98" customWidth="1"/>
    <col min="9482" max="9482" width="16.28515625" style="98" customWidth="1"/>
    <col min="9483" max="9483" width="14.85546875" style="98" customWidth="1"/>
    <col min="9484" max="9484" width="15" style="98" customWidth="1"/>
    <col min="9485" max="9485" width="15.28515625" style="98" customWidth="1"/>
    <col min="9486" max="9728" width="9.140625" style="98"/>
    <col min="9729" max="9729" width="43.140625" style="98" customWidth="1"/>
    <col min="9730" max="9730" width="17" style="98" customWidth="1"/>
    <col min="9731" max="9734" width="0" style="98" hidden="1" customWidth="1"/>
    <col min="9735" max="9736" width="16.28515625" style="98" customWidth="1"/>
    <col min="9737" max="9737" width="10.28515625" style="98" customWidth="1"/>
    <col min="9738" max="9738" width="16.28515625" style="98" customWidth="1"/>
    <col min="9739" max="9739" width="14.85546875" style="98" customWidth="1"/>
    <col min="9740" max="9740" width="15" style="98" customWidth="1"/>
    <col min="9741" max="9741" width="15.28515625" style="98" customWidth="1"/>
    <col min="9742" max="9984" width="9.140625" style="98"/>
    <col min="9985" max="9985" width="43.140625" style="98" customWidth="1"/>
    <col min="9986" max="9986" width="17" style="98" customWidth="1"/>
    <col min="9987" max="9990" width="0" style="98" hidden="1" customWidth="1"/>
    <col min="9991" max="9992" width="16.28515625" style="98" customWidth="1"/>
    <col min="9993" max="9993" width="10.28515625" style="98" customWidth="1"/>
    <col min="9994" max="9994" width="16.28515625" style="98" customWidth="1"/>
    <col min="9995" max="9995" width="14.85546875" style="98" customWidth="1"/>
    <col min="9996" max="9996" width="15" style="98" customWidth="1"/>
    <col min="9997" max="9997" width="15.28515625" style="98" customWidth="1"/>
    <col min="9998" max="10240" width="9.140625" style="98"/>
    <col min="10241" max="10241" width="43.140625" style="98" customWidth="1"/>
    <col min="10242" max="10242" width="17" style="98" customWidth="1"/>
    <col min="10243" max="10246" width="0" style="98" hidden="1" customWidth="1"/>
    <col min="10247" max="10248" width="16.28515625" style="98" customWidth="1"/>
    <col min="10249" max="10249" width="10.28515625" style="98" customWidth="1"/>
    <col min="10250" max="10250" width="16.28515625" style="98" customWidth="1"/>
    <col min="10251" max="10251" width="14.85546875" style="98" customWidth="1"/>
    <col min="10252" max="10252" width="15" style="98" customWidth="1"/>
    <col min="10253" max="10253" width="15.28515625" style="98" customWidth="1"/>
    <col min="10254" max="10496" width="9.140625" style="98"/>
    <col min="10497" max="10497" width="43.140625" style="98" customWidth="1"/>
    <col min="10498" max="10498" width="17" style="98" customWidth="1"/>
    <col min="10499" max="10502" width="0" style="98" hidden="1" customWidth="1"/>
    <col min="10503" max="10504" width="16.28515625" style="98" customWidth="1"/>
    <col min="10505" max="10505" width="10.28515625" style="98" customWidth="1"/>
    <col min="10506" max="10506" width="16.28515625" style="98" customWidth="1"/>
    <col min="10507" max="10507" width="14.85546875" style="98" customWidth="1"/>
    <col min="10508" max="10508" width="15" style="98" customWidth="1"/>
    <col min="10509" max="10509" width="15.28515625" style="98" customWidth="1"/>
    <col min="10510" max="10752" width="9.140625" style="98"/>
    <col min="10753" max="10753" width="43.140625" style="98" customWidth="1"/>
    <col min="10754" max="10754" width="17" style="98" customWidth="1"/>
    <col min="10755" max="10758" width="0" style="98" hidden="1" customWidth="1"/>
    <col min="10759" max="10760" width="16.28515625" style="98" customWidth="1"/>
    <col min="10761" max="10761" width="10.28515625" style="98" customWidth="1"/>
    <col min="10762" max="10762" width="16.28515625" style="98" customWidth="1"/>
    <col min="10763" max="10763" width="14.85546875" style="98" customWidth="1"/>
    <col min="10764" max="10764" width="15" style="98" customWidth="1"/>
    <col min="10765" max="10765" width="15.28515625" style="98" customWidth="1"/>
    <col min="10766" max="11008" width="9.140625" style="98"/>
    <col min="11009" max="11009" width="43.140625" style="98" customWidth="1"/>
    <col min="11010" max="11010" width="17" style="98" customWidth="1"/>
    <col min="11011" max="11014" width="0" style="98" hidden="1" customWidth="1"/>
    <col min="11015" max="11016" width="16.28515625" style="98" customWidth="1"/>
    <col min="11017" max="11017" width="10.28515625" style="98" customWidth="1"/>
    <col min="11018" max="11018" width="16.28515625" style="98" customWidth="1"/>
    <col min="11019" max="11019" width="14.85546875" style="98" customWidth="1"/>
    <col min="11020" max="11020" width="15" style="98" customWidth="1"/>
    <col min="11021" max="11021" width="15.28515625" style="98" customWidth="1"/>
    <col min="11022" max="11264" width="9.140625" style="98"/>
    <col min="11265" max="11265" width="43.140625" style="98" customWidth="1"/>
    <col min="11266" max="11266" width="17" style="98" customWidth="1"/>
    <col min="11267" max="11270" width="0" style="98" hidden="1" customWidth="1"/>
    <col min="11271" max="11272" width="16.28515625" style="98" customWidth="1"/>
    <col min="11273" max="11273" width="10.28515625" style="98" customWidth="1"/>
    <col min="11274" max="11274" width="16.28515625" style="98" customWidth="1"/>
    <col min="11275" max="11275" width="14.85546875" style="98" customWidth="1"/>
    <col min="11276" max="11276" width="15" style="98" customWidth="1"/>
    <col min="11277" max="11277" width="15.28515625" style="98" customWidth="1"/>
    <col min="11278" max="11520" width="9.140625" style="98"/>
    <col min="11521" max="11521" width="43.140625" style="98" customWidth="1"/>
    <col min="11522" max="11522" width="17" style="98" customWidth="1"/>
    <col min="11523" max="11526" width="0" style="98" hidden="1" customWidth="1"/>
    <col min="11527" max="11528" width="16.28515625" style="98" customWidth="1"/>
    <col min="11529" max="11529" width="10.28515625" style="98" customWidth="1"/>
    <col min="11530" max="11530" width="16.28515625" style="98" customWidth="1"/>
    <col min="11531" max="11531" width="14.85546875" style="98" customWidth="1"/>
    <col min="11532" max="11532" width="15" style="98" customWidth="1"/>
    <col min="11533" max="11533" width="15.28515625" style="98" customWidth="1"/>
    <col min="11534" max="11776" width="9.140625" style="98"/>
    <col min="11777" max="11777" width="43.140625" style="98" customWidth="1"/>
    <col min="11778" max="11778" width="17" style="98" customWidth="1"/>
    <col min="11779" max="11782" width="0" style="98" hidden="1" customWidth="1"/>
    <col min="11783" max="11784" width="16.28515625" style="98" customWidth="1"/>
    <col min="11785" max="11785" width="10.28515625" style="98" customWidth="1"/>
    <col min="11786" max="11786" width="16.28515625" style="98" customWidth="1"/>
    <col min="11787" max="11787" width="14.85546875" style="98" customWidth="1"/>
    <col min="11788" max="11788" width="15" style="98" customWidth="1"/>
    <col min="11789" max="11789" width="15.28515625" style="98" customWidth="1"/>
    <col min="11790" max="12032" width="9.140625" style="98"/>
    <col min="12033" max="12033" width="43.140625" style="98" customWidth="1"/>
    <col min="12034" max="12034" width="17" style="98" customWidth="1"/>
    <col min="12035" max="12038" width="0" style="98" hidden="1" customWidth="1"/>
    <col min="12039" max="12040" width="16.28515625" style="98" customWidth="1"/>
    <col min="12041" max="12041" width="10.28515625" style="98" customWidth="1"/>
    <col min="12042" max="12042" width="16.28515625" style="98" customWidth="1"/>
    <col min="12043" max="12043" width="14.85546875" style="98" customWidth="1"/>
    <col min="12044" max="12044" width="15" style="98" customWidth="1"/>
    <col min="12045" max="12045" width="15.28515625" style="98" customWidth="1"/>
    <col min="12046" max="12288" width="9.140625" style="98"/>
    <col min="12289" max="12289" width="43.140625" style="98" customWidth="1"/>
    <col min="12290" max="12290" width="17" style="98" customWidth="1"/>
    <col min="12291" max="12294" width="0" style="98" hidden="1" customWidth="1"/>
    <col min="12295" max="12296" width="16.28515625" style="98" customWidth="1"/>
    <col min="12297" max="12297" width="10.28515625" style="98" customWidth="1"/>
    <col min="12298" max="12298" width="16.28515625" style="98" customWidth="1"/>
    <col min="12299" max="12299" width="14.85546875" style="98" customWidth="1"/>
    <col min="12300" max="12300" width="15" style="98" customWidth="1"/>
    <col min="12301" max="12301" width="15.28515625" style="98" customWidth="1"/>
    <col min="12302" max="12544" width="9.140625" style="98"/>
    <col min="12545" max="12545" width="43.140625" style="98" customWidth="1"/>
    <col min="12546" max="12546" width="17" style="98" customWidth="1"/>
    <col min="12547" max="12550" width="0" style="98" hidden="1" customWidth="1"/>
    <col min="12551" max="12552" width="16.28515625" style="98" customWidth="1"/>
    <col min="12553" max="12553" width="10.28515625" style="98" customWidth="1"/>
    <col min="12554" max="12554" width="16.28515625" style="98" customWidth="1"/>
    <col min="12555" max="12555" width="14.85546875" style="98" customWidth="1"/>
    <col min="12556" max="12556" width="15" style="98" customWidth="1"/>
    <col min="12557" max="12557" width="15.28515625" style="98" customWidth="1"/>
    <col min="12558" max="12800" width="9.140625" style="98"/>
    <col min="12801" max="12801" width="43.140625" style="98" customWidth="1"/>
    <col min="12802" max="12802" width="17" style="98" customWidth="1"/>
    <col min="12803" max="12806" width="0" style="98" hidden="1" customWidth="1"/>
    <col min="12807" max="12808" width="16.28515625" style="98" customWidth="1"/>
    <col min="12809" max="12809" width="10.28515625" style="98" customWidth="1"/>
    <col min="12810" max="12810" width="16.28515625" style="98" customWidth="1"/>
    <col min="12811" max="12811" width="14.85546875" style="98" customWidth="1"/>
    <col min="12812" max="12812" width="15" style="98" customWidth="1"/>
    <col min="12813" max="12813" width="15.28515625" style="98" customWidth="1"/>
    <col min="12814" max="13056" width="9.140625" style="98"/>
    <col min="13057" max="13057" width="43.140625" style="98" customWidth="1"/>
    <col min="13058" max="13058" width="17" style="98" customWidth="1"/>
    <col min="13059" max="13062" width="0" style="98" hidden="1" customWidth="1"/>
    <col min="13063" max="13064" width="16.28515625" style="98" customWidth="1"/>
    <col min="13065" max="13065" width="10.28515625" style="98" customWidth="1"/>
    <col min="13066" max="13066" width="16.28515625" style="98" customWidth="1"/>
    <col min="13067" max="13067" width="14.85546875" style="98" customWidth="1"/>
    <col min="13068" max="13068" width="15" style="98" customWidth="1"/>
    <col min="13069" max="13069" width="15.28515625" style="98" customWidth="1"/>
    <col min="13070" max="13312" width="9.140625" style="98"/>
    <col min="13313" max="13313" width="43.140625" style="98" customWidth="1"/>
    <col min="13314" max="13314" width="17" style="98" customWidth="1"/>
    <col min="13315" max="13318" width="0" style="98" hidden="1" customWidth="1"/>
    <col min="13319" max="13320" width="16.28515625" style="98" customWidth="1"/>
    <col min="13321" max="13321" width="10.28515625" style="98" customWidth="1"/>
    <col min="13322" max="13322" width="16.28515625" style="98" customWidth="1"/>
    <col min="13323" max="13323" width="14.85546875" style="98" customWidth="1"/>
    <col min="13324" max="13324" width="15" style="98" customWidth="1"/>
    <col min="13325" max="13325" width="15.28515625" style="98" customWidth="1"/>
    <col min="13326" max="13568" width="9.140625" style="98"/>
    <col min="13569" max="13569" width="43.140625" style="98" customWidth="1"/>
    <col min="13570" max="13570" width="17" style="98" customWidth="1"/>
    <col min="13571" max="13574" width="0" style="98" hidden="1" customWidth="1"/>
    <col min="13575" max="13576" width="16.28515625" style="98" customWidth="1"/>
    <col min="13577" max="13577" width="10.28515625" style="98" customWidth="1"/>
    <col min="13578" max="13578" width="16.28515625" style="98" customWidth="1"/>
    <col min="13579" max="13579" width="14.85546875" style="98" customWidth="1"/>
    <col min="13580" max="13580" width="15" style="98" customWidth="1"/>
    <col min="13581" max="13581" width="15.28515625" style="98" customWidth="1"/>
    <col min="13582" max="13824" width="9.140625" style="98"/>
    <col min="13825" max="13825" width="43.140625" style="98" customWidth="1"/>
    <col min="13826" max="13826" width="17" style="98" customWidth="1"/>
    <col min="13827" max="13830" width="0" style="98" hidden="1" customWidth="1"/>
    <col min="13831" max="13832" width="16.28515625" style="98" customWidth="1"/>
    <col min="13833" max="13833" width="10.28515625" style="98" customWidth="1"/>
    <col min="13834" max="13834" width="16.28515625" style="98" customWidth="1"/>
    <col min="13835" max="13835" width="14.85546875" style="98" customWidth="1"/>
    <col min="13836" max="13836" width="15" style="98" customWidth="1"/>
    <col min="13837" max="13837" width="15.28515625" style="98" customWidth="1"/>
    <col min="13838" max="14080" width="9.140625" style="98"/>
    <col min="14081" max="14081" width="43.140625" style="98" customWidth="1"/>
    <col min="14082" max="14082" width="17" style="98" customWidth="1"/>
    <col min="14083" max="14086" width="0" style="98" hidden="1" customWidth="1"/>
    <col min="14087" max="14088" width="16.28515625" style="98" customWidth="1"/>
    <col min="14089" max="14089" width="10.28515625" style="98" customWidth="1"/>
    <col min="14090" max="14090" width="16.28515625" style="98" customWidth="1"/>
    <col min="14091" max="14091" width="14.85546875" style="98" customWidth="1"/>
    <col min="14092" max="14092" width="15" style="98" customWidth="1"/>
    <col min="14093" max="14093" width="15.28515625" style="98" customWidth="1"/>
    <col min="14094" max="14336" width="9.140625" style="98"/>
    <col min="14337" max="14337" width="43.140625" style="98" customWidth="1"/>
    <col min="14338" max="14338" width="17" style="98" customWidth="1"/>
    <col min="14339" max="14342" width="0" style="98" hidden="1" customWidth="1"/>
    <col min="14343" max="14344" width="16.28515625" style="98" customWidth="1"/>
    <col min="14345" max="14345" width="10.28515625" style="98" customWidth="1"/>
    <col min="14346" max="14346" width="16.28515625" style="98" customWidth="1"/>
    <col min="14347" max="14347" width="14.85546875" style="98" customWidth="1"/>
    <col min="14348" max="14348" width="15" style="98" customWidth="1"/>
    <col min="14349" max="14349" width="15.28515625" style="98" customWidth="1"/>
    <col min="14350" max="14592" width="9.140625" style="98"/>
    <col min="14593" max="14593" width="43.140625" style="98" customWidth="1"/>
    <col min="14594" max="14594" width="17" style="98" customWidth="1"/>
    <col min="14595" max="14598" width="0" style="98" hidden="1" customWidth="1"/>
    <col min="14599" max="14600" width="16.28515625" style="98" customWidth="1"/>
    <col min="14601" max="14601" width="10.28515625" style="98" customWidth="1"/>
    <col min="14602" max="14602" width="16.28515625" style="98" customWidth="1"/>
    <col min="14603" max="14603" width="14.85546875" style="98" customWidth="1"/>
    <col min="14604" max="14604" width="15" style="98" customWidth="1"/>
    <col min="14605" max="14605" width="15.28515625" style="98" customWidth="1"/>
    <col min="14606" max="14848" width="9.140625" style="98"/>
    <col min="14849" max="14849" width="43.140625" style="98" customWidth="1"/>
    <col min="14850" max="14850" width="17" style="98" customWidth="1"/>
    <col min="14851" max="14854" width="0" style="98" hidden="1" customWidth="1"/>
    <col min="14855" max="14856" width="16.28515625" style="98" customWidth="1"/>
    <col min="14857" max="14857" width="10.28515625" style="98" customWidth="1"/>
    <col min="14858" max="14858" width="16.28515625" style="98" customWidth="1"/>
    <col min="14859" max="14859" width="14.85546875" style="98" customWidth="1"/>
    <col min="14860" max="14860" width="15" style="98" customWidth="1"/>
    <col min="14861" max="14861" width="15.28515625" style="98" customWidth="1"/>
    <col min="14862" max="15104" width="9.140625" style="98"/>
    <col min="15105" max="15105" width="43.140625" style="98" customWidth="1"/>
    <col min="15106" max="15106" width="17" style="98" customWidth="1"/>
    <col min="15107" max="15110" width="0" style="98" hidden="1" customWidth="1"/>
    <col min="15111" max="15112" width="16.28515625" style="98" customWidth="1"/>
    <col min="15113" max="15113" width="10.28515625" style="98" customWidth="1"/>
    <col min="15114" max="15114" width="16.28515625" style="98" customWidth="1"/>
    <col min="15115" max="15115" width="14.85546875" style="98" customWidth="1"/>
    <col min="15116" max="15116" width="15" style="98" customWidth="1"/>
    <col min="15117" max="15117" width="15.28515625" style="98" customWidth="1"/>
    <col min="15118" max="15360" width="9.140625" style="98"/>
    <col min="15361" max="15361" width="43.140625" style="98" customWidth="1"/>
    <col min="15362" max="15362" width="17" style="98" customWidth="1"/>
    <col min="15363" max="15366" width="0" style="98" hidden="1" customWidth="1"/>
    <col min="15367" max="15368" width="16.28515625" style="98" customWidth="1"/>
    <col min="15369" max="15369" width="10.28515625" style="98" customWidth="1"/>
    <col min="15370" max="15370" width="16.28515625" style="98" customWidth="1"/>
    <col min="15371" max="15371" width="14.85546875" style="98" customWidth="1"/>
    <col min="15372" max="15372" width="15" style="98" customWidth="1"/>
    <col min="15373" max="15373" width="15.28515625" style="98" customWidth="1"/>
    <col min="15374" max="15616" width="9.140625" style="98"/>
    <col min="15617" max="15617" width="43.140625" style="98" customWidth="1"/>
    <col min="15618" max="15618" width="17" style="98" customWidth="1"/>
    <col min="15619" max="15622" width="0" style="98" hidden="1" customWidth="1"/>
    <col min="15623" max="15624" width="16.28515625" style="98" customWidth="1"/>
    <col min="15625" max="15625" width="10.28515625" style="98" customWidth="1"/>
    <col min="15626" max="15626" width="16.28515625" style="98" customWidth="1"/>
    <col min="15627" max="15627" width="14.85546875" style="98" customWidth="1"/>
    <col min="15628" max="15628" width="15" style="98" customWidth="1"/>
    <col min="15629" max="15629" width="15.28515625" style="98" customWidth="1"/>
    <col min="15630" max="15872" width="9.140625" style="98"/>
    <col min="15873" max="15873" width="43.140625" style="98" customWidth="1"/>
    <col min="15874" max="15874" width="17" style="98" customWidth="1"/>
    <col min="15875" max="15878" width="0" style="98" hidden="1" customWidth="1"/>
    <col min="15879" max="15880" width="16.28515625" style="98" customWidth="1"/>
    <col min="15881" max="15881" width="10.28515625" style="98" customWidth="1"/>
    <col min="15882" max="15882" width="16.28515625" style="98" customWidth="1"/>
    <col min="15883" max="15883" width="14.85546875" style="98" customWidth="1"/>
    <col min="15884" max="15884" width="15" style="98" customWidth="1"/>
    <col min="15885" max="15885" width="15.28515625" style="98" customWidth="1"/>
    <col min="15886" max="16128" width="9.140625" style="98"/>
    <col min="16129" max="16129" width="43.140625" style="98" customWidth="1"/>
    <col min="16130" max="16130" width="17" style="98" customWidth="1"/>
    <col min="16131" max="16134" width="0" style="98" hidden="1" customWidth="1"/>
    <col min="16135" max="16136" width="16.28515625" style="98" customWidth="1"/>
    <col min="16137" max="16137" width="10.28515625" style="98" customWidth="1"/>
    <col min="16138" max="16138" width="16.28515625" style="98" customWidth="1"/>
    <col min="16139" max="16139" width="14.85546875" style="98" customWidth="1"/>
    <col min="16140" max="16140" width="15" style="98" customWidth="1"/>
    <col min="16141" max="16141" width="15.28515625" style="98" customWidth="1"/>
    <col min="16142" max="16384" width="9.140625" style="98"/>
  </cols>
  <sheetData>
    <row r="1" spans="1:41" ht="8.25" customHeight="1" thickBot="1" x14ac:dyDescent="0.25"/>
    <row r="2" spans="1:41" ht="45" customHeight="1" thickTop="1" thickBot="1" x14ac:dyDescent="0.25">
      <c r="A2" s="99" t="s">
        <v>56</v>
      </c>
      <c r="B2" s="99"/>
      <c r="C2" s="100" t="s">
        <v>57</v>
      </c>
      <c r="D2" s="101" t="s">
        <v>58</v>
      </c>
      <c r="E2" s="100" t="s">
        <v>59</v>
      </c>
      <c r="F2" s="101" t="s">
        <v>60</v>
      </c>
      <c r="G2" s="102"/>
      <c r="H2" s="102"/>
      <c r="I2" s="100" t="s">
        <v>83</v>
      </c>
      <c r="J2" s="131" t="s">
        <v>71</v>
      </c>
      <c r="K2" s="103" t="s">
        <v>70</v>
      </c>
      <c r="L2" s="103"/>
      <c r="M2" s="103"/>
    </row>
    <row r="3" spans="1:41" ht="39.75" customHeight="1" thickTop="1" x14ac:dyDescent="0.2">
      <c r="A3" s="130" t="s">
        <v>79</v>
      </c>
      <c r="B3" s="105"/>
      <c r="C3" s="106"/>
      <c r="D3" s="106"/>
      <c r="E3" s="106"/>
      <c r="F3" s="106"/>
      <c r="G3" s="107"/>
      <c r="H3" s="107"/>
      <c r="I3" s="108">
        <v>1.3</v>
      </c>
      <c r="J3" s="109">
        <f>'Ceny za léčbu'!K4</f>
        <v>9372.0400000000009</v>
      </c>
      <c r="K3" s="109"/>
      <c r="L3" s="109"/>
      <c r="M3" s="109"/>
    </row>
    <row r="4" spans="1:41" ht="36.75" customHeight="1" x14ac:dyDescent="0.2">
      <c r="A4" s="37" t="s">
        <v>80</v>
      </c>
      <c r="B4" s="105"/>
      <c r="C4" s="106"/>
      <c r="D4" s="106"/>
      <c r="E4" s="106"/>
      <c r="F4" s="106"/>
      <c r="G4" s="107"/>
      <c r="H4" s="107"/>
      <c r="I4" s="108">
        <v>4.4000000000000004</v>
      </c>
      <c r="J4" s="109">
        <f>'Ceny za léčbu'!K10</f>
        <v>289195.19445960002</v>
      </c>
      <c r="K4" s="110">
        <f>((J4-L4)/(I4-M4))</f>
        <v>90265.533696645158</v>
      </c>
      <c r="L4" s="109">
        <f>J3</f>
        <v>9372.0400000000009</v>
      </c>
      <c r="M4" s="108">
        <v>1.3</v>
      </c>
    </row>
    <row r="5" spans="1:41" ht="34.5" customHeight="1" x14ac:dyDescent="0.2">
      <c r="A5" s="37" t="s">
        <v>80</v>
      </c>
      <c r="B5" s="105"/>
      <c r="C5" s="106"/>
      <c r="D5" s="106"/>
      <c r="E5" s="106"/>
      <c r="F5" s="106"/>
      <c r="G5" s="107"/>
      <c r="H5" s="107"/>
      <c r="I5" s="108">
        <v>2.4</v>
      </c>
      <c r="J5" s="109">
        <f>'Ceny za léčbu'!K11</f>
        <v>157742.83334159997</v>
      </c>
      <c r="K5" s="110">
        <f t="shared" ref="K5:K12" si="0">((J5-L5)/(I5-M5))</f>
        <v>134882.53940145453</v>
      </c>
      <c r="L5" s="109">
        <f>L4</f>
        <v>9372.0400000000009</v>
      </c>
      <c r="M5" s="108">
        <v>1.3</v>
      </c>
    </row>
    <row r="6" spans="1:41" ht="34.5" customHeight="1" x14ac:dyDescent="0.2">
      <c r="A6" s="37" t="s">
        <v>80</v>
      </c>
      <c r="B6" s="105"/>
      <c r="C6" s="111"/>
      <c r="D6" s="111"/>
      <c r="E6" s="111"/>
      <c r="F6" s="111"/>
      <c r="G6" s="107"/>
      <c r="H6" s="107"/>
      <c r="I6" s="108">
        <v>8.3000000000000007</v>
      </c>
      <c r="J6" s="109">
        <f>'Ceny za léčbu'!K12</f>
        <v>545527.29863970005</v>
      </c>
      <c r="K6" s="110">
        <f t="shared" si="0"/>
        <v>76593.608377099998</v>
      </c>
      <c r="L6" s="109">
        <f>L5</f>
        <v>9372.0400000000009</v>
      </c>
      <c r="M6" s="108">
        <v>1.3</v>
      </c>
    </row>
    <row r="7" spans="1:41" ht="35.25" customHeight="1" x14ac:dyDescent="0.2">
      <c r="A7" s="33" t="s">
        <v>81</v>
      </c>
      <c r="B7" s="105"/>
      <c r="C7" s="106"/>
      <c r="D7" s="112"/>
      <c r="E7" s="106"/>
      <c r="F7" s="112"/>
      <c r="G7" s="107"/>
      <c r="H7" s="107"/>
      <c r="I7" s="108">
        <v>7.7</v>
      </c>
      <c r="J7" s="109">
        <f>'Ceny za léčbu'!K16</f>
        <v>562981.41899999999</v>
      </c>
      <c r="K7" s="110">
        <f t="shared" si="0"/>
        <v>86501.465468749986</v>
      </c>
      <c r="L7" s="109">
        <f t="shared" ref="L7:L12" si="1">L6</f>
        <v>9372.0400000000009</v>
      </c>
      <c r="M7" s="108">
        <v>1.3</v>
      </c>
    </row>
    <row r="8" spans="1:41" ht="36.75" customHeight="1" x14ac:dyDescent="0.2">
      <c r="A8" s="33" t="s">
        <v>81</v>
      </c>
      <c r="B8" s="105"/>
      <c r="C8" s="106"/>
      <c r="D8" s="112"/>
      <c r="E8" s="106"/>
      <c r="F8" s="112"/>
      <c r="G8" s="107"/>
      <c r="H8" s="107"/>
      <c r="I8" s="108">
        <v>5.0999999999999996</v>
      </c>
      <c r="J8" s="109">
        <f>'Ceny za léčbu'!K17</f>
        <v>372883.79699999996</v>
      </c>
      <c r="K8" s="110">
        <f t="shared" si="0"/>
        <v>95660.988684210533</v>
      </c>
      <c r="L8" s="109">
        <f t="shared" si="1"/>
        <v>9372.0400000000009</v>
      </c>
      <c r="M8" s="108">
        <v>1.3</v>
      </c>
    </row>
    <row r="9" spans="1:41" ht="35.25" customHeight="1" x14ac:dyDescent="0.2">
      <c r="A9" s="33" t="s">
        <v>81</v>
      </c>
      <c r="B9" s="105"/>
      <c r="C9" s="106"/>
      <c r="D9" s="112"/>
      <c r="E9" s="106"/>
      <c r="F9" s="112"/>
      <c r="G9" s="107"/>
      <c r="H9" s="107"/>
      <c r="I9" s="113">
        <v>11.5</v>
      </c>
      <c r="J9" s="114">
        <f>'Ceny za léčbu'!K18</f>
        <v>840816.40500000003</v>
      </c>
      <c r="K9" s="110">
        <f t="shared" si="0"/>
        <v>81514.153431372557</v>
      </c>
      <c r="L9" s="109">
        <f t="shared" si="1"/>
        <v>9372.0400000000009</v>
      </c>
      <c r="M9" s="108">
        <v>1.3</v>
      </c>
    </row>
    <row r="10" spans="1:41" ht="36.75" customHeight="1" x14ac:dyDescent="0.2">
      <c r="A10" s="38" t="s">
        <v>82</v>
      </c>
      <c r="B10" s="105"/>
      <c r="C10" s="106"/>
      <c r="D10" s="112"/>
      <c r="E10" s="106"/>
      <c r="F10" s="112"/>
      <c r="G10" s="107"/>
      <c r="H10" s="107"/>
      <c r="I10" s="108">
        <v>11.6</v>
      </c>
      <c r="J10" s="114">
        <f>'Ceny za léčbu'!K22</f>
        <v>801489.28906800004</v>
      </c>
      <c r="K10" s="110">
        <f t="shared" si="0"/>
        <v>76904.587288155351</v>
      </c>
      <c r="L10" s="109">
        <f t="shared" si="1"/>
        <v>9372.0400000000009</v>
      </c>
      <c r="M10" s="108">
        <v>1.3</v>
      </c>
    </row>
    <row r="11" spans="1:41" ht="37.5" customHeight="1" x14ac:dyDescent="0.2">
      <c r="A11" s="38" t="s">
        <v>82</v>
      </c>
      <c r="B11" s="105"/>
      <c r="C11" s="106"/>
      <c r="D11" s="112"/>
      <c r="E11" s="106"/>
      <c r="F11" s="112"/>
      <c r="G11" s="107"/>
      <c r="H11" s="107"/>
      <c r="I11" s="113">
        <v>6.6</v>
      </c>
      <c r="J11" s="114">
        <f>'Ceny za léčbu'!K23</f>
        <v>456019.76791800006</v>
      </c>
      <c r="K11" s="110">
        <f t="shared" si="0"/>
        <v>84273.156210943416</v>
      </c>
      <c r="L11" s="109">
        <f t="shared" si="1"/>
        <v>9372.0400000000009</v>
      </c>
      <c r="M11" s="108">
        <v>1.3</v>
      </c>
    </row>
    <row r="12" spans="1:41" ht="35.25" customHeight="1" x14ac:dyDescent="0.2">
      <c r="A12" s="38" t="s">
        <v>82</v>
      </c>
      <c r="B12" s="105"/>
      <c r="C12" s="106"/>
      <c r="D12" s="112"/>
      <c r="E12" s="106"/>
      <c r="F12" s="112"/>
      <c r="G12" s="107"/>
      <c r="H12" s="107"/>
      <c r="I12" s="108">
        <v>20.9</v>
      </c>
      <c r="J12" s="114">
        <f>'Ceny za léčbu'!K24</f>
        <v>1444062.5984070001</v>
      </c>
      <c r="K12" s="110">
        <f t="shared" si="0"/>
        <v>73198.497877908172</v>
      </c>
      <c r="L12" s="109">
        <f t="shared" si="1"/>
        <v>9372.0400000000009</v>
      </c>
      <c r="M12" s="108">
        <v>1.3</v>
      </c>
    </row>
    <row r="13" spans="1:41" ht="37.5" customHeight="1" x14ac:dyDescent="0.2">
      <c r="A13" s="104"/>
      <c r="B13" s="105"/>
      <c r="C13" s="105"/>
      <c r="D13" s="112"/>
      <c r="E13" s="105"/>
      <c r="F13" s="112"/>
      <c r="G13" s="107"/>
      <c r="H13" s="107"/>
      <c r="I13" s="113"/>
      <c r="J13" s="114"/>
      <c r="K13" s="110"/>
      <c r="L13" s="109"/>
      <c r="M13" s="108"/>
    </row>
    <row r="14" spans="1:41" ht="38.25" customHeight="1" x14ac:dyDescent="0.2">
      <c r="A14" s="104"/>
      <c r="B14" s="105"/>
      <c r="C14" s="105"/>
      <c r="D14" s="112"/>
      <c r="E14" s="105"/>
      <c r="F14" s="112"/>
      <c r="G14" s="107"/>
      <c r="H14" s="107"/>
      <c r="I14" s="113"/>
      <c r="J14" s="114"/>
      <c r="K14" s="110"/>
      <c r="L14" s="109"/>
      <c r="M14" s="108"/>
      <c r="AO14" s="98" t="s">
        <v>61</v>
      </c>
    </row>
    <row r="15" spans="1:41" ht="37.5" customHeight="1" x14ac:dyDescent="0.2">
      <c r="A15" s="104"/>
      <c r="B15" s="105"/>
      <c r="C15" s="105"/>
      <c r="D15" s="112"/>
      <c r="E15" s="105"/>
      <c r="F15" s="112"/>
      <c r="G15" s="107"/>
      <c r="H15" s="107"/>
      <c r="I15" s="113"/>
      <c r="J15" s="114"/>
      <c r="K15" s="110"/>
      <c r="L15" s="109"/>
      <c r="M15" s="108"/>
    </row>
    <row r="16" spans="1:41" ht="36" customHeight="1" x14ac:dyDescent="0.2">
      <c r="A16" s="104"/>
      <c r="B16" s="105"/>
      <c r="C16" s="105"/>
      <c r="D16" s="112"/>
      <c r="E16" s="105"/>
      <c r="F16" s="112"/>
      <c r="G16" s="107"/>
      <c r="H16" s="107"/>
      <c r="I16" s="113"/>
      <c r="J16" s="114"/>
      <c r="K16" s="110"/>
      <c r="L16" s="109"/>
      <c r="M16" s="108"/>
    </row>
    <row r="17" spans="1:13" ht="34.5" customHeight="1" x14ac:dyDescent="0.2">
      <c r="A17" s="104"/>
      <c r="B17" s="115"/>
      <c r="C17" s="105"/>
      <c r="D17" s="112"/>
      <c r="E17" s="105"/>
      <c r="F17" s="112"/>
      <c r="G17" s="107"/>
      <c r="H17" s="107"/>
      <c r="I17" s="113"/>
      <c r="J17" s="114"/>
      <c r="K17" s="110"/>
      <c r="L17" s="109"/>
      <c r="M17" s="108"/>
    </row>
    <row r="18" spans="1:13" ht="36.75" customHeight="1" x14ac:dyDescent="0.2">
      <c r="A18" s="104"/>
      <c r="B18" s="115"/>
      <c r="C18" s="105"/>
      <c r="D18" s="112"/>
      <c r="E18" s="105"/>
      <c r="F18" s="112"/>
      <c r="G18" s="107"/>
      <c r="H18" s="107"/>
      <c r="I18" s="113"/>
      <c r="J18" s="114"/>
      <c r="K18" s="110"/>
      <c r="L18" s="109"/>
      <c r="M18" s="108"/>
    </row>
    <row r="19" spans="1:13" ht="15" x14ac:dyDescent="0.2">
      <c r="A19" s="104"/>
      <c r="B19" s="115"/>
      <c r="C19" s="105"/>
      <c r="D19" s="112"/>
      <c r="E19" s="105"/>
      <c r="F19" s="112"/>
      <c r="G19" s="107"/>
      <c r="H19" s="107"/>
      <c r="I19" s="113"/>
      <c r="J19" s="114"/>
      <c r="K19" s="110"/>
      <c r="L19" s="109"/>
      <c r="M19" s="10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944F5-39EC-446E-8F18-DFD20BC1BF92}">
  <dimension ref="A1:AX37"/>
  <sheetViews>
    <sheetView topLeftCell="M1" zoomScaleNormal="100" workbookViewId="0">
      <selection activeCell="AD19" sqref="AD19"/>
    </sheetView>
  </sheetViews>
  <sheetFormatPr defaultRowHeight="15" x14ac:dyDescent="0.25"/>
  <cols>
    <col min="1" max="1" width="3.28515625" customWidth="1"/>
    <col min="2" max="3" width="2.85546875" customWidth="1"/>
    <col min="4" max="4" width="28.42578125" customWidth="1"/>
    <col min="5" max="5" width="11.85546875" hidden="1" customWidth="1"/>
    <col min="6" max="7" width="9.85546875" hidden="1" customWidth="1"/>
    <col min="8" max="8" width="10.28515625" hidden="1" customWidth="1"/>
    <col min="9" max="9" width="13" customWidth="1"/>
    <col min="10" max="10" width="11.140625" customWidth="1"/>
    <col min="11" max="11" width="12.5703125" customWidth="1"/>
    <col min="12" max="12" width="11.7109375" hidden="1" customWidth="1"/>
    <col min="13" max="13" width="9.85546875" customWidth="1"/>
    <col min="27" max="27" width="10.42578125" style="23" customWidth="1"/>
  </cols>
  <sheetData>
    <row r="1" spans="1:50" ht="34.5" customHeight="1" x14ac:dyDescent="0.25">
      <c r="D1" s="23"/>
      <c r="E1" s="116" t="s">
        <v>62</v>
      </c>
      <c r="F1" s="117" t="s">
        <v>63</v>
      </c>
      <c r="G1" s="117" t="s">
        <v>64</v>
      </c>
      <c r="H1" s="117" t="s">
        <v>65</v>
      </c>
      <c r="I1" s="118" t="s">
        <v>66</v>
      </c>
      <c r="J1" s="118" t="s">
        <v>66</v>
      </c>
      <c r="K1" s="118" t="s">
        <v>66</v>
      </c>
      <c r="L1" s="116" t="s">
        <v>67</v>
      </c>
      <c r="M1" s="119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</row>
    <row r="2" spans="1:50" ht="21.75" customHeight="1" x14ac:dyDescent="0.25">
      <c r="D2" s="104"/>
      <c r="E2" s="120">
        <f t="shared" ref="E2:E3" si="0">L2-M2</f>
        <v>1228532.7039999999</v>
      </c>
      <c r="F2" s="121"/>
      <c r="G2" s="121"/>
      <c r="H2" s="121"/>
      <c r="I2" s="120"/>
      <c r="J2" s="120"/>
      <c r="K2" s="120"/>
      <c r="L2" s="122">
        <f>[1]CMA!P5</f>
        <v>1228532.7039999999</v>
      </c>
      <c r="M2" s="1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</row>
    <row r="3" spans="1:50" ht="36.75" customHeight="1" x14ac:dyDescent="0.25">
      <c r="A3">
        <v>3</v>
      </c>
      <c r="B3">
        <v>3</v>
      </c>
      <c r="C3">
        <v>3</v>
      </c>
      <c r="D3" s="104" t="s">
        <v>88</v>
      </c>
      <c r="E3" s="120">
        <f t="shared" si="0"/>
        <v>1125788.96</v>
      </c>
      <c r="F3" s="121"/>
      <c r="G3" s="121"/>
      <c r="H3" s="121"/>
      <c r="I3" s="120">
        <f>'CEA eff.front. 2.linie'!K4</f>
        <v>90265.533696645158</v>
      </c>
      <c r="J3" s="120">
        <f>'CEA eff.front. 2.linie'!K5</f>
        <v>134882.53940145453</v>
      </c>
      <c r="K3" s="120">
        <f>'CEA eff.front. 2.linie'!K6</f>
        <v>76593.608377099998</v>
      </c>
      <c r="L3" s="122">
        <f>[1]CMA!P6</f>
        <v>1125788.96</v>
      </c>
      <c r="M3" s="1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</row>
    <row r="4" spans="1:50" ht="36" customHeight="1" x14ac:dyDescent="0.25">
      <c r="A4">
        <v>2</v>
      </c>
      <c r="B4">
        <v>2</v>
      </c>
      <c r="C4">
        <v>2</v>
      </c>
      <c r="D4" s="104" t="s">
        <v>89</v>
      </c>
      <c r="E4" s="120" t="e">
        <f>#REF!-#REF!</f>
        <v>#REF!</v>
      </c>
      <c r="F4" s="121"/>
      <c r="G4" s="121"/>
      <c r="H4" s="121"/>
      <c r="I4" s="120">
        <f>'CEA eff.front. 2.linie'!K7</f>
        <v>86501.465468749986</v>
      </c>
      <c r="J4" s="120">
        <f>'CEA eff.front. 2.linie'!K8</f>
        <v>95660.988684210533</v>
      </c>
      <c r="K4" s="120">
        <f>'CEA eff.front. 2.linie'!K9</f>
        <v>81514.153431372557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</row>
    <row r="5" spans="1:50" ht="34.5" customHeight="1" x14ac:dyDescent="0.25">
      <c r="A5">
        <v>1</v>
      </c>
      <c r="B5">
        <v>1</v>
      </c>
      <c r="C5">
        <v>1</v>
      </c>
      <c r="D5" s="104" t="s">
        <v>87</v>
      </c>
      <c r="E5" s="120" t="e">
        <f>#REF!-#REF!</f>
        <v>#REF!</v>
      </c>
      <c r="F5" s="121"/>
      <c r="G5" s="121"/>
      <c r="H5" s="121"/>
      <c r="I5" s="120">
        <f>'CEA eff.front. 2.linie'!K10</f>
        <v>76904.587288155351</v>
      </c>
      <c r="J5" s="120">
        <f>'CEA eff.front. 2.linie'!K11</f>
        <v>84273.156210943416</v>
      </c>
      <c r="K5" s="120">
        <f>'CEA eff.front. 2.linie'!K12</f>
        <v>73198.497877908172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</row>
    <row r="6" spans="1:50" ht="10.5" customHeight="1" x14ac:dyDescent="0.25">
      <c r="D6" s="124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125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</row>
    <row r="7" spans="1:50" ht="12" customHeight="1" x14ac:dyDescent="0.25">
      <c r="D7" s="25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125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</row>
    <row r="8" spans="1:50" x14ac:dyDescent="0.25"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125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</row>
    <row r="9" spans="1:50" x14ac:dyDescent="0.25"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</row>
    <row r="10" spans="1:50" x14ac:dyDescent="0.25"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</row>
    <row r="11" spans="1:50" x14ac:dyDescent="0.25"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</row>
    <row r="12" spans="1:50" x14ac:dyDescent="0.25"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</row>
    <row r="13" spans="1:50" x14ac:dyDescent="0.25"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</row>
    <row r="14" spans="1:50" x14ac:dyDescent="0.25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</row>
    <row r="15" spans="1:50" x14ac:dyDescent="0.25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</row>
    <row r="16" spans="1:50" x14ac:dyDescent="0.25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</row>
    <row r="17" spans="4:50" x14ac:dyDescent="0.25"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</row>
    <row r="18" spans="4:50" x14ac:dyDescent="0.25"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</row>
    <row r="19" spans="4:50" x14ac:dyDescent="0.25"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</row>
    <row r="20" spans="4:50" x14ac:dyDescent="0.25"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</row>
    <row r="21" spans="4:50" x14ac:dyDescent="0.25"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</row>
    <row r="22" spans="4:50" x14ac:dyDescent="0.25"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</row>
    <row r="23" spans="4:50" x14ac:dyDescent="0.25"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</row>
    <row r="24" spans="4:50" ht="10.5" customHeight="1" x14ac:dyDescent="0.25">
      <c r="D24" s="125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</row>
    <row r="25" spans="4:50" x14ac:dyDescent="0.25"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</row>
    <row r="26" spans="4:50" x14ac:dyDescent="0.25"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</row>
    <row r="27" spans="4:50" x14ac:dyDescent="0.25"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</row>
    <row r="28" spans="4:50" x14ac:dyDescent="0.25"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</row>
    <row r="29" spans="4:50" x14ac:dyDescent="0.25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</row>
    <row r="30" spans="4:50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</row>
    <row r="31" spans="4:50" x14ac:dyDescent="0.25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</row>
    <row r="32" spans="4:50" ht="4.5" customHeight="1" x14ac:dyDescent="0.25"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</row>
    <row r="33" spans="4:50" ht="10.5" customHeight="1" x14ac:dyDescent="0.25"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126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</row>
    <row r="34" spans="4:50" ht="12" customHeight="1" x14ac:dyDescent="0.25">
      <c r="N34" s="127"/>
    </row>
    <row r="35" spans="4:50" ht="12" customHeight="1" x14ac:dyDescent="0.25">
      <c r="N35" s="128"/>
    </row>
    <row r="36" spans="4:50" ht="12.75" customHeight="1" x14ac:dyDescent="0.25">
      <c r="N36" s="127"/>
    </row>
    <row r="37" spans="4:50" ht="12" customHeight="1" x14ac:dyDescent="0.25">
      <c r="N37" s="12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50C61-964F-42AC-914D-396DAD04B04A}">
  <dimension ref="A1"/>
  <sheetViews>
    <sheetView topLeftCell="D50" zoomScaleNormal="100" workbookViewId="0">
      <selection activeCell="Y64" sqref="Y64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Ceny za léčbu</vt:lpstr>
      <vt:lpstr>CEA eff.front.1.linie</vt:lpstr>
      <vt:lpstr>ICER 1.linie</vt:lpstr>
      <vt:lpstr>CEA eff.front. 2.linie</vt:lpstr>
      <vt:lpstr>ICER 2.linie </vt:lpstr>
      <vt:lpstr>Obrázky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Klobouk Jan, Mgr.</dc:creator>
  <cp:lastModifiedBy>Uživatel systému Windows</cp:lastModifiedBy>
  <cp:lastPrinted>2022-09-26T13:26:14Z</cp:lastPrinted>
  <dcterms:created xsi:type="dcterms:W3CDTF">2022-06-13T12:17:50Z</dcterms:created>
  <dcterms:modified xsi:type="dcterms:W3CDTF">2022-12-27T10:31:41Z</dcterms:modified>
</cp:coreProperties>
</file>