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5894\Desktop\FE analýzy\Reumatoidní artritida\"/>
    </mc:Choice>
  </mc:AlternateContent>
  <xr:revisionPtr revIDLastSave="0" documentId="13_ncr:1_{AAABA0D6-8491-458B-BAE6-9C6FEFE22DFF}" xr6:coauthVersionLast="36" xr6:coauthVersionMax="36" xr10:uidLastSave="{00000000-0000-0000-0000-000000000000}"/>
  <bookViews>
    <workbookView xWindow="0" yWindow="135" windowWidth="20730" windowHeight="9795" xr2:uid="{00000000-000D-0000-FFFF-FFFF00000000}"/>
  </bookViews>
  <sheets>
    <sheet name="přehled" sheetId="1" r:id="rId1"/>
    <sheet name="List3" sheetId="3" r:id="rId2"/>
    <sheet name="List4" sheetId="4" r:id="rId3"/>
  </sheets>
  <definedNames>
    <definedName name="_xlnm._FilterDatabase" localSheetId="0" hidden="1">přehled!$A$2:$Z$9</definedName>
  </definedNames>
  <calcPr calcId="191029"/>
</workbook>
</file>

<file path=xl/calcChain.xml><?xml version="1.0" encoding="utf-8"?>
<calcChain xmlns="http://schemas.openxmlformats.org/spreadsheetml/2006/main">
  <c r="U7" i="1" l="1"/>
  <c r="U4" i="1"/>
  <c r="U9" i="1"/>
  <c r="U8" i="1"/>
  <c r="U6" i="1"/>
  <c r="U5" i="1"/>
  <c r="U3" i="1"/>
  <c r="T7" i="1"/>
  <c r="T4" i="1"/>
  <c r="T9" i="1"/>
  <c r="T8" i="1"/>
  <c r="T6" i="1"/>
  <c r="T5" i="1"/>
  <c r="T3" i="1"/>
  <c r="AC7" i="1"/>
  <c r="AC4" i="1"/>
  <c r="AB9" i="1"/>
  <c r="AB8" i="1"/>
  <c r="AB6" i="1"/>
  <c r="AB5" i="1"/>
  <c r="AB3" i="1"/>
  <c r="R9" i="1"/>
  <c r="Q9" i="1"/>
  <c r="R8" i="1"/>
  <c r="Q8" i="1"/>
  <c r="R7" i="1"/>
  <c r="Q7" i="1"/>
  <c r="R6" i="1"/>
  <c r="Q6" i="1"/>
  <c r="R5" i="1"/>
  <c r="Q5" i="1"/>
  <c r="O5" i="1"/>
  <c r="R4" i="1"/>
  <c r="Q4" i="1"/>
  <c r="R3" i="1"/>
  <c r="Q3" i="1"/>
  <c r="AA5" i="1"/>
  <c r="AA7" i="1"/>
  <c r="O7" i="1"/>
  <c r="P7" i="1" l="1"/>
  <c r="S7" i="1" s="1"/>
  <c r="AA8" i="1"/>
  <c r="O8" i="1" s="1"/>
  <c r="P8" i="1" l="1"/>
  <c r="S8" i="1" s="1"/>
  <c r="AA3" i="1"/>
  <c r="O3" i="1" s="1"/>
  <c r="P3" i="1" l="1"/>
  <c r="AA9" i="1" l="1"/>
  <c r="AA6" i="1"/>
  <c r="AA4" i="1"/>
  <c r="O4" i="1" l="1"/>
  <c r="O6" i="1"/>
  <c r="O9" i="1"/>
  <c r="P9" i="1" l="1"/>
  <c r="P6" i="1"/>
  <c r="P4" i="1"/>
  <c r="S3" i="1" l="1"/>
  <c r="S4" i="1"/>
  <c r="S6" i="1"/>
  <c r="S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Uživatel systému Windows</author>
  </authors>
  <commentList>
    <comment ref="N5" authorId="0" shapeId="0" xr:uid="{2BBB72D1-9563-473E-B80F-3D9843921A0F}">
      <text>
        <r>
          <rPr>
            <sz val="9"/>
            <color indexed="81"/>
            <rFont val="Tahoma"/>
            <family val="2"/>
            <charset val="238"/>
          </rPr>
          <t xml:space="preserve">Cena dle max.úhrady podle1
</t>
        </r>
      </text>
    </comment>
    <comment ref="N9" authorId="0" shapeId="0" xr:uid="{1546A771-BA0C-468A-A523-9206CDDF1C60}">
      <text>
        <r>
          <rPr>
            <sz val="9"/>
            <color indexed="81"/>
            <rFont val="Tahoma"/>
            <family val="2"/>
            <charset val="238"/>
          </rPr>
          <t xml:space="preserve">Cena dle max.úhrady podle1
</t>
        </r>
      </text>
    </comment>
  </commentList>
</comments>
</file>

<file path=xl/sharedStrings.xml><?xml version="1.0" encoding="utf-8"?>
<sst xmlns="http://schemas.openxmlformats.org/spreadsheetml/2006/main" count="170" uniqueCount="106">
  <si>
    <t>obratový bonus</t>
  </si>
  <si>
    <t>léková forma</t>
  </si>
  <si>
    <t>výrobce</t>
  </si>
  <si>
    <r>
      <t>dávkování dle SPC (dospělí)</t>
    </r>
    <r>
      <rPr>
        <vertAlign val="superscript"/>
        <sz val="9"/>
        <rFont val="Arial"/>
        <family val="2"/>
        <charset val="238"/>
      </rPr>
      <t>1</t>
    </r>
  </si>
  <si>
    <t>ATC skupina</t>
  </si>
  <si>
    <t>Tabulka 1: Nepříznivé prognostické faktory u pacienta s RA (citováno dle: Fabiánová J. Farmakoterapie 2020;16(3): 393-397)</t>
  </si>
  <si>
    <r>
      <t>druh DMARD</t>
    </r>
    <r>
      <rPr>
        <vertAlign val="superscript"/>
        <sz val="8"/>
        <rFont val="Arial"/>
        <family val="2"/>
        <charset val="238"/>
      </rPr>
      <t>3</t>
    </r>
  </si>
  <si>
    <r>
      <t>název přípravku</t>
    </r>
    <r>
      <rPr>
        <b/>
        <vertAlign val="superscript"/>
        <sz val="10"/>
        <rFont val="Arial"/>
        <family val="2"/>
        <charset val="238"/>
      </rPr>
      <t>2,3</t>
    </r>
  </si>
  <si>
    <r>
      <rPr>
        <vertAlign val="superscript"/>
        <sz val="9"/>
        <color theme="1"/>
        <rFont val="Calibri"/>
        <family val="2"/>
        <charset val="238"/>
        <scheme val="minor"/>
      </rPr>
      <t>2</t>
    </r>
    <r>
      <rPr>
        <sz val="9"/>
        <color theme="1"/>
        <rFont val="Calibri"/>
        <family val="2"/>
        <charset val="238"/>
        <scheme val="minor"/>
      </rPr>
      <t xml:space="preserve"> </t>
    </r>
    <r>
      <rPr>
        <b/>
        <sz val="9"/>
        <color theme="1"/>
        <rFont val="Calibri"/>
        <family val="2"/>
        <charset val="238"/>
        <scheme val="minor"/>
      </rPr>
      <t>Pokud není uvedeno jinak je pro účely této analýzy myšlena kombinace přípravku s csDMARD !!</t>
    </r>
  </si>
  <si>
    <r>
      <rPr>
        <vertAlign val="superscript"/>
        <sz val="9"/>
        <color theme="1"/>
        <rFont val="Calibri"/>
        <family val="2"/>
        <charset val="238"/>
        <scheme val="minor"/>
      </rPr>
      <t xml:space="preserve">3 </t>
    </r>
    <r>
      <rPr>
        <sz val="9"/>
        <color theme="1"/>
        <rFont val="Calibri"/>
        <family val="2"/>
        <charset val="238"/>
        <scheme val="minor"/>
      </rPr>
      <t xml:space="preserve">Dle </t>
    </r>
    <r>
      <rPr>
        <u/>
        <sz val="9"/>
        <color theme="1"/>
        <rFont val="Calibri"/>
        <family val="2"/>
        <charset val="238"/>
        <scheme val="minor"/>
      </rPr>
      <t>Doporučení EULAR pro léčbu revmatoidní artritidy pomocí syntetických a biologických chorobu modifikujících léků</t>
    </r>
    <r>
      <rPr>
        <sz val="9"/>
        <color theme="1"/>
        <rFont val="Calibri"/>
        <family val="2"/>
        <charset val="238"/>
        <scheme val="minor"/>
      </rPr>
      <t xml:space="preserve"> (Smolen JS, Landewé RBM, Bijlsma JWJ, et al. </t>
    </r>
    <r>
      <rPr>
        <i/>
        <sz val="9"/>
        <color theme="1"/>
        <rFont val="Calibri"/>
        <family val="2"/>
        <charset val="238"/>
        <scheme val="minor"/>
      </rPr>
      <t>Ann Rheum Dis</t>
    </r>
    <r>
      <rPr>
        <sz val="9"/>
        <color theme="1"/>
        <rFont val="Calibri"/>
        <family val="2"/>
        <charset val="238"/>
        <scheme val="minor"/>
      </rPr>
      <t xml:space="preserve"> 2020;79:685–699, citováno dle: Fabiánová J. </t>
    </r>
    <r>
      <rPr>
        <i/>
        <sz val="9"/>
        <color theme="1"/>
        <rFont val="Calibri"/>
        <family val="2"/>
        <charset val="238"/>
        <scheme val="minor"/>
      </rPr>
      <t>Farmakoterapie</t>
    </r>
    <r>
      <rPr>
        <sz val="9"/>
        <color theme="1"/>
        <rFont val="Calibri"/>
        <family val="2"/>
        <charset val="238"/>
        <scheme val="minor"/>
      </rPr>
      <t xml:space="preserve"> 2020;16(3): 393-397):</t>
    </r>
  </si>
  <si>
    <r>
      <t>cena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za první 3 měsíce</t>
    </r>
    <r>
      <rPr>
        <vertAlign val="superscript"/>
        <sz val="8"/>
        <rFont val="Arial"/>
        <family val="2"/>
        <charset val="238"/>
      </rPr>
      <t xml:space="preserve">3 </t>
    </r>
    <r>
      <rPr>
        <sz val="8"/>
        <rFont val="Arial"/>
        <family val="2"/>
        <charset val="238"/>
      </rPr>
      <t>se započtením bonusů</t>
    </r>
  </si>
  <si>
    <r>
      <t>cena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za prvních 6 měsíců</t>
    </r>
    <r>
      <rPr>
        <vertAlign val="superscript"/>
        <sz val="8"/>
        <rFont val="Arial"/>
        <family val="2"/>
        <charset val="238"/>
      </rPr>
      <t xml:space="preserve">3 </t>
    </r>
    <r>
      <rPr>
        <sz val="8"/>
        <rFont val="Arial"/>
        <family val="2"/>
        <charset val="238"/>
      </rPr>
      <t>se započtením bonusů</t>
    </r>
  </si>
  <si>
    <t xml:space="preserve">   1.Není-li stanoveného terap.cíle (tj.dosažení nízké aktivity onemocnění nebo remise) dosaženo pomocí prvního csDMARD (1.volbou má být metotrexát, při jeho KI či intoleranci podat leflunomid či sulfasalazin) a jsou-li přítomny nepříznivé prognostické</t>
  </si>
  <si>
    <r>
      <t xml:space="preserve">     faktory (viz níže tabulka 1), </t>
    </r>
    <r>
      <rPr>
        <b/>
        <sz val="9"/>
        <color theme="1"/>
        <rFont val="Calibri"/>
        <family val="2"/>
        <charset val="238"/>
        <scheme val="minor"/>
      </rPr>
      <t>měl by být přidán bDMARD (jedno či boDMARD nebo bsDMARD) či tsDMARD</t>
    </r>
    <r>
      <rPr>
        <sz val="9"/>
        <color theme="1"/>
        <rFont val="Calibri"/>
        <family val="2"/>
        <charset val="238"/>
        <scheme val="minor"/>
      </rPr>
      <t>. (LoE 1a, SoR A)</t>
    </r>
  </si>
  <si>
    <r>
      <t xml:space="preserve">   2. </t>
    </r>
    <r>
      <rPr>
        <b/>
        <sz val="9"/>
        <color theme="1"/>
        <rFont val="Calibri"/>
        <family val="2"/>
        <charset val="238"/>
        <scheme val="minor"/>
      </rPr>
      <t>bDMARD a tsDMARD by měly být kombinovány s csDMARD</t>
    </r>
    <r>
      <rPr>
        <sz val="9"/>
        <color theme="1"/>
        <rFont val="Calibri"/>
        <family val="2"/>
        <charset val="238"/>
      </rPr>
      <t xml:space="preserve">; u pacientů, kteří nemohou užívat csDMARD jako komedikaci, může být výhodnější využití </t>
    </r>
    <r>
      <rPr>
        <b/>
        <sz val="9"/>
        <color theme="1"/>
        <rFont val="Calibri"/>
        <family val="2"/>
        <charset val="238"/>
      </rPr>
      <t xml:space="preserve">IL-6i  a JAKi (jako monoterapie) </t>
    </r>
    <r>
      <rPr>
        <sz val="9"/>
        <color theme="1"/>
        <rFont val="Calibri"/>
        <family val="2"/>
        <charset val="238"/>
      </rPr>
      <t>v porovnání s jinými DMARD. (LoE 1a, SoR A)</t>
    </r>
  </si>
  <si>
    <t xml:space="preserve">      remise), terapie by měla být upravena. (LoE 2b,SoR B)</t>
  </si>
  <si>
    <r>
      <t xml:space="preserve">   3. U aktivního onemocnění je zapotřebí častých kontrol (každé 1-3 měsíce)</t>
    </r>
    <r>
      <rPr>
        <sz val="9"/>
        <color theme="1"/>
        <rFont val="Calibri"/>
        <family val="2"/>
        <charset val="238"/>
      </rPr>
      <t xml:space="preserve">; není-li </t>
    </r>
    <r>
      <rPr>
        <b/>
        <sz val="9"/>
        <color theme="1"/>
        <rFont val="Calibri"/>
        <family val="2"/>
        <charset val="238"/>
      </rPr>
      <t xml:space="preserve">po 3 měsících </t>
    </r>
    <r>
      <rPr>
        <sz val="9"/>
        <color theme="1"/>
        <rFont val="Calibri"/>
        <family val="2"/>
        <charset val="238"/>
      </rPr>
      <t xml:space="preserve">od zahájení terapie pozorováno zlepšení (alespoň o 50%) nebo není-li </t>
    </r>
    <r>
      <rPr>
        <b/>
        <sz val="9"/>
        <color theme="1"/>
        <rFont val="Calibri"/>
        <family val="2"/>
        <charset val="238"/>
      </rPr>
      <t xml:space="preserve">po 6 měsících </t>
    </r>
    <r>
      <rPr>
        <sz val="9"/>
        <color theme="1"/>
        <rFont val="Calibri"/>
        <family val="2"/>
        <charset val="238"/>
      </rPr>
      <t xml:space="preserve">dosaženo stanoveného léčebného cíle (tj.dosažení nízké aktivity onemocnění nebo </t>
    </r>
  </si>
  <si>
    <r>
      <t xml:space="preserve">   4. Selže-li jeden bDMARD či tsDMARD, měla by být zvážena léčba jiným bDMARD* či tsDMARD**</t>
    </r>
    <r>
      <rPr>
        <sz val="9"/>
        <color theme="1"/>
        <rFont val="Calibri"/>
        <family val="2"/>
        <charset val="238"/>
      </rPr>
      <t>; pokud selže terapie jedním iTNFα, pacientovi múže být podán lék s jiným mechanismem účinku nebo další  iTNFα. (LoE 1b*, resp. 5**, soR A*, resp. D**)</t>
    </r>
  </si>
  <si>
    <t>farmakolog. skupina</t>
  </si>
  <si>
    <t>Pfizer</t>
  </si>
  <si>
    <r>
      <t>podmínky aktivity RA (dle DAS28) pro nasazení dle úhrad v ČR</t>
    </r>
    <r>
      <rPr>
        <vertAlign val="superscript"/>
        <sz val="8"/>
        <rFont val="Arial"/>
        <family val="2"/>
        <charset val="238"/>
      </rPr>
      <t>1</t>
    </r>
  </si>
  <si>
    <t>≥ 5,1</t>
  </si>
  <si>
    <r>
      <t>ANO</t>
    </r>
    <r>
      <rPr>
        <vertAlign val="superscript"/>
        <sz val="10"/>
        <color theme="1"/>
        <rFont val="Calibri"/>
        <family val="2"/>
        <charset val="238"/>
        <scheme val="minor"/>
      </rPr>
      <t>3,5</t>
    </r>
  </si>
  <si>
    <t>AbbVie</t>
  </si>
  <si>
    <r>
      <t>násobek vůči ceně nejlevnějšího za první 3 měsíce se započtením bonusů -</t>
    </r>
    <r>
      <rPr>
        <b/>
        <sz val="8"/>
        <rFont val="Arial"/>
        <family val="2"/>
        <charset val="238"/>
      </rPr>
      <t xml:space="preserve"> CMA</t>
    </r>
  </si>
  <si>
    <r>
      <t>nutnost předchozího užívání iTNFα (kromě csDMARD) pro nasazení léku dle úhrad v ČR</t>
    </r>
    <r>
      <rPr>
        <vertAlign val="superscript"/>
        <sz val="8"/>
        <rFont val="Arial"/>
        <family val="2"/>
        <charset val="238"/>
      </rPr>
      <t>1</t>
    </r>
  </si>
  <si>
    <r>
      <t>možnost monoterapie dle úhrad v ČR</t>
    </r>
    <r>
      <rPr>
        <vertAlign val="superscript"/>
        <sz val="8"/>
        <rFont val="Arial"/>
        <family val="2"/>
        <charset val="238"/>
      </rPr>
      <t>1</t>
    </r>
  </si>
  <si>
    <r>
      <rPr>
        <b/>
        <sz val="9"/>
        <rFont val="Arial"/>
        <family val="2"/>
        <charset val="238"/>
      </rPr>
      <t xml:space="preserve">indikace </t>
    </r>
    <r>
      <rPr>
        <sz val="9"/>
        <rFont val="Arial"/>
        <family val="2"/>
        <charset val="238"/>
      </rPr>
      <t>v ČR dle SPC  k datu 18.8.2020</t>
    </r>
    <r>
      <rPr>
        <vertAlign val="superscript"/>
        <sz val="9"/>
        <rFont val="Arial"/>
        <family val="2"/>
        <charset val="238"/>
      </rPr>
      <t>1</t>
    </r>
  </si>
  <si>
    <t>tsDMARD</t>
  </si>
  <si>
    <t>p.o.</t>
  </si>
  <si>
    <r>
      <rPr>
        <u/>
        <sz val="8"/>
        <color theme="1"/>
        <rFont val="Calibri"/>
        <family val="2"/>
        <charset val="238"/>
        <scheme val="minor"/>
      </rPr>
      <t>v kombinaci s methotrexátem</t>
    </r>
    <r>
      <rPr>
        <sz val="8"/>
        <color theme="1"/>
        <rFont val="Calibri"/>
        <family val="2"/>
        <charset val="238"/>
        <scheme val="minor"/>
      </rPr>
      <t xml:space="preserve"> (MTX) k léčbě středně těžké až těžké aktivní RA u dospělých pacientů, kteří dostatečně neodpovídali na jedno, případně i více DMARD, nebo je netolerovali. Tofacitinib </t>
    </r>
    <r>
      <rPr>
        <u/>
        <sz val="8"/>
        <color theme="1"/>
        <rFont val="Calibri"/>
        <family val="2"/>
        <charset val="238"/>
        <scheme val="minor"/>
      </rPr>
      <t>lze podávat jako monoterapii</t>
    </r>
    <r>
      <rPr>
        <sz val="8"/>
        <color theme="1"/>
        <rFont val="Calibri"/>
        <family val="2"/>
        <charset val="238"/>
        <scheme val="minor"/>
      </rPr>
      <t xml:space="preserve"> v případě intolerance MTX, nebo pokud léčba MTX není vhodná.</t>
    </r>
  </si>
  <si>
    <t>L04AA29</t>
  </si>
  <si>
    <t>JAKi</t>
  </si>
  <si>
    <t>L04AA37</t>
  </si>
  <si>
    <r>
      <t xml:space="preserve">k léčbě středně závažné až závažné aktivní revmatoidní artritidy u dospělých pacientů, kteří neodpovídali dostatečně na jedno nebo více chorobu modifikujících antirevmatik, nebo je netolerovali. </t>
    </r>
    <r>
      <rPr>
        <u/>
        <sz val="8"/>
        <color theme="1"/>
        <rFont val="Calibri"/>
        <family val="2"/>
        <charset val="238"/>
        <scheme val="minor"/>
      </rPr>
      <t xml:space="preserve">Může být použit v monoterapii nebo v kombinaci s metotrexátem. </t>
    </r>
  </si>
  <si>
    <r>
      <rPr>
        <u/>
        <sz val="8"/>
        <color theme="1"/>
        <rFont val="Calibri"/>
        <family val="2"/>
        <charset val="238"/>
        <scheme val="minor"/>
      </rPr>
      <t>Doporučená dávka je 4 mg jednou denně</t>
    </r>
    <r>
      <rPr>
        <sz val="8"/>
        <color theme="1"/>
        <rFont val="Calibri"/>
        <family val="2"/>
        <charset val="238"/>
        <scheme val="minor"/>
      </rPr>
      <t xml:space="preserve">. Dávka 2 mg jednou denně je vhodná pro pacienty ve věku &gt;= 75 let a může být vhodná pro pacienty s chronickými nebo recidivujícími infekcemi v anamnéze. Dávku 2 mg jednou denně lze rovněž zvážit u pacientů, u kterých bylo dosaženo trvalé kontroly aktivity onemocnění při dávce 4 mg jednou denně a u kterých přichází v úvahu snižování dávky. U pacientů s clearance kreatininu od 30 do 60 ml/min je doporučená dávka 2 mg jednou denně. Použití se nedoporučuje u pacientů s clearance kreatininu &lt; 30 ml/min  </t>
    </r>
  </si>
  <si>
    <t>Eli Lilly</t>
  </si>
  <si>
    <r>
      <t xml:space="preserve">Doporučená dávka, která nemá být překročena, je </t>
    </r>
    <r>
      <rPr>
        <u/>
        <sz val="8"/>
        <color theme="1"/>
        <rFont val="Calibri"/>
        <family val="2"/>
        <charset val="238"/>
        <scheme val="minor"/>
      </rPr>
      <t>5 mg podávaných dvakrát denně</t>
    </r>
    <r>
      <rPr>
        <sz val="8"/>
        <color theme="1"/>
        <rFont val="Calibri"/>
        <family val="2"/>
        <charset val="238"/>
        <scheme val="minor"/>
      </rPr>
      <t xml:space="preserve">.  U pacientů s clearance kreatininu &lt; 30 ml/min je doporučená dávka 5 mg jednou denně. </t>
    </r>
  </si>
  <si>
    <t>L04AA44</t>
  </si>
  <si>
    <r>
      <t xml:space="preserve">v terapii dospělých pacientů </t>
    </r>
    <r>
      <rPr>
        <u/>
        <sz val="8"/>
        <color theme="1"/>
        <rFont val="Calibri"/>
        <family val="2"/>
        <charset val="238"/>
        <scheme val="minor"/>
      </rPr>
      <t>s RA s vysokou aktivitou choroby (DAS28 &gt;= 5,1)</t>
    </r>
    <r>
      <rPr>
        <sz val="8"/>
        <color theme="1"/>
        <rFont val="Calibri"/>
        <family val="2"/>
        <charset val="238"/>
        <scheme val="minor"/>
      </rPr>
      <t xml:space="preserve">, kteří dostatečně neodpovídali na léčbu methotrexátem, leflunomidem nebo sulfasalazinem (při podávání po dobu nejméně 6 měsíců) </t>
    </r>
    <r>
      <rPr>
        <u/>
        <sz val="8"/>
        <color theme="1"/>
        <rFont val="Calibri"/>
        <family val="2"/>
        <charset val="238"/>
        <scheme val="minor"/>
      </rPr>
      <t>a alespoň jedním přípravkem ze skupiny iTNF</t>
    </r>
    <r>
      <rPr>
        <sz val="8"/>
        <color theme="1"/>
        <rFont val="Calibri"/>
        <family val="2"/>
        <charset val="238"/>
        <scheme val="minor"/>
      </rPr>
      <t xml:space="preserve"> (při podávání po dobu nejméně 3 měsíců), nebo je netolerovali. </t>
    </r>
    <r>
      <rPr>
        <u/>
        <sz val="8"/>
        <color theme="1"/>
        <rFont val="Calibri"/>
        <family val="2"/>
        <charset val="238"/>
        <scheme val="minor"/>
      </rPr>
      <t>Terapie by měla vést k poklesu aktivity onemocnění během 3 měsíců léčby a k dosažení remise (DAS28 &lt; 2,6), nebo alespoň stavu nízké aktivity onemocnění (DAS28 &lt; 3,2) během 6 měsíců léčby.</t>
    </r>
    <r>
      <rPr>
        <sz val="8"/>
        <color theme="1"/>
        <rFont val="Calibri"/>
        <family val="2"/>
        <charset val="238"/>
        <scheme val="minor"/>
      </rPr>
      <t xml:space="preserve"> Jestliže remise nebo nízké aktivity onemocnění není během 6 měsíců dosaženo, nebo dojde-li k poklesu účinnosti zavedené terapie při následných kontrolách v intervalu 3 měsíců, léčba je ukončena a při přetrvávající aktivitě onemocnění je pacient přímo převeden na jiný přípravek biologické léčby. </t>
    </r>
    <r>
      <rPr>
        <u/>
        <sz val="8"/>
        <color theme="1"/>
        <rFont val="Calibri"/>
        <family val="2"/>
        <charset val="238"/>
        <scheme val="minor"/>
      </rPr>
      <t>Podává se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u/>
        <sz val="8"/>
        <color theme="1"/>
        <rFont val="Calibri"/>
        <family val="2"/>
        <charset val="238"/>
        <scheme val="minor"/>
      </rPr>
      <t xml:space="preserve">v kombinaci s methotrexátem, ale lze jej podávat i v monoterapii </t>
    </r>
    <r>
      <rPr>
        <sz val="8"/>
        <color theme="1"/>
        <rFont val="Calibri"/>
        <family val="2"/>
        <charset val="238"/>
        <scheme val="minor"/>
      </rPr>
      <t xml:space="preserve">při nesnášenlivosti methotrexátu nebo v případech, kdy pokračování v léčbě methotrexátem není možné.
</t>
    </r>
  </si>
  <si>
    <r>
      <rPr>
        <u/>
        <sz val="8"/>
        <color theme="1"/>
        <rFont val="Calibri"/>
        <family val="2"/>
        <charset val="238"/>
        <scheme val="minor"/>
      </rPr>
      <t>Doporučená dávka je 15 mg jednou denně</t>
    </r>
    <r>
      <rPr>
        <sz val="8"/>
        <color theme="1"/>
        <rFont val="Calibri"/>
        <family val="2"/>
        <charset val="238"/>
        <scheme val="minor"/>
      </rPr>
      <t>.  Pacienti s těžkou poruchou funkce ledvin mají upadacitinib užívat se zvýšenou opatrností.</t>
    </r>
  </si>
  <si>
    <r>
      <t>Rinvoq 15 mg tbl pro 28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(monoterapie</t>
    </r>
    <r>
      <rPr>
        <vertAlign val="superscript"/>
        <sz val="10"/>
        <color theme="1"/>
        <rFont val="Calibri"/>
        <family val="2"/>
        <charset val="238"/>
        <scheme val="minor"/>
      </rPr>
      <t>3,5</t>
    </r>
    <r>
      <rPr>
        <sz val="10"/>
        <color theme="1"/>
        <rFont val="Calibri"/>
        <family val="2"/>
        <charset val="238"/>
        <scheme val="minor"/>
      </rPr>
      <t>)</t>
    </r>
  </si>
  <si>
    <r>
      <t>Olumiant 4 mg tbl flm 35</t>
    </r>
    <r>
      <rPr>
        <sz val="8"/>
        <color theme="1"/>
        <rFont val="Calibri"/>
        <family val="2"/>
        <charset val="238"/>
        <scheme val="minor"/>
      </rPr>
      <t xml:space="preserve"> (výpočet ceny je pro dávkování 1x 4 mg po celou dobu) </t>
    </r>
    <r>
      <rPr>
        <sz val="10"/>
        <color theme="1"/>
        <rFont val="Calibri"/>
        <family val="2"/>
        <charset val="238"/>
        <scheme val="minor"/>
      </rPr>
      <t>(monoterapie</t>
    </r>
    <r>
      <rPr>
        <vertAlign val="superscript"/>
        <sz val="10"/>
        <color theme="1"/>
        <rFont val="Calibri"/>
        <family val="2"/>
        <charset val="238"/>
        <scheme val="minor"/>
      </rPr>
      <t>3,5</t>
    </r>
    <r>
      <rPr>
        <sz val="10"/>
        <color theme="1"/>
        <rFont val="Calibri"/>
        <family val="2"/>
        <charset val="238"/>
        <scheme val="minor"/>
      </rPr>
      <t>)</t>
    </r>
  </si>
  <si>
    <r>
      <rPr>
        <vertAlign val="superscript"/>
        <sz val="9"/>
        <color theme="1"/>
        <rFont val="Calibri"/>
        <family val="2"/>
        <charset val="238"/>
        <scheme val="minor"/>
      </rPr>
      <t>4</t>
    </r>
    <r>
      <rPr>
        <sz val="9"/>
        <color theme="1"/>
        <rFont val="Calibri"/>
        <family val="2"/>
        <charset val="238"/>
        <scheme val="minor"/>
      </rPr>
      <t xml:space="preserve"> Při kombinaci přípravku s csDMARD je jako csDMARD brán </t>
    </r>
    <r>
      <rPr>
        <u/>
        <sz val="9"/>
        <color theme="1"/>
        <rFont val="Calibri"/>
        <family val="2"/>
        <charset val="238"/>
        <scheme val="minor"/>
      </rPr>
      <t>metotrexát v dávce 10mg 1xtýdně</t>
    </r>
    <r>
      <rPr>
        <sz val="9"/>
        <color theme="1"/>
        <rFont val="Calibri"/>
        <family val="2"/>
        <charset val="238"/>
        <scheme val="minor"/>
      </rPr>
      <t xml:space="preserve"> - jeho cena je aktuálně </t>
    </r>
    <r>
      <rPr>
        <u/>
        <sz val="9"/>
        <color theme="1"/>
        <rFont val="Calibri"/>
        <family val="2"/>
        <charset val="238"/>
        <scheme val="minor"/>
      </rPr>
      <t>154 Kč za 3 měsíce léčby</t>
    </r>
    <r>
      <rPr>
        <sz val="9"/>
        <color theme="1"/>
        <rFont val="Calibri"/>
        <family val="2"/>
        <charset val="238"/>
        <scheme val="minor"/>
      </rPr>
      <t xml:space="preserve"> - ta </t>
    </r>
    <r>
      <rPr>
        <b/>
        <u/>
        <sz val="9"/>
        <color theme="1"/>
        <rFont val="Calibri"/>
        <family val="2"/>
        <charset val="238"/>
        <scheme val="minor"/>
      </rPr>
      <t xml:space="preserve">není brána v potaz, protože při srovnání ceny nejlevnějšího přípravku za 3 měsíce s cenou metotrexátu, tato činí jen 1,2% ceny přípravku </t>
    </r>
    <r>
      <rPr>
        <sz val="9"/>
        <color theme="1"/>
        <rFont val="Calibri"/>
        <family val="2"/>
        <charset val="238"/>
        <scheme val="minor"/>
      </rPr>
      <t>!</t>
    </r>
  </si>
  <si>
    <r>
      <rPr>
        <vertAlign val="superscript"/>
        <sz val="9"/>
        <color theme="1"/>
        <rFont val="Calibri"/>
        <family val="2"/>
        <charset val="238"/>
        <scheme val="minor"/>
      </rPr>
      <t>7</t>
    </r>
    <r>
      <rPr>
        <sz val="9"/>
        <color theme="1"/>
        <rFont val="Calibri"/>
        <family val="2"/>
        <charset val="238"/>
        <scheme val="minor"/>
      </rPr>
      <t xml:space="preserve"> </t>
    </r>
    <r>
      <rPr>
        <u/>
        <sz val="9"/>
        <color theme="1"/>
        <rFont val="Calibri"/>
        <family val="2"/>
        <charset val="238"/>
        <scheme val="minor"/>
      </rPr>
      <t>Relativní poměr QALYs</t>
    </r>
    <r>
      <rPr>
        <sz val="9"/>
        <color theme="1"/>
        <rFont val="Calibri"/>
        <family val="2"/>
        <charset val="238"/>
        <scheme val="minor"/>
      </rPr>
      <t xml:space="preserve"> je u každé látky (v kombinaci s csDMARD) </t>
    </r>
    <r>
      <rPr>
        <u/>
        <sz val="9"/>
        <color theme="1"/>
        <rFont val="Calibri"/>
        <family val="2"/>
        <charset val="238"/>
        <scheme val="minor"/>
      </rPr>
      <t>vztažen vůči tofacitinibu (v kombinaci s csDMARD) jako komparátoru a to z celoživotního horizontu dle utilit z USA</t>
    </r>
    <r>
      <rPr>
        <u/>
        <sz val="9"/>
        <color theme="1"/>
        <rFont val="Calibri"/>
        <family val="2"/>
        <charset val="238"/>
      </rPr>
      <t>; u monoterapie je komparátorem adalimumab -</t>
    </r>
    <r>
      <rPr>
        <b/>
        <u/>
        <sz val="9"/>
        <color theme="1"/>
        <rFont val="Calibri"/>
        <family val="2"/>
        <charset val="238"/>
      </rPr>
      <t xml:space="preserve"> oba jsou nejméně utilitní.</t>
    </r>
    <r>
      <rPr>
        <sz val="9"/>
        <color theme="1"/>
        <rFont val="Calibri"/>
        <family val="2"/>
        <charset val="238"/>
      </rPr>
      <t xml:space="preserve"> Obojí</t>
    </r>
    <r>
      <rPr>
        <sz val="9"/>
        <color theme="1"/>
        <rFont val="Calibri"/>
        <family val="2"/>
        <charset val="238"/>
        <scheme val="minor"/>
      </rPr>
      <t xml:space="preserve"> dle:  Institute for </t>
    </r>
  </si>
  <si>
    <t xml:space="preserve">   Clinical and Economic Review.  Evidence Report: Targeted Immune Modulators for Rheumatoid Arthritis April 7, 2017</t>
  </si>
  <si>
    <t xml:space="preserve">  hospitalizaci, léčení NÚ - detaily FE modelu pro výpočet QALY viz:  Institute for  Clinical and Economic Review.  Evidence Report: Targeted Immune Modulators for Rheumatoid Arthritis April 7, 2017</t>
  </si>
  <si>
    <t>Ve sloupcích W - AC jsou podtržením zvýrazněny hodnoty, které se výrazněji odlišují !!!!</t>
  </si>
  <si>
    <r>
      <t xml:space="preserve">KI dle SPC </t>
    </r>
    <r>
      <rPr>
        <sz val="8"/>
        <rFont val="Arial"/>
        <family val="2"/>
        <charset val="238"/>
      </rPr>
      <t>(kromě hypersenzitivity)</t>
    </r>
    <r>
      <rPr>
        <vertAlign val="superscript"/>
        <sz val="10"/>
        <rFont val="Arial"/>
        <family val="2"/>
        <charset val="238"/>
      </rPr>
      <t>1</t>
    </r>
  </si>
  <si>
    <t xml:space="preserve">* aktivní tuberkulóza (TBC), závažné infekce jako sepse, nebo oportunní infekce,                                   * těžká porucha funkce jater,                                           * těhotenství a kojení </t>
  </si>
  <si>
    <t>* těhotenství</t>
  </si>
  <si>
    <t>* aktivní tuberkulóza (TBC) nebo aktivní závažné infekce,                                   * těžká porucha funkce jater,                                           * těhotenství</t>
  </si>
  <si>
    <t xml:space="preserve">* oproti jiným non csDMARDs je KI u těžké poruchy funkce jater,                         v těhotenství </t>
  </si>
  <si>
    <r>
      <t xml:space="preserve">* </t>
    </r>
    <r>
      <rPr>
        <u/>
        <sz val="8"/>
        <color theme="1"/>
        <rFont val="Calibri"/>
        <family val="2"/>
        <charset val="238"/>
        <scheme val="minor"/>
      </rPr>
      <t>možnost p.o. podání  (1xdenně</t>
    </r>
    <r>
      <rPr>
        <sz val="8"/>
        <color theme="1"/>
        <rFont val="Calibri"/>
        <family val="2"/>
        <charset val="238"/>
        <scheme val="minor"/>
      </rPr>
      <t>)                                                                              * není KI u srdečního selhání NYHA III/IV jako iTNF (kromě etanerceptu) či rituximab</t>
    </r>
  </si>
  <si>
    <r>
      <t>výhody přípravku</t>
    </r>
    <r>
      <rPr>
        <vertAlign val="superscript"/>
        <sz val="8"/>
        <rFont val="Arial"/>
        <family val="2"/>
        <charset val="238"/>
      </rPr>
      <t>9</t>
    </r>
  </si>
  <si>
    <r>
      <t>nevýhody přípravku</t>
    </r>
    <r>
      <rPr>
        <vertAlign val="superscript"/>
        <sz val="8"/>
        <rFont val="Arial"/>
        <family val="2"/>
        <charset val="238"/>
      </rPr>
      <t>9</t>
    </r>
  </si>
  <si>
    <r>
      <rPr>
        <vertAlign val="superscript"/>
        <sz val="9"/>
        <color theme="1"/>
        <rFont val="Calibri"/>
        <family val="2"/>
        <charset val="238"/>
        <scheme val="minor"/>
      </rPr>
      <t>5</t>
    </r>
    <r>
      <rPr>
        <sz val="9"/>
        <color theme="1"/>
        <rFont val="Calibri"/>
        <family val="2"/>
        <charset val="238"/>
        <scheme val="minor"/>
      </rPr>
      <t xml:space="preserve"> Výsledky metaanalýz (dále jen "NMA") týkající se </t>
    </r>
    <r>
      <rPr>
        <b/>
        <u/>
        <sz val="9"/>
        <color theme="1"/>
        <rFont val="Calibri"/>
        <family val="2"/>
        <charset val="238"/>
        <scheme val="minor"/>
      </rPr>
      <t>monoterapie</t>
    </r>
    <r>
      <rPr>
        <sz val="9"/>
        <color theme="1"/>
        <rFont val="Calibri"/>
        <family val="2"/>
        <charset val="238"/>
        <scheme val="minor"/>
      </rPr>
      <t xml:space="preserve"> IL-6i a iTNFα (tocilizumab, sarilumab, resp. adalimumab a etanercept -viz: Institute for Clinical and Economic Review. Evidence Report: Targeted Immune Modulators for Rheumatoid </t>
    </r>
  </si>
  <si>
    <r>
      <t xml:space="preserve">   Arthritis April 7, 2017) a JAKi (upadacitinib a tofacitinib - viz: Pope J, Sawant R, et al.  Adv Ther (2020) 37:2356–2372) </t>
    </r>
    <r>
      <rPr>
        <b/>
        <u/>
        <sz val="9"/>
        <color theme="1"/>
        <rFont val="Calibri"/>
        <family val="2"/>
        <charset val="238"/>
        <scheme val="minor"/>
      </rPr>
      <t xml:space="preserve">neukazovaly statisticky významné rozdíly účinností (ACR20 nebo ještě lépe hodnocený za cca 24 týdnů léčby) </t>
    </r>
    <r>
      <rPr>
        <sz val="9"/>
        <color theme="1"/>
        <rFont val="Calibri"/>
        <family val="2"/>
        <charset val="238"/>
        <scheme val="minor"/>
      </rPr>
      <t xml:space="preserve">mezi jednotlivými látkami. Obě NMA nejsou komaparabilní, </t>
    </r>
  </si>
  <si>
    <r>
      <t xml:space="preserve">    Adv Ther (2020) 37:2356–2372) </t>
    </r>
    <r>
      <rPr>
        <b/>
        <sz val="9"/>
        <color theme="1"/>
        <rFont val="Calibri"/>
        <family val="2"/>
        <charset val="238"/>
        <scheme val="minor"/>
      </rPr>
      <t xml:space="preserve">byly baricitinib s upadacitinibem vždy o něco účinnější než tofacitinib (není to ale statisticky významné !!!), ale ve dvou NMA byl upadacitinib o něco účinnější než baricitinib, v jedné NMA to bylo naopak (nikdy ale </t>
    </r>
  </si>
  <si>
    <r>
      <rPr>
        <vertAlign val="superscript"/>
        <sz val="9"/>
        <color theme="1"/>
        <rFont val="Calibri"/>
        <family val="2"/>
        <charset val="238"/>
        <scheme val="minor"/>
      </rPr>
      <t>9</t>
    </r>
    <r>
      <rPr>
        <sz val="9"/>
        <color theme="1"/>
        <rFont val="Calibri"/>
        <family val="2"/>
        <charset val="238"/>
        <scheme val="minor"/>
      </rPr>
      <t xml:space="preserve"> </t>
    </r>
    <r>
      <rPr>
        <u/>
        <sz val="9"/>
        <color theme="1"/>
        <rFont val="Calibri"/>
        <family val="2"/>
        <charset val="238"/>
        <scheme val="minor"/>
      </rPr>
      <t>Mezi jednotlivými úč. látkami nebyly výrazné NÚ a ukončení léčby pro NÚ, proto náklady na léčbu NÚ či četnost vysazení nebyly zahrnuty do mé CEA či kvaziCUA</t>
    </r>
    <r>
      <rPr>
        <sz val="9"/>
        <color theme="1"/>
        <rFont val="Calibri"/>
        <family val="2"/>
        <charset val="238"/>
        <scheme val="minor"/>
      </rPr>
      <t>. Např. vážné NÚ se pohybovaly v rozmezí 3,1-6%, kromě rituximabu (9%), infliximabu (8,9%), certolizumabu (7,9%)</t>
    </r>
    <r>
      <rPr>
        <sz val="9"/>
        <color theme="1"/>
        <rFont val="Calibri"/>
        <family val="2"/>
        <charset val="238"/>
      </rPr>
      <t xml:space="preserve">; </t>
    </r>
  </si>
  <si>
    <t xml:space="preserve">  ukončení léčby pro NÚ se pohybovaly od 0,9 - 5 %, kromě sarilumabu (9,2%). Z dlouhodobých NÚ (vážné NÚ, vážné infekce) se z publikovaných dat mírné vymyká infliximab, který měl nejvyšší četnost (21,1%, resp. 9,2%). Čerpáno dle:  Institute for  Clinical and Economic Review.  </t>
  </si>
  <si>
    <r>
      <t>násobek poměru cena/účinnost</t>
    </r>
    <r>
      <rPr>
        <vertAlign val="superscript"/>
        <sz val="8"/>
        <rFont val="Arial"/>
        <family val="2"/>
        <charset val="238"/>
      </rPr>
      <t>9</t>
    </r>
    <r>
      <rPr>
        <sz val="8"/>
        <rFont val="Arial"/>
        <family val="2"/>
        <charset val="238"/>
      </rPr>
      <t xml:space="preserve"> vůči nákl. nejefekt. za první 3 měsíce</t>
    </r>
    <r>
      <rPr>
        <vertAlign val="superscript"/>
        <sz val="8"/>
        <rFont val="Arial"/>
        <family val="2"/>
        <charset val="238"/>
      </rPr>
      <t>10</t>
    </r>
    <r>
      <rPr>
        <sz val="8"/>
        <rFont val="Arial"/>
        <family val="2"/>
        <charset val="238"/>
      </rPr>
      <t xml:space="preserve"> se započtením bonusů - </t>
    </r>
    <r>
      <rPr>
        <b/>
        <sz val="8"/>
        <rFont val="Arial"/>
        <family val="2"/>
        <charset val="238"/>
      </rPr>
      <t>CEA</t>
    </r>
  </si>
  <si>
    <r>
      <rPr>
        <vertAlign val="superscript"/>
        <sz val="9"/>
        <color theme="1"/>
        <rFont val="Calibri"/>
        <family val="2"/>
        <charset val="238"/>
        <scheme val="minor"/>
      </rPr>
      <t xml:space="preserve">10 </t>
    </r>
    <r>
      <rPr>
        <b/>
        <u/>
        <sz val="9"/>
        <color theme="1"/>
        <rFont val="Calibri"/>
        <family val="2"/>
        <charset val="238"/>
        <scheme val="minor"/>
      </rPr>
      <t xml:space="preserve">CAVE ! </t>
    </r>
    <r>
      <rPr>
        <sz val="9"/>
        <color theme="1"/>
        <rFont val="Calibri"/>
        <family val="2"/>
        <charset val="238"/>
        <scheme val="minor"/>
      </rPr>
      <t xml:space="preserve">Parametr účinnosti (RR dosažení ACR20 nebo ještě lépe hodnocený za cca 24 týdnů léčby) byl v použité NMA hodnocen za cca 24 týdnů léčby (viz výše pozn. 5 a 6), tzn. </t>
    </r>
    <r>
      <rPr>
        <b/>
        <u/>
        <sz val="9"/>
        <color theme="1"/>
        <rFont val="Calibri"/>
        <family val="2"/>
        <charset val="238"/>
        <scheme val="minor"/>
      </rPr>
      <t xml:space="preserve">při mé CEA za první 3 měsíce léčby či za 1 rok udržovací léčby je předpokládán stejný RR parametru </t>
    </r>
  </si>
  <si>
    <r>
      <t xml:space="preserve">   </t>
    </r>
    <r>
      <rPr>
        <b/>
        <u/>
        <sz val="9"/>
        <color theme="1"/>
        <rFont val="Calibri"/>
        <family val="2"/>
        <charset val="238"/>
        <scheme val="minor"/>
      </rPr>
      <t>účinnosti jako za prvních 6 měsíců léčby !</t>
    </r>
    <r>
      <rPr>
        <sz val="9"/>
        <color theme="1"/>
        <rFont val="Calibri"/>
        <family val="2"/>
        <charset val="238"/>
        <scheme val="minor"/>
      </rPr>
      <t>!</t>
    </r>
  </si>
  <si>
    <r>
      <rPr>
        <vertAlign val="superscript"/>
        <sz val="9"/>
        <color theme="1"/>
        <rFont val="Calibri"/>
        <family val="2"/>
        <charset val="238"/>
        <scheme val="minor"/>
      </rPr>
      <t>8</t>
    </r>
    <r>
      <rPr>
        <sz val="9"/>
        <color theme="1"/>
        <rFont val="Calibri"/>
        <family val="2"/>
        <charset val="238"/>
        <scheme val="minor"/>
      </rPr>
      <t xml:space="preserve"> Pro výpočet </t>
    </r>
    <r>
      <rPr>
        <b/>
        <u/>
        <sz val="9"/>
        <color theme="1"/>
        <rFont val="Calibri"/>
        <family val="2"/>
        <charset val="238"/>
        <scheme val="minor"/>
      </rPr>
      <t>kvazi CUA</t>
    </r>
    <r>
      <rPr>
        <sz val="9"/>
        <color theme="1"/>
        <rFont val="Calibri"/>
        <family val="2"/>
        <charset val="238"/>
        <scheme val="minor"/>
      </rPr>
      <t>, tj.poměru cena/utilita (QALY)</t>
    </r>
    <r>
      <rPr>
        <vertAlign val="superscript"/>
        <sz val="9"/>
        <color theme="1"/>
        <rFont val="Calibri"/>
        <family val="2"/>
        <charset val="238"/>
        <scheme val="minor"/>
      </rPr>
      <t>7</t>
    </r>
    <r>
      <rPr>
        <sz val="9"/>
        <color theme="1"/>
        <rFont val="Calibri"/>
        <family val="2"/>
        <charset val="238"/>
        <scheme val="minor"/>
      </rPr>
      <t xml:space="preserve"> byl </t>
    </r>
    <r>
      <rPr>
        <u/>
        <sz val="9"/>
        <color theme="1"/>
        <rFont val="Calibri"/>
        <family val="2"/>
        <charset val="238"/>
        <scheme val="minor"/>
      </rPr>
      <t>pro</t>
    </r>
    <r>
      <rPr>
        <b/>
        <u/>
        <sz val="9"/>
        <color theme="1"/>
        <rFont val="Calibri"/>
        <family val="2"/>
        <charset val="238"/>
        <scheme val="minor"/>
      </rPr>
      <t xml:space="preserve"> ZJEDNODUŠENÍ</t>
    </r>
    <r>
      <rPr>
        <u/>
        <sz val="9"/>
        <color theme="1"/>
        <rFont val="Calibri"/>
        <family val="2"/>
        <charset val="238"/>
        <scheme val="minor"/>
      </rPr>
      <t xml:space="preserve"> použit předpoklad, že poměr QALY mezi jednotlivými léky zůstává v různém časovém úseku konstantní. Pro výpočet ceny byly použity jen náklady za přípravek !!!</t>
    </r>
    <r>
      <rPr>
        <sz val="9"/>
        <color theme="1"/>
        <rFont val="Calibri"/>
        <family val="2"/>
        <charset val="238"/>
        <scheme val="minor"/>
      </rPr>
      <t>, nebyly vzaty v potaz náklady na administraci,</t>
    </r>
  </si>
  <si>
    <r>
      <t xml:space="preserve">  proto bodové hodnoty RR u </t>
    </r>
    <r>
      <rPr>
        <b/>
        <sz val="9"/>
        <color theme="1"/>
        <rFont val="Calibri"/>
        <family val="2"/>
        <charset val="238"/>
        <scheme val="minor"/>
      </rPr>
      <t xml:space="preserve"> </t>
    </r>
    <r>
      <rPr>
        <b/>
        <u/>
        <sz val="9"/>
        <color theme="1"/>
        <rFont val="Calibri"/>
        <family val="2"/>
        <charset val="238"/>
        <scheme val="minor"/>
      </rPr>
      <t>jednotlivých látek pro monoterapii uvádím jen pro tocilizumab, sarilumab, adalimumab a etanercept vůči adalimumabu jako komparátoru (nejméně účinný)!!</t>
    </r>
  </si>
  <si>
    <r>
      <rPr>
        <vertAlign val="superscript"/>
        <sz val="9"/>
        <color theme="1"/>
        <rFont val="Calibri"/>
        <family val="2"/>
        <charset val="238"/>
        <scheme val="minor"/>
      </rPr>
      <t>6</t>
    </r>
    <r>
      <rPr>
        <sz val="9"/>
        <color theme="1"/>
        <rFont val="Calibri"/>
        <family val="2"/>
        <charset val="238"/>
        <scheme val="minor"/>
      </rPr>
      <t xml:space="preserve">  </t>
    </r>
    <r>
      <rPr>
        <b/>
        <u/>
        <sz val="9"/>
        <color theme="1"/>
        <rFont val="Calibri"/>
        <family val="2"/>
        <charset val="238"/>
        <scheme val="minor"/>
      </rPr>
      <t>Jako parametr účinnosti jsem vzal bodovou hodnotu RR dosažení ACR20 nebo ještě lépe hodnocený za cca 24 týdnů léčby</t>
    </r>
    <r>
      <rPr>
        <sz val="9"/>
        <color theme="1"/>
        <rFont val="Calibri"/>
        <family val="2"/>
        <charset val="238"/>
        <scheme val="minor"/>
      </rPr>
      <t xml:space="preserve"> u dané látky</t>
    </r>
    <r>
      <rPr>
        <u/>
        <sz val="9"/>
        <color theme="1"/>
        <rFont val="Calibri"/>
        <family val="2"/>
        <charset val="238"/>
        <scheme val="minor"/>
      </rPr>
      <t xml:space="preserve"> </t>
    </r>
    <r>
      <rPr>
        <b/>
        <u/>
        <sz val="9"/>
        <color theme="1"/>
        <rFont val="Calibri"/>
        <family val="2"/>
        <charset val="238"/>
        <scheme val="minor"/>
      </rPr>
      <t>s kombinací csDMARD</t>
    </r>
    <r>
      <rPr>
        <sz val="9"/>
        <color theme="1"/>
        <rFont val="Calibri"/>
        <family val="2"/>
        <charset val="238"/>
        <scheme val="minor"/>
      </rPr>
      <t xml:space="preserve"> </t>
    </r>
    <r>
      <rPr>
        <u/>
        <sz val="9"/>
        <color theme="1"/>
        <rFont val="Calibri"/>
        <family val="2"/>
        <charset val="238"/>
        <scheme val="minor"/>
      </rPr>
      <t>vůči rituximabu</t>
    </r>
    <r>
      <rPr>
        <sz val="9"/>
        <color theme="1"/>
        <rFont val="Calibri"/>
        <family val="2"/>
        <charset val="238"/>
        <scheme val="minor"/>
      </rPr>
      <t xml:space="preserve"> s csDMARD </t>
    </r>
    <r>
      <rPr>
        <b/>
        <u/>
        <sz val="9"/>
        <color theme="1"/>
        <rFont val="Calibri"/>
        <family val="2"/>
        <charset val="238"/>
        <scheme val="minor"/>
      </rPr>
      <t>(nejméně účinný)</t>
    </r>
    <r>
      <rPr>
        <sz val="9"/>
        <color theme="1"/>
        <rFont val="Calibri"/>
        <family val="2"/>
        <charset val="238"/>
        <scheme val="minor"/>
      </rPr>
      <t xml:space="preserve"> jako komparátoru dle: Institute for Clinical and Economic Review. Evidence Report: </t>
    </r>
  </si>
  <si>
    <r>
      <t xml:space="preserve">  </t>
    </r>
    <r>
      <rPr>
        <b/>
        <u/>
        <sz val="9"/>
        <color theme="1"/>
        <rFont val="Calibri"/>
        <family val="2"/>
        <charset val="238"/>
        <scheme val="minor"/>
      </rPr>
      <t>CAVE!! Relativní poměry QALY (viz výše pozn. 7) se pohybují pouze mezi 1 - 1,04, tzn. rozdíly jsou minimální !, lze předpokládat, že násobek poměru cena/utilita vůči nákladově nejužitečnějšímu za 1 rok udržovací léčby bude vyšší u látek, které se podávají i.v., u látek s vyšší četnost</t>
    </r>
    <r>
      <rPr>
        <sz val="9"/>
        <color theme="1"/>
        <rFont val="Calibri"/>
        <family val="2"/>
        <charset val="238"/>
        <scheme val="minor"/>
      </rPr>
      <t xml:space="preserve">í </t>
    </r>
  </si>
  <si>
    <r>
      <t xml:space="preserve">  </t>
    </r>
    <r>
      <rPr>
        <b/>
        <u/>
        <sz val="9"/>
        <color theme="1"/>
        <rFont val="Calibri"/>
        <family val="2"/>
        <charset val="238"/>
        <scheme val="minor"/>
      </rPr>
      <t xml:space="preserve"> výskytu vážných infekcí či infekcí TBC (viz níže pozn. 9)</t>
    </r>
    <r>
      <rPr>
        <sz val="9"/>
        <color theme="1"/>
        <rFont val="Calibri"/>
        <family val="2"/>
        <charset val="238"/>
        <scheme val="minor"/>
      </rPr>
      <t>.</t>
    </r>
  </si>
  <si>
    <t xml:space="preserve">  Evidence Report: Targeted Immune Modulators for Rheumatoid Arthritis April 7, 2017 - viz níže tabulky 11, 12, D5, D17 a D18 z tohoto zdroje.</t>
  </si>
  <si>
    <t>* možnost p.o. podání                                                                                * není KI u srdečního selhání NYHA III/IV jako iTNF (kromě etanerceptu) či rituximab                                                                                               * pravděpodobně jedna z nejnižších četností výskytu vážných infekcí</t>
  </si>
  <si>
    <r>
      <t xml:space="preserve">* oproti jiným non csDMARDs je KI v těhotenství,                                                                              * </t>
    </r>
    <r>
      <rPr>
        <u/>
        <sz val="8"/>
        <color theme="1"/>
        <rFont val="Calibri"/>
        <family val="2"/>
        <charset val="238"/>
        <scheme val="minor"/>
      </rPr>
      <t>pravděpodobně 2. nejvyšší četnost výskytu vážných infekcí po tocilizumab</t>
    </r>
    <r>
      <rPr>
        <sz val="8"/>
        <color theme="1"/>
        <rFont val="Calibri"/>
        <family val="2"/>
        <charset val="238"/>
        <scheme val="minor"/>
      </rPr>
      <t>u</t>
    </r>
  </si>
  <si>
    <r>
      <t xml:space="preserve">* </t>
    </r>
    <r>
      <rPr>
        <u/>
        <sz val="8"/>
        <color theme="1"/>
        <rFont val="Calibri"/>
        <family val="2"/>
        <charset val="238"/>
        <scheme val="minor"/>
      </rPr>
      <t xml:space="preserve">oproti ostatním JAKi má nejmíň KI a </t>
    </r>
    <r>
      <rPr>
        <sz val="8"/>
        <color theme="1"/>
        <rFont val="Calibri"/>
        <family val="2"/>
        <charset val="238"/>
        <scheme val="minor"/>
      </rPr>
      <t xml:space="preserve">oproti jiným non-csDMARD není KI u infekcí !!!!                                                                                                               * </t>
    </r>
    <r>
      <rPr>
        <u/>
        <sz val="8"/>
        <color theme="1"/>
        <rFont val="Calibri"/>
        <family val="2"/>
        <charset val="238"/>
        <scheme val="minor"/>
      </rPr>
      <t xml:space="preserve">možnost p.o. podání (1x denně)  </t>
    </r>
    <r>
      <rPr>
        <sz val="8"/>
        <color theme="1"/>
        <rFont val="Calibri"/>
        <family val="2"/>
        <charset val="238"/>
        <scheme val="minor"/>
      </rPr>
      <t xml:space="preserve">                                                                             * není KI u srdečního selhání NYHA III/IV jako iTNF (kromě etanerceptu) či rituximab</t>
    </r>
  </si>
  <si>
    <r>
      <t xml:space="preserve">* oproti jiným non csDMARDs je KI u těžké poruchy funkce jater,                         v těhotenství a při kojení,                                                             * </t>
    </r>
    <r>
      <rPr>
        <u/>
        <sz val="8"/>
        <color theme="1"/>
        <rFont val="Calibri"/>
        <family val="2"/>
        <charset val="238"/>
        <scheme val="minor"/>
      </rPr>
      <t>oproti ostatním JAKi se musí dávkovat 2xdenn</t>
    </r>
    <r>
      <rPr>
        <sz val="8"/>
        <color theme="1"/>
        <rFont val="Calibri"/>
        <family val="2"/>
        <charset val="238"/>
        <scheme val="minor"/>
      </rPr>
      <t xml:space="preserve">ě,                                                                    * pravděpodobně 2. nejvyšší četnost výskytu TBC infekcí po skupině iTNF,                                         * </t>
    </r>
    <r>
      <rPr>
        <u/>
        <sz val="8"/>
        <color theme="1"/>
        <rFont val="Calibri"/>
        <family val="2"/>
        <charset val="238"/>
        <scheme val="minor"/>
      </rPr>
      <t>pravděpodob. nejvyšší riziko ukončení léčby pro výskyt NÚ spolu s infliximabem</t>
    </r>
  </si>
  <si>
    <r>
      <t xml:space="preserve">v terapii dospělých pacientů </t>
    </r>
    <r>
      <rPr>
        <u/>
        <sz val="8"/>
        <color theme="1"/>
        <rFont val="Calibri"/>
        <family val="2"/>
        <charset val="238"/>
        <scheme val="minor"/>
      </rPr>
      <t>s RA s vysokou aktivitou choroby (DAS28 &gt;= 5,1)</t>
    </r>
    <r>
      <rPr>
        <sz val="8"/>
        <color theme="1"/>
        <rFont val="Calibri"/>
        <family val="2"/>
        <charset val="238"/>
        <scheme val="minor"/>
      </rPr>
      <t xml:space="preserve">, kteří dostatečně neodpovídali na léčbu methotrexátem, leflunomidem nebo sulfasalazinem (při podávání po dobu nejméně 6 měsíců) </t>
    </r>
    <r>
      <rPr>
        <u/>
        <sz val="8"/>
        <color theme="1"/>
        <rFont val="Calibri"/>
        <family val="2"/>
        <charset val="238"/>
        <scheme val="minor"/>
      </rPr>
      <t>a alespoň jedním iTNF (při podávání po dobu nejméně 3 měsíců)</t>
    </r>
    <r>
      <rPr>
        <sz val="8"/>
        <color theme="1"/>
        <rFont val="Calibri"/>
        <family val="2"/>
        <charset val="238"/>
        <scheme val="minor"/>
      </rPr>
      <t xml:space="preserve">, nebo je netolerovali. </t>
    </r>
    <r>
      <rPr>
        <u/>
        <sz val="8"/>
        <color theme="1"/>
        <rFont val="Calibri"/>
        <family val="2"/>
        <charset val="238"/>
        <scheme val="minor"/>
      </rPr>
      <t>Terapie by měla vést k poklesu aktivity onemocnění během 3 měsíců léčby a k dosažení remise (DAS28 &lt; 2,6), nebo alespoň stavu nízké aktivity onemocnění (DAS28 &lt; 3,2) během 6 měsíců léčby.</t>
    </r>
    <r>
      <rPr>
        <sz val="8"/>
        <color theme="1"/>
        <rFont val="Calibri"/>
        <family val="2"/>
        <charset val="238"/>
        <scheme val="minor"/>
      </rPr>
      <t xml:space="preserve"> Jestliže remise nebo nízké aktivity onemocnění není během 6 měsíců dosaženo, nebo dojde-li k poklesu účinnosti zavedené terapie při následných kontrolách v intervalu 3 měsíců, léčba je ukončena a při přetrvávající aktivitě onemocnění je pacient přímo převeden na jiný přípravek biologické léčby. </t>
    </r>
    <r>
      <rPr>
        <u/>
        <sz val="8"/>
        <color theme="1"/>
        <rFont val="Calibri"/>
        <family val="2"/>
        <charset val="238"/>
        <scheme val="minor"/>
      </rPr>
      <t>Podává se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u/>
        <sz val="8"/>
        <color theme="1"/>
        <rFont val="Calibri"/>
        <family val="2"/>
        <charset val="238"/>
        <scheme val="minor"/>
      </rPr>
      <t xml:space="preserve">v kombinaci s methotrexátem, ale lze jej podávat i v monoterapii </t>
    </r>
    <r>
      <rPr>
        <sz val="8"/>
        <color theme="1"/>
        <rFont val="Calibri"/>
        <family val="2"/>
        <charset val="238"/>
        <scheme val="minor"/>
      </rPr>
      <t xml:space="preserve">při nesnášenlivosti methotrexátu nebo v případech, kdy pokračování v léčbě methotrexátem není možné.
</t>
    </r>
  </si>
  <si>
    <r>
      <t xml:space="preserve">    Targeted Immune Modulators for Rheumatoid Arthritis April 7, 2017 (dále jen " ICER 2017").  </t>
    </r>
    <r>
      <rPr>
        <b/>
        <u/>
        <sz val="9"/>
        <color theme="1"/>
        <rFont val="Calibri"/>
        <family val="2"/>
        <charset val="238"/>
        <scheme val="minor"/>
      </rPr>
      <t>Rozdíly RR (relative risk) mezi jednotlivými látkami s csDMARD nedosahují u žádné statistické významnosti !!!</t>
    </r>
    <r>
      <rPr>
        <sz val="9"/>
        <color theme="1"/>
        <rFont val="Calibri"/>
        <family val="2"/>
        <charset val="238"/>
        <scheme val="minor"/>
      </rPr>
      <t xml:space="preserve">  V této metaanalýze nebyl zahrnut </t>
    </r>
    <r>
      <rPr>
        <b/>
        <u/>
        <sz val="9"/>
        <color theme="1"/>
        <rFont val="Calibri"/>
        <family val="2"/>
        <charset val="238"/>
        <scheme val="minor"/>
      </rPr>
      <t>upadacinitib - jeho RR jsem aproximoval stejně jaku u baricitinibu</t>
    </r>
    <r>
      <rPr>
        <sz val="9"/>
        <color theme="1"/>
        <rFont val="Calibri"/>
        <family val="2"/>
        <charset val="238"/>
        <scheme val="minor"/>
      </rPr>
      <t xml:space="preserve">, protože </t>
    </r>
  </si>
  <si>
    <r>
      <t xml:space="preserve">    dle publikovaných metaanalýz (dále jen "NMA") pro JAKi (Lee YH, Song GG. Z Rheumatol. 2020 Feb 13- doi: 10.1007/s00393-020-00750-1. Online ahead of print</t>
    </r>
    <r>
      <rPr>
        <sz val="9"/>
        <color theme="1"/>
        <rFont val="Calibri"/>
        <family val="2"/>
        <charset val="238"/>
      </rPr>
      <t>;</t>
    </r>
    <r>
      <rPr>
        <sz val="9"/>
        <color theme="1"/>
        <rFont val="Calibri"/>
        <family val="2"/>
        <charset val="238"/>
        <scheme val="minor"/>
      </rPr>
      <t xml:space="preserve"> Kerschbaumer A, Sepriano A, Smolen JS, et al. Ann Rheum Dis 2020;79:744–759; Pope J, Sawant R, et al. </t>
    </r>
  </si>
  <si>
    <r>
      <t xml:space="preserve">    </t>
    </r>
    <r>
      <rPr>
        <b/>
        <sz val="9"/>
        <color theme="1"/>
        <rFont val="Calibri"/>
        <family val="2"/>
        <charset val="238"/>
        <scheme val="minor"/>
      </rPr>
      <t>nebylo dosaženo statistické významnosti těchto rozdílů !!!</t>
    </r>
    <r>
      <rPr>
        <sz val="9"/>
        <color theme="1"/>
        <rFont val="Calibri"/>
        <family val="2"/>
        <charset val="238"/>
        <scheme val="minor"/>
      </rPr>
      <t xml:space="preserve">).  </t>
    </r>
    <r>
      <rPr>
        <b/>
        <u/>
        <sz val="9"/>
        <color theme="1"/>
        <rFont val="Calibri"/>
        <family val="2"/>
        <charset val="238"/>
        <scheme val="minor"/>
      </rPr>
      <t>NMA v ICER 2017 se týkala smíšené populace pacientů (tj. méně jak 20% pacientů v zahrnutých studiích bylo předtím vystaveno cílené bilog. nebo nebiolog. RA terapie).</t>
    </r>
  </si>
  <si>
    <r>
      <t xml:space="preserve">v terapii dospělých pacientů </t>
    </r>
    <r>
      <rPr>
        <u/>
        <sz val="8"/>
        <color theme="1"/>
        <rFont val="Calibri"/>
        <family val="2"/>
        <charset val="238"/>
        <scheme val="minor"/>
      </rPr>
      <t>s RA s vysokou aktivitou choroby (DAS28 &gt;= 5,1)</t>
    </r>
    <r>
      <rPr>
        <sz val="8"/>
        <color theme="1"/>
        <rFont val="Calibri"/>
        <family val="2"/>
        <charset val="238"/>
        <scheme val="minor"/>
      </rPr>
      <t xml:space="preserve">, kteří dostatečně neodpovídali na léčbu methotrexátem, leflunomidem nebo sulfasalazinem (při podávání po dobu nejméně 6 měsíců), nebo je netolerovali. </t>
    </r>
    <r>
      <rPr>
        <u/>
        <sz val="8"/>
        <color theme="1"/>
        <rFont val="Calibri"/>
        <family val="2"/>
        <charset val="238"/>
        <scheme val="minor"/>
      </rPr>
      <t>Terapie by měla vést k poklesu aktivity onemocnění během 3 měsíců léčby a k dosažení remise (DAS28 &lt; 2,6), nebo alespoň stavu nízké aktivity onemocnění (DAS28 &lt; 3,2) během 6 měsíců léčby.</t>
    </r>
    <r>
      <rPr>
        <sz val="8"/>
        <color theme="1"/>
        <rFont val="Calibri"/>
        <family val="2"/>
        <charset val="238"/>
        <scheme val="minor"/>
      </rPr>
      <t xml:space="preserve"> Jestliže remise nebo nízké aktivity onemocnění není během 6 měsíců dosaženo, nebo dojde-li k poklesu účinnosti zavedené terapie při následných kontrolách v intervalu 3 měsíců, léčba je ukončena a při přetrvávající aktivitě onemocnění je pacient přímo převeden na jiný přípravek biologické léčby. </t>
    </r>
    <r>
      <rPr>
        <u/>
        <sz val="8"/>
        <color theme="1"/>
        <rFont val="Calibri"/>
        <family val="2"/>
        <charset val="238"/>
        <scheme val="minor"/>
      </rPr>
      <t>Podává se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u/>
        <sz val="8"/>
        <color theme="1"/>
        <rFont val="Calibri"/>
        <family val="2"/>
        <charset val="238"/>
        <scheme val="minor"/>
      </rPr>
      <t xml:space="preserve">v kombinaci s methotrexátem, ale lze jej podávat i v monoterapii </t>
    </r>
    <r>
      <rPr>
        <sz val="8"/>
        <color theme="1"/>
        <rFont val="Calibri"/>
        <family val="2"/>
        <charset val="238"/>
        <scheme val="minor"/>
      </rPr>
      <t xml:space="preserve">při nesnášenlivosti methotrexátu nebo v případech, kdy pokračování v léčbě methotrexátem není možné.
</t>
    </r>
  </si>
  <si>
    <r>
      <rPr>
        <u/>
        <sz val="9"/>
        <color theme="1"/>
        <rFont val="Calibri"/>
        <family val="2"/>
        <charset val="238"/>
        <scheme val="minor"/>
      </rPr>
      <t>tofacitinib</t>
    </r>
    <r>
      <rPr>
        <sz val="9"/>
        <color theme="1"/>
        <rFont val="Calibri"/>
        <family val="2"/>
        <charset val="238"/>
        <scheme val="minor"/>
      </rPr>
      <t xml:space="preserve"> (inhibuje JAK1, JAK2 a JAK3 - preferenčně JAK1 a JAK3)</t>
    </r>
  </si>
  <si>
    <r>
      <rPr>
        <u/>
        <sz val="9"/>
        <color theme="1"/>
        <rFont val="Calibri"/>
        <family val="2"/>
        <charset val="238"/>
        <scheme val="minor"/>
      </rPr>
      <t>baricitinib</t>
    </r>
    <r>
      <rPr>
        <sz val="9"/>
        <color theme="1"/>
        <rFont val="Calibri"/>
        <family val="2"/>
        <charset val="238"/>
        <scheme val="minor"/>
      </rPr>
      <t xml:space="preserve"> (selektivně inhibuje JAK1 a JAK2) </t>
    </r>
  </si>
  <si>
    <r>
      <rPr>
        <u/>
        <sz val="9"/>
        <color theme="1"/>
        <rFont val="Calibri"/>
        <family val="2"/>
        <charset val="238"/>
        <scheme val="minor"/>
      </rPr>
      <t>upadacitinib</t>
    </r>
    <r>
      <rPr>
        <sz val="9"/>
        <color theme="1"/>
        <rFont val="Calibri"/>
        <family val="2"/>
        <charset val="238"/>
        <scheme val="minor"/>
      </rPr>
      <t xml:space="preserve"> (nejvyšší selektivita inhibice JAK1) </t>
    </r>
  </si>
  <si>
    <r>
      <t>účinná látka - selektivita dle</t>
    </r>
    <r>
      <rPr>
        <vertAlign val="superscript"/>
        <sz val="9"/>
        <rFont val="Arial"/>
        <family val="2"/>
        <charset val="238"/>
      </rPr>
      <t>11</t>
    </r>
  </si>
  <si>
    <t>11 Oznámení o zahájení hloubkové revize JAKi ze dne 14.12.2022 - staženo z www.sukl.cz</t>
  </si>
  <si>
    <t>Jyseleca 200 mg tbl flm 30</t>
  </si>
  <si>
    <t>L04AA45</t>
  </si>
  <si>
    <t>Galapagos</t>
  </si>
  <si>
    <t xml:space="preserve">ANO                                  </t>
  </si>
  <si>
    <r>
      <rPr>
        <u/>
        <sz val="8"/>
        <color theme="1"/>
        <rFont val="Calibri"/>
        <family val="2"/>
        <charset val="238"/>
        <scheme val="minor"/>
      </rPr>
      <t>Doporučená dávka je 200 mg jednou denně</t>
    </r>
    <r>
      <rPr>
        <sz val="8"/>
        <color theme="1"/>
        <rFont val="Calibri"/>
        <family val="2"/>
        <charset val="238"/>
        <scheme val="minor"/>
      </rPr>
      <t>.  Pacienti 75 let a starší mají mít počát. dávku 100mg 1x denně, pac. s ClCr 15-60 ml/min mají mít 100mg 1x denně.</t>
    </r>
  </si>
  <si>
    <r>
      <t>Xeljanz 11 mg tbl pro 28</t>
    </r>
    <r>
      <rPr>
        <sz val="8"/>
        <color theme="1"/>
        <rFont val="Calibri"/>
        <family val="2"/>
        <charset val="238"/>
        <scheme val="minor"/>
      </rPr>
      <t xml:space="preserve">  </t>
    </r>
    <r>
      <rPr>
        <sz val="10"/>
        <color theme="1"/>
        <rFont val="Calibri"/>
        <family val="2"/>
        <charset val="238"/>
        <scheme val="minor"/>
      </rPr>
      <t>(monoterapie</t>
    </r>
    <r>
      <rPr>
        <vertAlign val="superscript"/>
        <sz val="10"/>
        <color theme="1"/>
        <rFont val="Calibri"/>
        <family val="2"/>
        <charset val="238"/>
        <scheme val="minor"/>
      </rPr>
      <t>3,5</t>
    </r>
    <r>
      <rPr>
        <sz val="10"/>
        <color theme="1"/>
        <rFont val="Calibri"/>
        <family val="2"/>
        <charset val="238"/>
        <scheme val="minor"/>
      </rPr>
      <t>)</t>
    </r>
  </si>
  <si>
    <r>
      <t>úhradové omezení v ČR k datu 21.12.2022</t>
    </r>
    <r>
      <rPr>
        <b/>
        <vertAlign val="superscript"/>
        <sz val="9"/>
        <rFont val="Arial"/>
        <family val="2"/>
        <charset val="238"/>
      </rPr>
      <t>1</t>
    </r>
  </si>
  <si>
    <r>
      <rPr>
        <vertAlign val="superscript"/>
        <sz val="9"/>
        <color theme="1"/>
        <rFont val="Calibri"/>
        <family val="2"/>
        <charset val="238"/>
        <scheme val="minor"/>
      </rPr>
      <t>1</t>
    </r>
    <r>
      <rPr>
        <sz val="9"/>
        <color theme="1"/>
        <rFont val="Calibri"/>
        <family val="2"/>
        <charset val="238"/>
        <scheme val="minor"/>
      </rPr>
      <t xml:space="preserve"> AISLP - 2022.4s, stav k 1.12.2022</t>
    </r>
  </si>
  <si>
    <r>
      <t>Doporučená dávka, která nemá být překročena, je</t>
    </r>
    <r>
      <rPr>
        <u/>
        <sz val="8"/>
        <color theme="1"/>
        <rFont val="Calibri"/>
        <family val="2"/>
        <charset val="238"/>
        <scheme val="minor"/>
      </rPr>
      <t xml:space="preserve"> 11 mg 1x denně</t>
    </r>
    <r>
      <rPr>
        <sz val="8"/>
        <color theme="1"/>
        <rFont val="Calibri"/>
        <family val="2"/>
        <charset val="238"/>
        <scheme val="minor"/>
      </rPr>
      <t xml:space="preserve">.  U pacientů s clearance kreatininu &lt; 30 ml/min je doporučená dávka </t>
    </r>
    <r>
      <rPr>
        <u/>
        <sz val="8"/>
        <color theme="1"/>
        <rFont val="Calibri"/>
        <family val="2"/>
        <charset val="238"/>
        <scheme val="minor"/>
      </rPr>
      <t>5 mg tbl flm</t>
    </r>
    <r>
      <rPr>
        <sz val="8"/>
        <color theme="1"/>
        <rFont val="Calibri"/>
        <family val="2"/>
        <charset val="238"/>
        <scheme val="minor"/>
      </rPr>
      <t xml:space="preserve"> jednou denně. </t>
    </r>
  </si>
  <si>
    <r>
      <t xml:space="preserve">v terapii dospělých pacientů </t>
    </r>
    <r>
      <rPr>
        <u/>
        <sz val="8"/>
        <color theme="1"/>
        <rFont val="Calibri"/>
        <family val="2"/>
        <charset val="238"/>
        <scheme val="minor"/>
      </rPr>
      <t>s RA s vysokou aktivitou choroby (DAS28 &gt;= 5,1)</t>
    </r>
    <r>
      <rPr>
        <sz val="8"/>
        <color theme="1"/>
        <rFont val="Calibri"/>
        <family val="2"/>
        <charset val="238"/>
        <scheme val="minor"/>
      </rPr>
      <t xml:space="preserve">, kteří dostatečně neodpovídali na léčbu methotrexátem, leflunomidem nebo sulfasalazinem (při podávání po dobu nejméně 6 měsíců),nebo na předchozí biologickou léčbu (při podání po dobu min. 3 měsíců), nebo je netolerovali. </t>
    </r>
    <r>
      <rPr>
        <u/>
        <sz val="8"/>
        <color theme="1"/>
        <rFont val="Calibri"/>
        <family val="2"/>
        <charset val="238"/>
        <scheme val="minor"/>
      </rPr>
      <t>Terapie by měla vést k poklesu aktivity onemocnění během 3 měsíců léčby a k dosažení remise (DAS28 &lt; 2,6), nebo alespoň stavu nízké aktivity onemocnění (DAS28 &lt; 3,2) během 6 měsíců léčby.</t>
    </r>
    <r>
      <rPr>
        <sz val="8"/>
        <color theme="1"/>
        <rFont val="Calibri"/>
        <family val="2"/>
        <charset val="238"/>
        <scheme val="minor"/>
      </rPr>
      <t xml:space="preserve"> Jestliže remise nebo nízké aktivity onemocnění není během 6 měsíců dosaženo, nebo dojde-li k poklesu účinnosti zavedené terapie při následných kontrolách v intervalu 3 měsíců, léčba je ukončena a při přetrvávající aktivitě onemocnění je pacient přímo převeden na jiný přípravek biologické léčby. </t>
    </r>
    <r>
      <rPr>
        <u/>
        <sz val="8"/>
        <color theme="1"/>
        <rFont val="Calibri"/>
        <family val="2"/>
        <charset val="238"/>
        <scheme val="minor"/>
      </rPr>
      <t>Podává se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u/>
        <sz val="8"/>
        <color theme="1"/>
        <rFont val="Calibri"/>
        <family val="2"/>
        <charset val="238"/>
        <scheme val="minor"/>
      </rPr>
      <t xml:space="preserve">v kombinaci s methotrexátem, ale lze jej podávat i v monoterapii </t>
    </r>
    <r>
      <rPr>
        <sz val="8"/>
        <color theme="1"/>
        <rFont val="Calibri"/>
        <family val="2"/>
        <charset val="238"/>
        <scheme val="minor"/>
      </rPr>
      <t xml:space="preserve">při nesnášenlivosti methotrexátu nebo v případech, kdy pokračování v léčbě methotrexátem není možné.
</t>
    </r>
  </si>
  <si>
    <r>
      <t>Xeljanz 5 mg tbl flm 56</t>
    </r>
    <r>
      <rPr>
        <sz val="8"/>
        <color theme="1"/>
        <rFont val="Calibri"/>
        <family val="2"/>
        <charset val="238"/>
        <scheme val="minor"/>
      </rPr>
      <t xml:space="preserve">  </t>
    </r>
    <r>
      <rPr>
        <sz val="10"/>
        <color theme="1"/>
        <rFont val="Calibri"/>
        <family val="2"/>
        <charset val="238"/>
        <scheme val="minor"/>
      </rPr>
      <t>(monoterapie</t>
    </r>
    <r>
      <rPr>
        <vertAlign val="superscript"/>
        <sz val="10"/>
        <color theme="1"/>
        <rFont val="Calibri"/>
        <family val="2"/>
        <charset val="238"/>
        <scheme val="minor"/>
      </rPr>
      <t>3,5</t>
    </r>
    <r>
      <rPr>
        <sz val="10"/>
        <color theme="1"/>
        <rFont val="Calibri"/>
        <family val="2"/>
        <charset val="238"/>
        <scheme val="minor"/>
      </rPr>
      <t>)</t>
    </r>
  </si>
  <si>
    <t>jednotková cena (NC) s DPH k 21.12.2022</t>
  </si>
  <si>
    <t>jednotková cena (NC) s DPH při zohlednění obrat. bonusů k 21.12.2022</t>
  </si>
  <si>
    <r>
      <t xml:space="preserve">* oproti jiným non csDMARDs je KI u těžké poruchy funkce jater,                         v těhotenství a při kojení,                                                                                                                            * pravděpodobně 2. nejvyšší četnost výskytu TBC infekcí po skupině iTNF,                                         * </t>
    </r>
    <r>
      <rPr>
        <u/>
        <sz val="8"/>
        <color theme="1"/>
        <rFont val="Calibri"/>
        <family val="2"/>
        <charset val="238"/>
        <scheme val="minor"/>
      </rPr>
      <t>pravděpodob. nejvyšší riziko ukončení léčby pro výskyt NÚ spolu s infliximabem</t>
    </r>
  </si>
  <si>
    <r>
      <t>Xeljanz 5 mg tbl flm 56</t>
    </r>
    <r>
      <rPr>
        <sz val="8"/>
        <color theme="1"/>
        <rFont val="Calibri"/>
        <family val="2"/>
        <charset val="238"/>
        <scheme val="minor"/>
      </rPr>
      <t xml:space="preserve">                                  </t>
    </r>
    <r>
      <rPr>
        <b/>
        <sz val="10"/>
        <color theme="1"/>
        <rFont val="Calibri"/>
        <family val="2"/>
        <charset val="238"/>
        <scheme val="minor"/>
      </rPr>
      <t xml:space="preserve">  1. LINIE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(monoterapie</t>
    </r>
    <r>
      <rPr>
        <vertAlign val="superscript"/>
        <sz val="10"/>
        <color theme="1"/>
        <rFont val="Calibri"/>
        <family val="2"/>
        <charset val="238"/>
        <scheme val="minor"/>
      </rPr>
      <t>3,5</t>
    </r>
    <r>
      <rPr>
        <sz val="10"/>
        <color theme="1"/>
        <rFont val="Calibri"/>
        <family val="2"/>
        <charset val="238"/>
        <scheme val="minor"/>
      </rPr>
      <t>)</t>
    </r>
  </si>
  <si>
    <r>
      <t>Olumiant 4 mg tbl flm 35</t>
    </r>
    <r>
      <rPr>
        <sz val="8"/>
        <color theme="1"/>
        <rFont val="Calibri"/>
        <family val="2"/>
        <charset val="238"/>
        <scheme val="minor"/>
      </rPr>
      <t xml:space="preserve"> (výpočet ceny je pro dávkování 1x 4 mg po celou dobu)</t>
    </r>
    <r>
      <rPr>
        <b/>
        <sz val="10"/>
        <color theme="1"/>
        <rFont val="Calibri"/>
        <family val="2"/>
        <charset val="238"/>
        <scheme val="minor"/>
      </rPr>
      <t xml:space="preserve"> 1. LINIE </t>
    </r>
    <r>
      <rPr>
        <sz val="10"/>
        <color theme="1"/>
        <rFont val="Calibri"/>
        <family val="2"/>
        <charset val="238"/>
        <scheme val="minor"/>
      </rPr>
      <t>(monoterapie</t>
    </r>
    <r>
      <rPr>
        <vertAlign val="superscript"/>
        <sz val="10"/>
        <color theme="1"/>
        <rFont val="Calibri"/>
        <family val="2"/>
        <charset val="238"/>
        <scheme val="minor"/>
      </rPr>
      <t>3,5</t>
    </r>
    <r>
      <rPr>
        <sz val="10"/>
        <color theme="1"/>
        <rFont val="Calibri"/>
        <family val="2"/>
        <charset val="238"/>
        <scheme val="minor"/>
      </rPr>
      <t>)</t>
    </r>
  </si>
  <si>
    <r>
      <t>cena</t>
    </r>
    <r>
      <rPr>
        <b/>
        <vertAlign val="superscript"/>
        <sz val="8"/>
        <rFont val="Arial"/>
        <family val="2"/>
        <charset val="238"/>
      </rPr>
      <t>4</t>
    </r>
    <r>
      <rPr>
        <b/>
        <sz val="8"/>
        <rFont val="Arial"/>
        <family val="2"/>
        <charset val="238"/>
      </rPr>
      <t xml:space="preserve"> za 1 rok udržovací léčby</t>
    </r>
    <r>
      <rPr>
        <b/>
        <vertAlign val="superscript"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se započtením bonusů</t>
    </r>
  </si>
  <si>
    <t>2. linie</t>
  </si>
  <si>
    <t>1. linie</t>
  </si>
  <si>
    <r>
      <rPr>
        <u/>
        <sz val="8"/>
        <rFont val="Arial"/>
        <family val="2"/>
        <charset val="238"/>
      </rPr>
      <t>rozdíl ceny za 1 rok</t>
    </r>
    <r>
      <rPr>
        <sz val="8"/>
        <rFont val="Arial"/>
        <family val="2"/>
        <charset val="238"/>
      </rPr>
      <t xml:space="preserve"> u porovnávaného  vs nejlevnějšího v dané linii -</t>
    </r>
    <r>
      <rPr>
        <b/>
        <sz val="8"/>
        <rFont val="Arial"/>
        <family val="2"/>
        <charset val="238"/>
      </rPr>
      <t xml:space="preserve"> CMA</t>
    </r>
  </si>
  <si>
    <r>
      <rPr>
        <u/>
        <sz val="8"/>
        <rFont val="Arial"/>
        <family val="2"/>
        <charset val="238"/>
      </rPr>
      <t>násobek</t>
    </r>
    <r>
      <rPr>
        <sz val="8"/>
        <rFont val="Arial"/>
        <family val="2"/>
        <charset val="238"/>
      </rPr>
      <t xml:space="preserve"> vůči ceně nejlevnějšího za stejné období v dané linii -</t>
    </r>
    <r>
      <rPr>
        <b/>
        <sz val="8"/>
        <rFont val="Arial"/>
        <family val="2"/>
        <charset val="238"/>
      </rPr>
      <t xml:space="preserve"> CMA</t>
    </r>
  </si>
  <si>
    <r>
      <rPr>
        <b/>
        <u/>
        <sz val="12"/>
        <color theme="1"/>
        <rFont val="Calibri"/>
        <family val="2"/>
        <charset val="238"/>
        <scheme val="minor"/>
      </rPr>
      <t>filgotinib</t>
    </r>
    <r>
      <rPr>
        <b/>
        <sz val="12"/>
        <color theme="1"/>
        <rFont val="Calibri"/>
        <family val="2"/>
        <charset val="238"/>
        <scheme val="minor"/>
      </rPr>
      <t xml:space="preserve"> (nejvyšší selektivita inhibice JAK1)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</si>
</sst>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&quot;Kč&quot;"/>
    <numFmt numFmtId="165" formatCode="#,##0\ &quot;Kč&quot;"/>
    <numFmt numFmtId="166" formatCode="_-* #,##0\ [$Kč-405]_-;\-* #,##0\ [$Kč-405]_-;_-* &quot;-&quot;??\ [$Kč-405]_-;_-@_-"/>
    <numFmt numFmtId="167" formatCode="_-* #,##0.00\ [$Kč-405]_-;\-* #,##0.00\ [$Kč-405]_-;_-* &quot;-&quot;??\ [$Kč-405]_-;_-@_-"/>
    <numFmt numFmtId="168" formatCode="0.0"/>
  </numFmts>
  <fonts count="39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color theme="5" tint="-0.249977111117893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u/>
      <sz val="8"/>
      <color theme="1"/>
      <name val="Calibri"/>
      <family val="2"/>
      <charset val="238"/>
      <scheme val="minor"/>
    </font>
    <font>
      <vertAlign val="superscript"/>
      <sz val="8"/>
      <name val="Arial"/>
      <family val="2"/>
      <charset val="238"/>
    </font>
    <font>
      <sz val="10"/>
      <name val="Arial"/>
      <family val="2"/>
      <charset val="238"/>
    </font>
    <font>
      <vertAlign val="superscript"/>
      <sz val="9"/>
      <color theme="1"/>
      <name val="Calibri"/>
      <family val="2"/>
      <charset val="238"/>
      <scheme val="minor"/>
    </font>
    <font>
      <vertAlign val="superscript"/>
      <sz val="9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vertAlign val="superscript"/>
      <sz val="9"/>
      <name val="Arial"/>
      <family val="2"/>
      <charset val="238"/>
    </font>
    <font>
      <u/>
      <sz val="9"/>
      <color theme="1"/>
      <name val="Calibri"/>
      <family val="2"/>
      <charset val="238"/>
      <scheme val="minor"/>
    </font>
    <font>
      <b/>
      <vertAlign val="superscript"/>
      <sz val="10"/>
      <name val="Arial"/>
      <family val="2"/>
      <charset val="238"/>
    </font>
    <font>
      <vertAlign val="superscript"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u/>
      <sz val="9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</font>
    <font>
      <b/>
      <sz val="12"/>
      <name val="Calibri"/>
      <family val="2"/>
      <charset val="238"/>
      <scheme val="minor"/>
    </font>
    <font>
      <u/>
      <sz val="9"/>
      <color theme="1"/>
      <name val="Calibri"/>
      <family val="2"/>
      <charset val="238"/>
    </font>
    <font>
      <b/>
      <u/>
      <sz val="9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vertAlign val="superscript"/>
      <sz val="10"/>
      <name val="Arial"/>
      <family val="2"/>
      <charset val="238"/>
    </font>
    <font>
      <u/>
      <sz val="8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vertAlign val="superscript"/>
      <sz val="8"/>
      <name val="Arial"/>
      <family val="2"/>
      <charset val="238"/>
    </font>
    <font>
      <b/>
      <sz val="14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165" fontId="7" fillId="0" borderId="0" xfId="0" applyNumberFormat="1" applyFont="1"/>
    <xf numFmtId="10" fontId="0" fillId="0" borderId="0" xfId="0" applyNumberFormat="1"/>
    <xf numFmtId="164" fontId="0" fillId="0" borderId="0" xfId="0" applyNumberFormat="1"/>
    <xf numFmtId="0" fontId="5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/>
    <xf numFmtId="0" fontId="0" fillId="0" borderId="0" xfId="0" applyAlignment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167" fontId="0" fillId="0" borderId="0" xfId="0" applyNumberFormat="1" applyFont="1"/>
    <xf numFmtId="0" fontId="2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/>
    <xf numFmtId="168" fontId="0" fillId="0" borderId="0" xfId="0" applyNumberFormat="1" applyFont="1"/>
    <xf numFmtId="168" fontId="0" fillId="0" borderId="0" xfId="0" applyNumberFormat="1"/>
    <xf numFmtId="0" fontId="20" fillId="0" borderId="0" xfId="0" applyFont="1"/>
    <xf numFmtId="0" fontId="3" fillId="0" borderId="0" xfId="0" applyNumberFormat="1" applyFont="1"/>
    <xf numFmtId="0" fontId="1" fillId="9" borderId="1" xfId="0" applyFont="1" applyFill="1" applyBorder="1" applyAlignment="1">
      <alignment horizontal="center" vertical="center" wrapText="1"/>
    </xf>
    <xf numFmtId="0" fontId="26" fillId="9" borderId="1" xfId="0" applyNumberFormat="1" applyFont="1" applyFill="1" applyBorder="1" applyAlignment="1">
      <alignment horizontal="center" vertical="center" wrapText="1"/>
    </xf>
    <xf numFmtId="0" fontId="3" fillId="9" borderId="0" xfId="0" applyFont="1" applyFill="1"/>
    <xf numFmtId="0" fontId="3" fillId="3" borderId="0" xfId="0" applyFont="1" applyFill="1"/>
    <xf numFmtId="0" fontId="0" fillId="9" borderId="0" xfId="0" applyFill="1"/>
    <xf numFmtId="0" fontId="3" fillId="9" borderId="0" xfId="0" applyFont="1" applyFill="1" applyBorder="1" applyAlignment="1"/>
    <xf numFmtId="0" fontId="2" fillId="9" borderId="0" xfId="0" applyFont="1" applyFill="1" applyBorder="1" applyAlignment="1"/>
    <xf numFmtId="0" fontId="2" fillId="9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164" fontId="0" fillId="10" borderId="1" xfId="0" applyNumberFormat="1" applyFont="1" applyFill="1" applyBorder="1" applyAlignment="1">
      <alignment horizontal="center" vertical="center"/>
    </xf>
    <xf numFmtId="164" fontId="8" fillId="10" borderId="1" xfId="0" applyNumberFormat="1" applyFont="1" applyFill="1" applyBorder="1" applyAlignment="1">
      <alignment horizontal="center" vertical="center" wrapText="1"/>
    </xf>
    <xf numFmtId="10" fontId="0" fillId="10" borderId="1" xfId="0" applyNumberFormat="1" applyFill="1" applyBorder="1"/>
    <xf numFmtId="1" fontId="10" fillId="10" borderId="1" xfId="0" applyNumberFormat="1" applyFont="1" applyFill="1" applyBorder="1" applyAlignment="1">
      <alignment horizontal="left" vertical="center" wrapText="1"/>
    </xf>
    <xf numFmtId="0" fontId="10" fillId="10" borderId="1" xfId="0" applyFont="1" applyFill="1" applyBorder="1" applyAlignment="1">
      <alignment horizontal="left" vertical="center" wrapText="1"/>
    </xf>
    <xf numFmtId="0" fontId="2" fillId="10" borderId="1" xfId="0" applyNumberFormat="1" applyFont="1" applyFill="1" applyBorder="1" applyAlignment="1">
      <alignment horizontal="center" vertical="center" wrapText="1"/>
    </xf>
    <xf numFmtId="166" fontId="8" fillId="10" borderId="1" xfId="0" applyNumberFormat="1" applyFont="1" applyFill="1" applyBorder="1" applyAlignment="1">
      <alignment horizontal="center" vertical="center" wrapText="1"/>
    </xf>
    <xf numFmtId="0" fontId="10" fillId="10" borderId="0" xfId="0" applyNumberFormat="1" applyFont="1" applyFill="1" applyAlignment="1">
      <alignment vertical="center" wrapText="1"/>
    </xf>
    <xf numFmtId="0" fontId="30" fillId="9" borderId="0" xfId="0" applyFont="1" applyFill="1"/>
    <xf numFmtId="0" fontId="2" fillId="9" borderId="0" xfId="0" applyFont="1" applyFill="1" applyAlignment="1">
      <alignment vertical="center"/>
    </xf>
    <xf numFmtId="0" fontId="2" fillId="9" borderId="0" xfId="0" applyFont="1" applyFill="1"/>
    <xf numFmtId="164" fontId="10" fillId="10" borderId="1" xfId="0" applyNumberFormat="1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center" vertical="center" wrapText="1"/>
    </xf>
    <xf numFmtId="168" fontId="9" fillId="3" borderId="2" xfId="0" applyNumberFormat="1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168" fontId="27" fillId="3" borderId="6" xfId="0" applyNumberFormat="1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0" fillId="10" borderId="1" xfId="0" applyNumberFormat="1" applyFont="1" applyFill="1" applyBorder="1" applyAlignment="1">
      <alignment horizontal="left" vertical="center" wrapText="1"/>
    </xf>
    <xf numFmtId="0" fontId="3" fillId="9" borderId="0" xfId="0" applyNumberFormat="1" applyFont="1" applyFill="1"/>
    <xf numFmtId="0" fontId="10" fillId="10" borderId="8" xfId="0" applyNumberFormat="1" applyFont="1" applyFill="1" applyBorder="1" applyAlignment="1">
      <alignment vertical="top" wrapText="1"/>
    </xf>
    <xf numFmtId="0" fontId="10" fillId="10" borderId="0" xfId="0" applyNumberFormat="1" applyFont="1" applyFill="1" applyAlignment="1">
      <alignment vertical="top" wrapText="1"/>
    </xf>
    <xf numFmtId="0" fontId="3" fillId="0" borderId="0" xfId="0" applyNumberFormat="1" applyFont="1" applyFill="1"/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164" fontId="0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166" fontId="27" fillId="10" borderId="1" xfId="0" applyNumberFormat="1" applyFont="1" applyFill="1" applyBorder="1" applyAlignment="1">
      <alignment horizontal="center" vertical="center" wrapText="1"/>
    </xf>
    <xf numFmtId="166" fontId="27" fillId="0" borderId="1" xfId="0" applyNumberFormat="1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26" fillId="11" borderId="1" xfId="0" applyNumberFormat="1" applyFont="1" applyFill="1" applyBorder="1" applyAlignment="1">
      <alignment horizontal="center" vertical="center" wrapText="1"/>
    </xf>
    <xf numFmtId="0" fontId="2" fillId="11" borderId="1" xfId="0" applyNumberFormat="1" applyFont="1" applyFill="1" applyBorder="1" applyAlignment="1">
      <alignment horizontal="center" vertical="center" wrapText="1"/>
    </xf>
    <xf numFmtId="1" fontId="10" fillId="11" borderId="1" xfId="0" applyNumberFormat="1" applyFont="1" applyFill="1" applyBorder="1" applyAlignment="1">
      <alignment horizontal="left" vertical="center" wrapText="1"/>
    </xf>
    <xf numFmtId="0" fontId="10" fillId="11" borderId="1" xfId="0" applyNumberFormat="1" applyFont="1" applyFill="1" applyBorder="1" applyAlignment="1">
      <alignment vertical="top" wrapText="1"/>
    </xf>
    <xf numFmtId="0" fontId="10" fillId="11" borderId="1" xfId="0" applyFont="1" applyFill="1" applyBorder="1" applyAlignment="1">
      <alignment horizontal="left" vertical="center" wrapText="1"/>
    </xf>
    <xf numFmtId="164" fontId="0" fillId="11" borderId="1" xfId="0" applyNumberFormat="1" applyFont="1" applyFill="1" applyBorder="1" applyAlignment="1">
      <alignment horizontal="center" vertical="center"/>
    </xf>
    <xf numFmtId="164" fontId="8" fillId="11" borderId="1" xfId="0" applyNumberFormat="1" applyFont="1" applyFill="1" applyBorder="1" applyAlignment="1">
      <alignment horizontal="center" vertical="center" wrapText="1"/>
    </xf>
    <xf numFmtId="166" fontId="8" fillId="11" borderId="1" xfId="0" applyNumberFormat="1" applyFont="1" applyFill="1" applyBorder="1" applyAlignment="1">
      <alignment horizontal="center" vertical="center" wrapText="1"/>
    </xf>
    <xf numFmtId="166" fontId="27" fillId="11" borderId="1" xfId="0" applyNumberFormat="1" applyFont="1" applyFill="1" applyBorder="1" applyAlignment="1">
      <alignment horizontal="center" vertical="center" wrapText="1"/>
    </xf>
    <xf numFmtId="0" fontId="10" fillId="11" borderId="1" xfId="0" applyNumberFormat="1" applyFont="1" applyFill="1" applyBorder="1" applyAlignment="1">
      <alignment horizontal="left" vertical="center" wrapText="1"/>
    </xf>
    <xf numFmtId="164" fontId="10" fillId="11" borderId="1" xfId="0" applyNumberFormat="1" applyFont="1" applyFill="1" applyBorder="1" applyAlignment="1">
      <alignment horizontal="left" vertical="center" wrapText="1"/>
    </xf>
    <xf numFmtId="10" fontId="0" fillId="11" borderId="1" xfId="0" applyNumberFormat="1" applyFill="1" applyBorder="1"/>
    <xf numFmtId="0" fontId="10" fillId="11" borderId="0" xfId="0" applyNumberFormat="1" applyFont="1" applyFill="1" applyAlignment="1">
      <alignment vertical="center" wrapText="1"/>
    </xf>
    <xf numFmtId="166" fontId="0" fillId="0" borderId="0" xfId="0" applyNumberFormat="1"/>
    <xf numFmtId="0" fontId="10" fillId="0" borderId="1" xfId="0" applyNumberFormat="1" applyFont="1" applyFill="1" applyBorder="1" applyAlignment="1">
      <alignment horizontal="left" vertical="center" wrapText="1"/>
    </xf>
    <xf numFmtId="164" fontId="10" fillId="0" borderId="1" xfId="0" applyNumberFormat="1" applyFont="1" applyFill="1" applyBorder="1" applyAlignment="1">
      <alignment horizontal="left" vertical="center" wrapText="1"/>
    </xf>
    <xf numFmtId="10" fontId="0" fillId="0" borderId="1" xfId="0" applyNumberFormat="1" applyFill="1" applyBorder="1"/>
    <xf numFmtId="2" fontId="36" fillId="3" borderId="1" xfId="0" applyNumberFormat="1" applyFont="1" applyFill="1" applyBorder="1" applyAlignment="1">
      <alignment horizontal="center" vertical="center" wrapText="1"/>
    </xf>
    <xf numFmtId="2" fontId="36" fillId="11" borderId="1" xfId="0" applyNumberFormat="1" applyFont="1" applyFill="1" applyBorder="1" applyAlignment="1">
      <alignment horizontal="center" vertical="center" wrapText="1"/>
    </xf>
    <xf numFmtId="165" fontId="36" fillId="6" borderId="7" xfId="0" applyNumberFormat="1" applyFont="1" applyFill="1" applyBorder="1" applyAlignment="1">
      <alignment horizontal="center" vertical="center" wrapText="1"/>
    </xf>
    <xf numFmtId="165" fontId="36" fillId="11" borderId="7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vertical="center" wrapText="1"/>
    </xf>
    <xf numFmtId="0" fontId="37" fillId="0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44</xdr:row>
      <xdr:rowOff>47625</xdr:rowOff>
    </xdr:from>
    <xdr:to>
      <xdr:col>6</xdr:col>
      <xdr:colOff>187770</xdr:colOff>
      <xdr:row>53</xdr:row>
      <xdr:rowOff>91424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1" y="29346525"/>
          <a:ext cx="4629149" cy="17582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</xdr:colOff>
      <xdr:row>55</xdr:row>
      <xdr:rowOff>0</xdr:rowOff>
    </xdr:from>
    <xdr:to>
      <xdr:col>10</xdr:col>
      <xdr:colOff>635765</xdr:colOff>
      <xdr:row>87</xdr:row>
      <xdr:rowOff>142875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88106250"/>
          <a:ext cx="8562975" cy="62388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228601</xdr:colOff>
      <xdr:row>88</xdr:row>
      <xdr:rowOff>180976</xdr:rowOff>
    </xdr:from>
    <xdr:to>
      <xdr:col>5</xdr:col>
      <xdr:colOff>129973</xdr:colOff>
      <xdr:row>106</xdr:row>
      <xdr:rowOff>168523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28601" y="95154751"/>
          <a:ext cx="3714750" cy="341654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495300</xdr:colOff>
      <xdr:row>89</xdr:row>
      <xdr:rowOff>19051</xdr:rowOff>
    </xdr:from>
    <xdr:to>
      <xdr:col>11</xdr:col>
      <xdr:colOff>322791</xdr:colOff>
      <xdr:row>109</xdr:row>
      <xdr:rowOff>57151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67150" y="95183326"/>
          <a:ext cx="6391275" cy="38481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4"/>
  <sheetViews>
    <sheetView tabSelected="1" topLeftCell="A2" zoomScale="90" zoomScaleNormal="90" workbookViewId="0">
      <pane xSplit="4" ySplit="1" topLeftCell="E3" activePane="bottomRight" state="frozen"/>
      <selection activeCell="A2" sqref="A2"/>
      <selection pane="topRight" activeCell="D2" sqref="D2"/>
      <selection pane="bottomLeft" activeCell="A3" sqref="A3"/>
      <selection pane="bottomRight" activeCell="E7" sqref="E7"/>
    </sheetView>
  </sheetViews>
  <sheetFormatPr defaultRowHeight="15" x14ac:dyDescent="0.25"/>
  <cols>
    <col min="1" max="1" width="15.42578125" customWidth="1"/>
    <col min="2" max="2" width="10.28515625" customWidth="1"/>
    <col min="3" max="3" width="11.7109375" customWidth="1"/>
    <col min="4" max="4" width="8.7109375" customWidth="1"/>
    <col min="5" max="5" width="10.7109375" customWidth="1"/>
    <col min="6" max="6" width="10.28515625" customWidth="1"/>
    <col min="7" max="7" width="9.140625" customWidth="1"/>
    <col min="8" max="8" width="13.7109375" customWidth="1"/>
    <col min="9" max="9" width="12.140625" customWidth="1"/>
    <col min="10" max="10" width="17" customWidth="1"/>
    <col min="11" max="11" width="25.42578125" customWidth="1"/>
    <col min="12" max="12" width="28" customWidth="1"/>
    <col min="13" max="13" width="42.5703125" customWidth="1"/>
    <col min="14" max="14" width="12" customWidth="1"/>
    <col min="15" max="15" width="12.7109375" customWidth="1"/>
    <col min="16" max="16" width="0.28515625" hidden="1" customWidth="1"/>
    <col min="17" max="17" width="12" customWidth="1"/>
    <col min="18" max="18" width="11.7109375" customWidth="1"/>
    <col min="19" max="19" width="0.42578125" hidden="1" customWidth="1"/>
    <col min="20" max="20" width="15" customWidth="1"/>
    <col min="21" max="21" width="18.28515625" customWidth="1"/>
    <col min="22" max="22" width="1" hidden="1" customWidth="1"/>
    <col min="23" max="23" width="18" customWidth="1"/>
    <col min="24" max="24" width="28.140625" customWidth="1"/>
    <col min="25" max="25" width="43.28515625" customWidth="1"/>
    <col min="27" max="27" width="11" bestFit="1" customWidth="1"/>
    <col min="28" max="29" width="12" bestFit="1" customWidth="1"/>
  </cols>
  <sheetData>
    <row r="1" spans="1:29" ht="15.75" thickBot="1" x14ac:dyDescent="0.3"/>
    <row r="2" spans="1:29" ht="68.25" customHeight="1" thickTop="1" x14ac:dyDescent="0.25">
      <c r="A2" s="7" t="s">
        <v>7</v>
      </c>
      <c r="B2" s="17" t="s">
        <v>2</v>
      </c>
      <c r="C2" s="1" t="s">
        <v>82</v>
      </c>
      <c r="D2" s="6" t="s">
        <v>6</v>
      </c>
      <c r="E2" s="6" t="s">
        <v>4</v>
      </c>
      <c r="F2" s="6" t="s">
        <v>18</v>
      </c>
      <c r="G2" s="1" t="s">
        <v>1</v>
      </c>
      <c r="H2" s="6" t="s">
        <v>20</v>
      </c>
      <c r="I2" s="6" t="s">
        <v>26</v>
      </c>
      <c r="J2" s="6" t="s">
        <v>25</v>
      </c>
      <c r="K2" s="26" t="s">
        <v>27</v>
      </c>
      <c r="L2" s="8" t="s">
        <v>90</v>
      </c>
      <c r="M2" s="1" t="s">
        <v>3</v>
      </c>
      <c r="N2" s="4" t="s">
        <v>95</v>
      </c>
      <c r="O2" s="12" t="s">
        <v>96</v>
      </c>
      <c r="P2" s="13" t="s">
        <v>10</v>
      </c>
      <c r="Q2" s="13" t="s">
        <v>11</v>
      </c>
      <c r="R2" s="70" t="s">
        <v>100</v>
      </c>
      <c r="S2" s="51" t="s">
        <v>24</v>
      </c>
      <c r="T2" s="52" t="s">
        <v>104</v>
      </c>
      <c r="U2" s="52" t="s">
        <v>103</v>
      </c>
      <c r="V2" s="49" t="s">
        <v>61</v>
      </c>
      <c r="W2" s="54" t="s">
        <v>48</v>
      </c>
      <c r="X2" s="5" t="s">
        <v>54</v>
      </c>
      <c r="Y2" s="5" t="s">
        <v>55</v>
      </c>
      <c r="Z2" s="3" t="s">
        <v>0</v>
      </c>
      <c r="AA2" s="2"/>
      <c r="AB2" t="s">
        <v>101</v>
      </c>
      <c r="AC2" t="s">
        <v>102</v>
      </c>
    </row>
    <row r="3" spans="1:29" ht="63.75" customHeight="1" x14ac:dyDescent="0.25">
      <c r="A3" s="34" t="s">
        <v>94</v>
      </c>
      <c r="B3" s="35" t="s">
        <v>19</v>
      </c>
      <c r="C3" s="36" t="s">
        <v>79</v>
      </c>
      <c r="D3" s="35" t="s">
        <v>28</v>
      </c>
      <c r="E3" s="35" t="s">
        <v>31</v>
      </c>
      <c r="F3" s="36" t="s">
        <v>32</v>
      </c>
      <c r="G3" s="36" t="s">
        <v>29</v>
      </c>
      <c r="H3" s="27" t="s">
        <v>21</v>
      </c>
      <c r="I3" s="42" t="s">
        <v>22</v>
      </c>
      <c r="J3" s="33" t="s">
        <v>87</v>
      </c>
      <c r="K3" s="40" t="s">
        <v>30</v>
      </c>
      <c r="L3" s="57" t="s">
        <v>74</v>
      </c>
      <c r="M3" s="41" t="s">
        <v>37</v>
      </c>
      <c r="N3" s="37">
        <v>17686.09</v>
      </c>
      <c r="O3" s="38">
        <f>N3-AA3</f>
        <v>17686.09</v>
      </c>
      <c r="P3" s="43">
        <f>PRODUCT(O3,1)</f>
        <v>17686.09</v>
      </c>
      <c r="Q3" s="43">
        <f>(O3/56)*2*183</f>
        <v>115591.23107142857</v>
      </c>
      <c r="R3" s="71">
        <f>(O3/56)*2*365</f>
        <v>230550.81607142856</v>
      </c>
      <c r="S3" s="53" t="e">
        <f xml:space="preserve"> P3/#REF!</f>
        <v>#REF!</v>
      </c>
      <c r="T3" s="93">
        <f xml:space="preserve"> R3/AB3</f>
        <v>1.0829902350856973</v>
      </c>
      <c r="U3" s="95">
        <f xml:space="preserve"> R3-AB3</f>
        <v>17667.25664285713</v>
      </c>
      <c r="V3" s="50"/>
      <c r="W3" s="55" t="s">
        <v>49</v>
      </c>
      <c r="X3" s="48" t="s">
        <v>70</v>
      </c>
      <c r="Y3" s="48" t="s">
        <v>73</v>
      </c>
      <c r="Z3" s="39">
        <v>0</v>
      </c>
      <c r="AA3" s="9">
        <f>Z3*N3</f>
        <v>0</v>
      </c>
      <c r="AB3" s="89">
        <f>R8</f>
        <v>212883.55942857143</v>
      </c>
    </row>
    <row r="4" spans="1:29" ht="71.25" customHeight="1" x14ac:dyDescent="0.25">
      <c r="A4" s="73" t="s">
        <v>98</v>
      </c>
      <c r="B4" s="74" t="s">
        <v>19</v>
      </c>
      <c r="C4" s="75" t="s">
        <v>79</v>
      </c>
      <c r="D4" s="74" t="s">
        <v>28</v>
      </c>
      <c r="E4" s="74" t="s">
        <v>31</v>
      </c>
      <c r="F4" s="75" t="s">
        <v>32</v>
      </c>
      <c r="G4" s="75" t="s">
        <v>29</v>
      </c>
      <c r="H4" s="76" t="s">
        <v>21</v>
      </c>
      <c r="I4" s="77" t="s">
        <v>22</v>
      </c>
      <c r="J4" s="74"/>
      <c r="K4" s="78" t="s">
        <v>30</v>
      </c>
      <c r="L4" s="79" t="s">
        <v>78</v>
      </c>
      <c r="M4" s="80" t="s">
        <v>37</v>
      </c>
      <c r="N4" s="81">
        <v>11148.26</v>
      </c>
      <c r="O4" s="82">
        <f>N4-AA4</f>
        <v>11148.26</v>
      </c>
      <c r="P4" s="83">
        <f>PRODUCT(O4,1)</f>
        <v>11148.26</v>
      </c>
      <c r="Q4" s="83">
        <f>(O4/56)*2*183</f>
        <v>72861.842142857146</v>
      </c>
      <c r="R4" s="84">
        <f>(O4/56)*2*365</f>
        <v>145325.53214285715</v>
      </c>
      <c r="S4" s="53" t="e">
        <f xml:space="preserve"> P4/#REF!</f>
        <v>#REF!</v>
      </c>
      <c r="T4" s="94">
        <f xml:space="preserve"> R4/AC4</f>
        <v>1.0236126167247424</v>
      </c>
      <c r="U4" s="96">
        <f xml:space="preserve"> R4-AC4</f>
        <v>3352.3581428571488</v>
      </c>
      <c r="V4" s="50"/>
      <c r="W4" s="85" t="s">
        <v>49</v>
      </c>
      <c r="X4" s="86" t="s">
        <v>70</v>
      </c>
      <c r="Y4" s="86" t="s">
        <v>73</v>
      </c>
      <c r="Z4" s="87">
        <v>0</v>
      </c>
      <c r="AA4" s="9">
        <f>Z4*N4</f>
        <v>0</v>
      </c>
      <c r="AC4" s="89">
        <f>R7</f>
        <v>141973.174</v>
      </c>
    </row>
    <row r="5" spans="1:29" ht="70.5" customHeight="1" x14ac:dyDescent="0.25">
      <c r="A5" s="34" t="s">
        <v>89</v>
      </c>
      <c r="B5" s="35" t="s">
        <v>19</v>
      </c>
      <c r="C5" s="36" t="s">
        <v>79</v>
      </c>
      <c r="D5" s="35" t="s">
        <v>28</v>
      </c>
      <c r="E5" s="35" t="s">
        <v>31</v>
      </c>
      <c r="F5" s="36" t="s">
        <v>32</v>
      </c>
      <c r="G5" s="36" t="s">
        <v>29</v>
      </c>
      <c r="H5" s="27" t="s">
        <v>21</v>
      </c>
      <c r="I5" s="42" t="s">
        <v>22</v>
      </c>
      <c r="J5" s="33" t="s">
        <v>87</v>
      </c>
      <c r="K5" s="40" t="s">
        <v>30</v>
      </c>
      <c r="L5" s="57" t="s">
        <v>74</v>
      </c>
      <c r="M5" s="41" t="s">
        <v>92</v>
      </c>
      <c r="N5" s="37">
        <v>18592.84</v>
      </c>
      <c r="O5" s="38">
        <f>N5-AA5</f>
        <v>18592.84</v>
      </c>
      <c r="P5" s="43"/>
      <c r="Q5" s="43">
        <f>(O5/28)*183</f>
        <v>121517.48999999999</v>
      </c>
      <c r="R5" s="71">
        <f>(O5/28)*365</f>
        <v>242370.94999999998</v>
      </c>
      <c r="S5" s="53"/>
      <c r="T5" s="93">
        <f t="shared" ref="T5:T6" si="0" xml:space="preserve"> R5/AB5</f>
        <v>1.1385141748408356</v>
      </c>
      <c r="U5" s="95">
        <f t="shared" ref="U5:U6" si="1" xml:space="preserve"> R5-AB5</f>
        <v>29487.39057142855</v>
      </c>
      <c r="V5" s="50"/>
      <c r="W5" s="55" t="s">
        <v>49</v>
      </c>
      <c r="X5" s="48" t="s">
        <v>70</v>
      </c>
      <c r="Y5" s="48" t="s">
        <v>97</v>
      </c>
      <c r="Z5" s="39">
        <v>0</v>
      </c>
      <c r="AA5" s="9">
        <f>Z5*N5</f>
        <v>0</v>
      </c>
      <c r="AB5" s="89">
        <f>R8</f>
        <v>212883.55942857143</v>
      </c>
    </row>
    <row r="6" spans="1:29" ht="78.75" customHeight="1" x14ac:dyDescent="0.25">
      <c r="A6" s="34" t="s">
        <v>42</v>
      </c>
      <c r="B6" s="35" t="s">
        <v>36</v>
      </c>
      <c r="C6" s="36" t="s">
        <v>80</v>
      </c>
      <c r="D6" s="35" t="s">
        <v>28</v>
      </c>
      <c r="E6" s="35" t="s">
        <v>33</v>
      </c>
      <c r="F6" s="36" t="s">
        <v>32</v>
      </c>
      <c r="G6" s="36" t="s">
        <v>29</v>
      </c>
      <c r="H6" s="27" t="s">
        <v>21</v>
      </c>
      <c r="I6" s="42" t="s">
        <v>22</v>
      </c>
      <c r="J6" s="33" t="s">
        <v>87</v>
      </c>
      <c r="K6" s="40" t="s">
        <v>34</v>
      </c>
      <c r="L6" s="44" t="s">
        <v>93</v>
      </c>
      <c r="M6" s="41" t="s">
        <v>35</v>
      </c>
      <c r="N6" s="37">
        <v>20893.86</v>
      </c>
      <c r="O6" s="38">
        <f>N6-AA6</f>
        <v>20475.982800000002</v>
      </c>
      <c r="P6" s="43">
        <f>PRODUCT(O6,2.6)</f>
        <v>53237.555280000008</v>
      </c>
      <c r="Q6" s="43">
        <f>(O6/35)*183</f>
        <v>107060.13864</v>
      </c>
      <c r="R6" s="71">
        <f>(O6/35)*365</f>
        <v>213535.24920000002</v>
      </c>
      <c r="S6" s="53" t="e">
        <f xml:space="preserve"> P6/#REF!</f>
        <v>#REF!</v>
      </c>
      <c r="T6" s="93">
        <f t="shared" si="0"/>
        <v>1.0030612498831655</v>
      </c>
      <c r="U6" s="95">
        <f t="shared" si="1"/>
        <v>651.68977142858785</v>
      </c>
      <c r="V6" s="50"/>
      <c r="W6" s="55" t="s">
        <v>50</v>
      </c>
      <c r="X6" s="48" t="s">
        <v>72</v>
      </c>
      <c r="Y6" s="48" t="s">
        <v>71</v>
      </c>
      <c r="Z6" s="39">
        <v>0.02</v>
      </c>
      <c r="AA6" s="9">
        <f>Z6*N6</f>
        <v>417.87720000000002</v>
      </c>
      <c r="AB6" s="89">
        <f>R8</f>
        <v>212883.55942857143</v>
      </c>
    </row>
    <row r="7" spans="1:29" ht="87" customHeight="1" x14ac:dyDescent="0.25">
      <c r="A7" s="73" t="s">
        <v>99</v>
      </c>
      <c r="B7" s="74" t="s">
        <v>36</v>
      </c>
      <c r="C7" s="75" t="s">
        <v>80</v>
      </c>
      <c r="D7" s="74" t="s">
        <v>28</v>
      </c>
      <c r="E7" s="74" t="s">
        <v>33</v>
      </c>
      <c r="F7" s="75" t="s">
        <v>32</v>
      </c>
      <c r="G7" s="75" t="s">
        <v>29</v>
      </c>
      <c r="H7" s="76" t="s">
        <v>21</v>
      </c>
      <c r="I7" s="77" t="s">
        <v>22</v>
      </c>
      <c r="J7" s="74"/>
      <c r="K7" s="78" t="s">
        <v>34</v>
      </c>
      <c r="L7" s="88" t="s">
        <v>93</v>
      </c>
      <c r="M7" s="80" t="s">
        <v>35</v>
      </c>
      <c r="N7" s="81">
        <v>13891.7</v>
      </c>
      <c r="O7" s="82">
        <f>N7-AA7</f>
        <v>13613.866</v>
      </c>
      <c r="P7" s="83">
        <f>PRODUCT(O7,2.6)</f>
        <v>35396.051599999999</v>
      </c>
      <c r="Q7" s="83">
        <f>(O7/35)*183</f>
        <v>71181.070800000001</v>
      </c>
      <c r="R7" s="84">
        <f>(O7/35)*365</f>
        <v>141973.174</v>
      </c>
      <c r="S7" s="53" t="e">
        <f xml:space="preserve"> P7/#REF!</f>
        <v>#REF!</v>
      </c>
      <c r="T7" s="94">
        <f xml:space="preserve"> R7/AC7</f>
        <v>1</v>
      </c>
      <c r="U7" s="96">
        <f xml:space="preserve"> R7-AC7</f>
        <v>0</v>
      </c>
      <c r="V7" s="50"/>
      <c r="W7" s="85" t="s">
        <v>50</v>
      </c>
      <c r="X7" s="86" t="s">
        <v>72</v>
      </c>
      <c r="Y7" s="86" t="s">
        <v>71</v>
      </c>
      <c r="Z7" s="87">
        <v>0.02</v>
      </c>
      <c r="AA7" s="9">
        <f>Z7*N7</f>
        <v>277.834</v>
      </c>
      <c r="AC7" s="89">
        <f>R7</f>
        <v>141973.174</v>
      </c>
    </row>
    <row r="8" spans="1:29" ht="78.75" customHeight="1" x14ac:dyDescent="0.25">
      <c r="A8" s="34" t="s">
        <v>41</v>
      </c>
      <c r="B8" s="35" t="s">
        <v>23</v>
      </c>
      <c r="C8" s="36" t="s">
        <v>81</v>
      </c>
      <c r="D8" s="35" t="s">
        <v>28</v>
      </c>
      <c r="E8" s="35" t="s">
        <v>38</v>
      </c>
      <c r="F8" s="36" t="s">
        <v>32</v>
      </c>
      <c r="G8" s="36" t="s">
        <v>29</v>
      </c>
      <c r="H8" s="27" t="s">
        <v>21</v>
      </c>
      <c r="I8" s="42" t="s">
        <v>22</v>
      </c>
      <c r="J8" s="33" t="s">
        <v>87</v>
      </c>
      <c r="K8" s="40" t="s">
        <v>34</v>
      </c>
      <c r="L8" s="58" t="s">
        <v>39</v>
      </c>
      <c r="M8" s="41" t="s">
        <v>40</v>
      </c>
      <c r="N8" s="37">
        <v>18557.72</v>
      </c>
      <c r="O8" s="38">
        <f>N8-AA8</f>
        <v>16330.793600000001</v>
      </c>
      <c r="P8" s="43">
        <f>PRODUCT(O8,3.25)</f>
        <v>53075.0792</v>
      </c>
      <c r="Q8" s="43">
        <f>(O8/28)*183</f>
        <v>106733.40102857143</v>
      </c>
      <c r="R8" s="71">
        <f>(O8/28)*365</f>
        <v>212883.55942857143</v>
      </c>
      <c r="S8" s="53" t="e">
        <f xml:space="preserve"> P8/#REF!</f>
        <v>#REF!</v>
      </c>
      <c r="T8" s="93">
        <f t="shared" ref="T8:T9" si="2" xml:space="preserve"> R8/AB8</f>
        <v>1</v>
      </c>
      <c r="U8" s="95">
        <f t="shared" ref="U8:U9" si="3" xml:space="preserve"> R8-AB8</f>
        <v>0</v>
      </c>
      <c r="V8" s="50"/>
      <c r="W8" s="55" t="s">
        <v>51</v>
      </c>
      <c r="X8" s="48" t="s">
        <v>53</v>
      </c>
      <c r="Y8" s="48" t="s">
        <v>52</v>
      </c>
      <c r="Z8" s="39">
        <v>0.12</v>
      </c>
      <c r="AA8" s="9">
        <f>Z8*N8</f>
        <v>2226.9263999999998</v>
      </c>
      <c r="AB8" s="89">
        <f>R8</f>
        <v>212883.55942857143</v>
      </c>
    </row>
    <row r="9" spans="1:29" ht="78" customHeight="1" x14ac:dyDescent="0.25">
      <c r="A9" s="98" t="s">
        <v>84</v>
      </c>
      <c r="B9" s="97" t="s">
        <v>86</v>
      </c>
      <c r="C9" s="99" t="s">
        <v>105</v>
      </c>
      <c r="D9" s="61" t="s">
        <v>28</v>
      </c>
      <c r="E9" s="61" t="s">
        <v>85</v>
      </c>
      <c r="F9" s="62" t="s">
        <v>32</v>
      </c>
      <c r="G9" s="62" t="s">
        <v>29</v>
      </c>
      <c r="H9" s="27" t="s">
        <v>21</v>
      </c>
      <c r="I9" s="65" t="s">
        <v>22</v>
      </c>
      <c r="J9" s="33" t="s">
        <v>87</v>
      </c>
      <c r="K9" s="63" t="s">
        <v>34</v>
      </c>
      <c r="L9" s="64" t="s">
        <v>39</v>
      </c>
      <c r="M9" s="66" t="s">
        <v>88</v>
      </c>
      <c r="N9" s="67">
        <v>18034.32</v>
      </c>
      <c r="O9" s="68">
        <f>N9-AA9</f>
        <v>18034.32</v>
      </c>
      <c r="P9" s="69">
        <f>PRODUCT(O9,3.25)</f>
        <v>58611.54</v>
      </c>
      <c r="Q9" s="69">
        <f>(O9/30)*183</f>
        <v>110009.352</v>
      </c>
      <c r="R9" s="72">
        <f>(O9/30)*365</f>
        <v>219417.56</v>
      </c>
      <c r="S9" s="53" t="e">
        <f xml:space="preserve"> P9/#REF!</f>
        <v>#REF!</v>
      </c>
      <c r="T9" s="93">
        <f t="shared" si="2"/>
        <v>1.0306928378544935</v>
      </c>
      <c r="U9" s="95">
        <f t="shared" si="3"/>
        <v>6534.0005714285653</v>
      </c>
      <c r="V9" s="50"/>
      <c r="W9" s="90" t="s">
        <v>51</v>
      </c>
      <c r="X9" s="91" t="s">
        <v>53</v>
      </c>
      <c r="Y9" s="91" t="s">
        <v>52</v>
      </c>
      <c r="Z9" s="92">
        <v>0</v>
      </c>
      <c r="AA9" s="9">
        <f>Z9*N9</f>
        <v>0</v>
      </c>
      <c r="AB9" s="89">
        <f>R8</f>
        <v>212883.55942857143</v>
      </c>
    </row>
    <row r="10" spans="1:29" ht="7.5" customHeight="1" x14ac:dyDescent="0.25">
      <c r="A10" s="16"/>
      <c r="B10" s="19"/>
      <c r="D10" s="15"/>
      <c r="E10" s="15"/>
      <c r="N10" s="14"/>
      <c r="O10" s="14"/>
      <c r="P10" s="18"/>
      <c r="Q10" s="18"/>
      <c r="R10" s="18"/>
      <c r="S10" s="14"/>
      <c r="T10" s="14"/>
      <c r="U10" s="14"/>
      <c r="V10" s="22"/>
      <c r="W10" s="22"/>
      <c r="X10" s="22"/>
      <c r="Y10" s="15"/>
      <c r="Z10" s="10"/>
      <c r="AA10" s="11"/>
    </row>
    <row r="11" spans="1:29" ht="17.25" customHeight="1" x14ac:dyDescent="0.25">
      <c r="A11" s="45" t="s">
        <v>47</v>
      </c>
      <c r="B11" s="46"/>
      <c r="C11" s="30"/>
      <c r="D11" s="47"/>
      <c r="E11" s="47"/>
      <c r="F11" s="30"/>
      <c r="N11" s="14"/>
      <c r="O11" s="14"/>
      <c r="P11" s="18"/>
      <c r="Q11" s="18"/>
      <c r="R11" s="18"/>
      <c r="S11" s="14"/>
      <c r="T11" s="14"/>
      <c r="U11" s="14"/>
      <c r="V11" s="22"/>
      <c r="W11" s="22"/>
      <c r="X11" s="22"/>
      <c r="Y11" s="15"/>
      <c r="Z11" s="10"/>
      <c r="AA11" s="11"/>
    </row>
    <row r="12" spans="1:29" ht="14.25" customHeight="1" x14ac:dyDescent="0.25">
      <c r="A12" s="20" t="s">
        <v>91</v>
      </c>
      <c r="B12" s="15"/>
      <c r="D12" s="15"/>
      <c r="E12" s="15"/>
      <c r="N12" s="14"/>
      <c r="O12" s="14"/>
      <c r="P12" s="18"/>
      <c r="Q12" s="18"/>
      <c r="R12" s="18"/>
      <c r="S12" s="14"/>
      <c r="T12" s="14"/>
      <c r="U12" s="14"/>
      <c r="V12" s="22"/>
      <c r="W12" s="22"/>
      <c r="X12" s="22"/>
      <c r="AA12" s="11"/>
    </row>
    <row r="13" spans="1:29" ht="12.75" customHeight="1" x14ac:dyDescent="0.25">
      <c r="A13" s="20" t="s">
        <v>8</v>
      </c>
      <c r="B13" s="15"/>
      <c r="D13" s="15"/>
      <c r="E13" s="15"/>
      <c r="N13" s="14"/>
      <c r="O13" s="14"/>
      <c r="P13" s="18"/>
      <c r="Q13" s="18"/>
      <c r="R13" s="18"/>
      <c r="S13" s="14"/>
      <c r="T13" s="14"/>
      <c r="U13" s="14"/>
      <c r="V13" s="22"/>
      <c r="W13" s="22"/>
      <c r="X13" s="22"/>
      <c r="AA13" s="11"/>
    </row>
    <row r="14" spans="1:29" ht="12.75" customHeight="1" x14ac:dyDescent="0.25">
      <c r="A14" s="31" t="s">
        <v>9</v>
      </c>
      <c r="B14" s="32"/>
      <c r="C14" s="30"/>
      <c r="D14" s="30"/>
      <c r="E14" s="30"/>
      <c r="F14" s="30"/>
      <c r="V14" s="23"/>
      <c r="W14" s="23"/>
      <c r="X14" s="23"/>
      <c r="AA14" s="11"/>
    </row>
    <row r="15" spans="1:29" ht="11.25" customHeight="1" x14ac:dyDescent="0.25">
      <c r="A15" s="20" t="s">
        <v>12</v>
      </c>
      <c r="V15" s="23"/>
      <c r="W15" s="23"/>
      <c r="X15" s="23"/>
    </row>
    <row r="16" spans="1:29" ht="12" customHeight="1" x14ac:dyDescent="0.25">
      <c r="A16" s="20" t="s">
        <v>13</v>
      </c>
    </row>
    <row r="17" spans="1:11" ht="12" customHeight="1" x14ac:dyDescent="0.25">
      <c r="A17" s="28" t="s">
        <v>14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</row>
    <row r="18" spans="1:11" ht="12" customHeight="1" x14ac:dyDescent="0.25">
      <c r="A18" s="20" t="s">
        <v>16</v>
      </c>
    </row>
    <row r="19" spans="1:11" ht="12" customHeight="1" x14ac:dyDescent="0.25">
      <c r="A19" s="20" t="s">
        <v>15</v>
      </c>
    </row>
    <row r="20" spans="1:11" ht="13.5" customHeight="1" x14ac:dyDescent="0.25">
      <c r="A20" s="20" t="s">
        <v>17</v>
      </c>
    </row>
    <row r="21" spans="1:11" ht="12" customHeight="1" x14ac:dyDescent="0.25">
      <c r="A21" s="28" t="s">
        <v>43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</row>
    <row r="22" spans="1:11" ht="12.75" customHeight="1" x14ac:dyDescent="0.25">
      <c r="A22" s="29" t="s">
        <v>56</v>
      </c>
      <c r="C22" s="30"/>
      <c r="D22" s="30"/>
    </row>
    <row r="23" spans="1:11" ht="12.75" customHeight="1" x14ac:dyDescent="0.25">
      <c r="A23" s="21" t="s">
        <v>57</v>
      </c>
      <c r="G23" s="30"/>
      <c r="H23" s="30"/>
      <c r="I23" s="30"/>
      <c r="J23" s="30"/>
    </row>
    <row r="24" spans="1:11" ht="12.75" customHeight="1" x14ac:dyDescent="0.25">
      <c r="A24" s="21" t="s">
        <v>65</v>
      </c>
      <c r="G24" s="30"/>
      <c r="H24" s="30"/>
      <c r="I24" s="30"/>
    </row>
    <row r="25" spans="1:11" ht="12" customHeight="1" x14ac:dyDescent="0.25">
      <c r="A25" s="28" t="s">
        <v>66</v>
      </c>
      <c r="B25" s="30"/>
      <c r="C25" s="30"/>
      <c r="D25" s="30"/>
      <c r="E25" s="30"/>
      <c r="F25" s="30"/>
      <c r="G25" s="30"/>
      <c r="H25" s="30"/>
      <c r="I25" s="30"/>
    </row>
    <row r="26" spans="1:11" ht="12" customHeight="1" x14ac:dyDescent="0.25">
      <c r="A26" s="21" t="s">
        <v>75</v>
      </c>
      <c r="C26" s="30"/>
      <c r="D26" s="30"/>
      <c r="E26" s="30"/>
      <c r="F26" s="30"/>
      <c r="G26" s="30"/>
      <c r="H26" s="30"/>
    </row>
    <row r="27" spans="1:11" ht="12" customHeight="1" x14ac:dyDescent="0.25">
      <c r="A27" s="21" t="s">
        <v>76</v>
      </c>
    </row>
    <row r="28" spans="1:11" ht="12" customHeight="1" x14ac:dyDescent="0.25">
      <c r="A28" s="25" t="s">
        <v>58</v>
      </c>
    </row>
    <row r="29" spans="1:11" ht="12" customHeight="1" x14ac:dyDescent="0.25">
      <c r="A29" s="25" t="s">
        <v>77</v>
      </c>
      <c r="D29" s="30"/>
      <c r="E29" s="30"/>
      <c r="F29" s="30"/>
      <c r="G29" s="30"/>
      <c r="H29" s="30"/>
      <c r="I29" s="30"/>
      <c r="J29" s="30"/>
    </row>
    <row r="30" spans="1:11" ht="13.5" customHeight="1" x14ac:dyDescent="0.25">
      <c r="A30" s="25" t="s">
        <v>44</v>
      </c>
    </row>
    <row r="31" spans="1:11" ht="12" customHeight="1" x14ac:dyDescent="0.25">
      <c r="A31" s="25" t="s">
        <v>45</v>
      </c>
    </row>
    <row r="32" spans="1:11" ht="13.5" customHeight="1" x14ac:dyDescent="0.25">
      <c r="A32" s="56" t="s">
        <v>64</v>
      </c>
      <c r="B32" s="30"/>
      <c r="C32" s="30"/>
      <c r="D32" s="30"/>
      <c r="E32" s="30"/>
    </row>
    <row r="33" spans="1:11" ht="10.5" customHeight="1" x14ac:dyDescent="0.25">
      <c r="A33" s="25" t="s">
        <v>46</v>
      </c>
    </row>
    <row r="34" spans="1:11" ht="12.75" customHeight="1" x14ac:dyDescent="0.25">
      <c r="A34" s="25" t="s">
        <v>67</v>
      </c>
    </row>
    <row r="35" spans="1:11" ht="11.25" customHeight="1" x14ac:dyDescent="0.25">
      <c r="A35" s="25" t="s">
        <v>68</v>
      </c>
    </row>
    <row r="36" spans="1:11" ht="13.5" customHeight="1" x14ac:dyDescent="0.25">
      <c r="A36" s="25" t="s">
        <v>59</v>
      </c>
    </row>
    <row r="37" spans="1:11" ht="10.5" customHeight="1" x14ac:dyDescent="0.25">
      <c r="A37" s="25" t="s">
        <v>60</v>
      </c>
    </row>
    <row r="38" spans="1:11" ht="12" customHeight="1" x14ac:dyDescent="0.25">
      <c r="A38" s="25" t="s">
        <v>69</v>
      </c>
    </row>
    <row r="39" spans="1:11" ht="13.5" customHeight="1" x14ac:dyDescent="0.25">
      <c r="A39" s="56" t="s">
        <v>62</v>
      </c>
      <c r="J39" s="30"/>
      <c r="K39" s="30"/>
    </row>
    <row r="40" spans="1:11" ht="11.25" customHeight="1" x14ac:dyDescent="0.25">
      <c r="A40" s="56" t="s">
        <v>63</v>
      </c>
      <c r="B40" s="30"/>
      <c r="C40" s="30"/>
    </row>
    <row r="41" spans="1:11" ht="11.25" customHeight="1" x14ac:dyDescent="0.25">
      <c r="A41" s="59" t="s">
        <v>83</v>
      </c>
      <c r="B41" s="60"/>
      <c r="C41" s="60"/>
    </row>
    <row r="42" spans="1:11" ht="11.25" customHeight="1" x14ac:dyDescent="0.25">
      <c r="A42" s="59"/>
      <c r="B42" s="60"/>
      <c r="C42" s="60"/>
    </row>
    <row r="44" spans="1:11" x14ac:dyDescent="0.25">
      <c r="A44" s="24" t="s">
        <v>5</v>
      </c>
    </row>
  </sheetData>
  <autoFilter ref="A2:Z9" xr:uid="{00000000-0009-0000-0000-000000000000}">
    <sortState ref="A3:W9">
      <sortCondition ref="P2"/>
    </sortState>
  </autoFilter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přehled</vt:lpstr>
      <vt:lpstr>List3</vt:lpstr>
      <vt:lpstr>List4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2020-06-23T07:31:22Z</dcterms:created>
  <dcterms:modified xsi:type="dcterms:W3CDTF">2022-12-21T10:48:20Z</dcterms:modified>
</cp:coreProperties>
</file>