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65894\Desktop\FE analýzy\RRSM\"/>
    </mc:Choice>
  </mc:AlternateContent>
  <xr:revisionPtr revIDLastSave="0" documentId="13_ncr:1_{E82911A6-238C-4CFE-AD6D-040551283549}" xr6:coauthVersionLast="36" xr6:coauthVersionMax="36" xr10:uidLastSave="{00000000-0000-0000-0000-000000000000}"/>
  <bookViews>
    <workbookView xWindow="0" yWindow="0" windowWidth="20490" windowHeight="7005" tabRatio="722" xr2:uid="{00000000-000D-0000-FFFF-FFFF00000000}"/>
  </bookViews>
  <sheets>
    <sheet name="Analýza" sheetId="1" r:id="rId1"/>
    <sheet name="Sloupcový graf scénářů" sheetId="4" r:id="rId2"/>
    <sheet name="Nová klasifikace DMD" sheetId="5" r:id="rId3"/>
    <sheet name="Přehled DMD přípravků" sheetId="6" r:id="rId4"/>
    <sheet name="DMD - doporučení ČR 2020" sheetId="7" r:id="rId5"/>
    <sheet name="Volby DMD dle UpToDate" sheetId="8" r:id="rId6"/>
  </sheets>
  <externalReferences>
    <externalReference r:id="rId7"/>
  </externalReferences>
  <definedNames>
    <definedName name="_xlnm._FilterDatabase" localSheetId="0" hidden="1">Analýza!$A$2:$AP$27</definedName>
  </definedNames>
  <calcPr calcId="191029"/>
</workbook>
</file>

<file path=xl/calcChain.xml><?xml version="1.0" encoding="utf-8"?>
<calcChain xmlns="http://schemas.openxmlformats.org/spreadsheetml/2006/main">
  <c r="K23" i="1" l="1"/>
  <c r="AF14" i="1" l="1"/>
  <c r="J24" i="4" l="1"/>
  <c r="J23" i="4"/>
  <c r="J22" i="4"/>
  <c r="J21" i="4"/>
  <c r="J20" i="4"/>
  <c r="J19" i="4"/>
  <c r="J18" i="4"/>
  <c r="J17" i="4"/>
  <c r="J16" i="4"/>
  <c r="J15" i="4"/>
  <c r="J14" i="4"/>
  <c r="J13" i="4"/>
  <c r="J12" i="4"/>
  <c r="J11" i="4"/>
  <c r="J10" i="4"/>
  <c r="J9" i="4"/>
  <c r="J8" i="4"/>
  <c r="J7" i="4"/>
  <c r="J6" i="4"/>
  <c r="J5" i="4"/>
  <c r="J4" i="4"/>
  <c r="J3" i="4"/>
  <c r="I16" i="4"/>
  <c r="H16" i="4"/>
  <c r="G16" i="4"/>
  <c r="F16" i="4"/>
  <c r="E16" i="4"/>
  <c r="D16" i="4"/>
  <c r="C16" i="4"/>
  <c r="I17" i="4"/>
  <c r="H17" i="4"/>
  <c r="G17" i="4"/>
  <c r="F17" i="4"/>
  <c r="E17" i="4"/>
  <c r="D17" i="4"/>
  <c r="C17" i="4"/>
  <c r="I18" i="4"/>
  <c r="H18" i="4"/>
  <c r="G18" i="4"/>
  <c r="F18" i="4"/>
  <c r="E18" i="4"/>
  <c r="D18" i="4"/>
  <c r="C18" i="4"/>
  <c r="I13" i="4"/>
  <c r="H13" i="4"/>
  <c r="G13" i="4"/>
  <c r="F13" i="4"/>
  <c r="E13" i="4"/>
  <c r="D13" i="4"/>
  <c r="C13" i="4"/>
  <c r="H11" i="4"/>
  <c r="I12" i="4"/>
  <c r="H12" i="4"/>
  <c r="G12" i="4"/>
  <c r="F12" i="4"/>
  <c r="E12" i="4"/>
  <c r="D12" i="4"/>
  <c r="C12" i="4"/>
  <c r="Z17" i="1"/>
  <c r="AD17" i="1" s="1"/>
  <c r="Y17" i="1"/>
  <c r="AC17" i="1" s="1"/>
  <c r="X17" i="1"/>
  <c r="AE17" i="1" s="1"/>
  <c r="W17" i="1"/>
  <c r="AA17" i="1" s="1"/>
  <c r="Z15" i="1"/>
  <c r="AD15" i="1" s="1"/>
  <c r="Y15" i="1"/>
  <c r="AC15" i="1" s="1"/>
  <c r="W15" i="1"/>
  <c r="X15" i="1" s="1"/>
  <c r="Z14" i="1"/>
  <c r="AD14" i="1" s="1"/>
  <c r="Y14" i="1"/>
  <c r="AC14" i="1" s="1"/>
  <c r="W14" i="1"/>
  <c r="X14" i="1" s="1"/>
  <c r="AA14" i="1"/>
  <c r="I11" i="4"/>
  <c r="G11" i="4"/>
  <c r="F11" i="4"/>
  <c r="E11" i="4"/>
  <c r="D11" i="4"/>
  <c r="C11" i="4"/>
  <c r="I10" i="4"/>
  <c r="H10" i="4"/>
  <c r="G10" i="4"/>
  <c r="F10" i="4"/>
  <c r="E10" i="4"/>
  <c r="D10" i="4"/>
  <c r="C10" i="4"/>
  <c r="S3" i="1"/>
  <c r="AB17" i="1" l="1"/>
  <c r="AB14" i="1"/>
  <c r="AE14" i="1"/>
  <c r="AE15" i="1"/>
  <c r="AB15" i="1"/>
  <c r="AA15" i="1"/>
  <c r="T15" i="1"/>
  <c r="S25" i="1"/>
  <c r="S24" i="1"/>
  <c r="S23" i="1"/>
  <c r="S22" i="1"/>
  <c r="S17" i="1"/>
  <c r="T17" i="1" s="1"/>
  <c r="S14" i="1"/>
  <c r="T14" i="1" s="1"/>
  <c r="S11" i="1"/>
  <c r="S10" i="1"/>
  <c r="S9" i="1"/>
  <c r="S7" i="1"/>
  <c r="S6" i="1"/>
  <c r="S5" i="1"/>
  <c r="S4" i="1"/>
  <c r="T18" i="1"/>
  <c r="Q25" i="1"/>
  <c r="Q24" i="1"/>
  <c r="R24" i="1" s="1"/>
  <c r="Q23" i="1"/>
  <c r="R23" i="1" s="1"/>
  <c r="Q22" i="1"/>
  <c r="R22" i="1" s="1"/>
  <c r="Q20" i="1"/>
  <c r="Q19" i="1"/>
  <c r="R19" i="1" s="1"/>
  <c r="Q18" i="1"/>
  <c r="Q17" i="1"/>
  <c r="R17" i="1" s="1"/>
  <c r="Q16" i="1"/>
  <c r="R16" i="1" s="1"/>
  <c r="Q15" i="1"/>
  <c r="R15" i="1" s="1"/>
  <c r="Q14" i="1"/>
  <c r="R14" i="1" s="1"/>
  <c r="Q10" i="1"/>
  <c r="Q9" i="1"/>
  <c r="Q7" i="1"/>
  <c r="Q6" i="1"/>
  <c r="R6" i="1" s="1"/>
  <c r="Q5" i="1"/>
  <c r="Q4" i="1"/>
  <c r="Q3" i="1"/>
  <c r="R3" i="1" s="1"/>
  <c r="Q11" i="1"/>
  <c r="R11" i="1" s="1"/>
  <c r="R21" i="1"/>
  <c r="R18" i="1"/>
  <c r="P18" i="1"/>
  <c r="R25" i="1"/>
  <c r="R20" i="1"/>
  <c r="R13" i="1"/>
  <c r="R12" i="1"/>
  <c r="R10" i="1"/>
  <c r="R9" i="1"/>
  <c r="R8" i="1"/>
  <c r="R7" i="1"/>
  <c r="R5" i="1"/>
  <c r="R4" i="1"/>
  <c r="P25" i="1" l="1"/>
  <c r="P24" i="1"/>
  <c r="P23" i="1"/>
  <c r="P22" i="1"/>
  <c r="P21" i="1"/>
  <c r="P20" i="1"/>
  <c r="P19" i="1"/>
  <c r="P17" i="1"/>
  <c r="P16" i="1"/>
  <c r="P15" i="1"/>
  <c r="P13" i="1"/>
  <c r="P12" i="1"/>
  <c r="P8" i="1"/>
  <c r="L15" i="1"/>
  <c r="K15" i="1"/>
  <c r="L13" i="1"/>
  <c r="K13" i="1"/>
  <c r="L20" i="1" l="1"/>
  <c r="K20" i="1"/>
  <c r="K19" i="1"/>
  <c r="L19" i="1" l="1"/>
  <c r="K18" i="1"/>
  <c r="O14" i="1" l="1"/>
  <c r="P14" i="1" s="1"/>
  <c r="O10" i="1"/>
  <c r="P10" i="1" s="1"/>
  <c r="O9" i="1"/>
  <c r="P9" i="1" s="1"/>
  <c r="O7" i="1"/>
  <c r="P7" i="1" s="1"/>
  <c r="O6" i="1"/>
  <c r="P6" i="1" s="1"/>
  <c r="O5" i="1"/>
  <c r="P5" i="1" s="1"/>
  <c r="O4" i="1"/>
  <c r="P4" i="1" s="1"/>
  <c r="O3" i="1"/>
  <c r="P3" i="1" s="1"/>
  <c r="K17" i="1" l="1"/>
  <c r="L17" i="1" s="1"/>
  <c r="L14" i="1"/>
  <c r="K14" i="1"/>
  <c r="Y13" i="1" l="1"/>
  <c r="W13" i="1"/>
  <c r="T13" i="1"/>
  <c r="X13" i="1" l="1"/>
  <c r="W19" i="1"/>
  <c r="X19" i="1" s="1"/>
  <c r="V19" i="1"/>
  <c r="U19" i="1"/>
  <c r="T19" i="1"/>
  <c r="Y19" i="1" l="1"/>
  <c r="Z19" i="1"/>
  <c r="J11" i="1" l="1"/>
  <c r="J10" i="1"/>
  <c r="J4" i="1"/>
  <c r="J3" i="1"/>
  <c r="J16" i="1"/>
  <c r="J21" i="1"/>
  <c r="L21" i="1" l="1"/>
  <c r="K21" i="1"/>
  <c r="I8" i="4"/>
  <c r="AQ27" i="1"/>
  <c r="V25" i="1"/>
  <c r="U25" i="1"/>
  <c r="T25" i="1"/>
  <c r="L25" i="1"/>
  <c r="K25" i="1"/>
  <c r="V24" i="1"/>
  <c r="U24" i="1"/>
  <c r="T24" i="1"/>
  <c r="L24" i="1"/>
  <c r="K24" i="1"/>
  <c r="V23" i="1"/>
  <c r="U23" i="1"/>
  <c r="T23" i="1"/>
  <c r="L23" i="1"/>
  <c r="V22" i="1"/>
  <c r="U22" i="1"/>
  <c r="T22" i="1"/>
  <c r="L22" i="1"/>
  <c r="K22" i="1"/>
  <c r="V21" i="1"/>
  <c r="U21" i="1"/>
  <c r="T21" i="1"/>
  <c r="W20" i="1"/>
  <c r="X20" i="1" s="1"/>
  <c r="V20" i="1"/>
  <c r="U20" i="1"/>
  <c r="T20" i="1"/>
  <c r="W18" i="1"/>
  <c r="X18" i="1" s="1"/>
  <c r="V16" i="1"/>
  <c r="U16" i="1"/>
  <c r="T16" i="1"/>
  <c r="K16" i="1"/>
  <c r="AG12" i="1"/>
  <c r="I14" i="4" s="1"/>
  <c r="AF12" i="1"/>
  <c r="H14" i="4" s="1"/>
  <c r="AD12" i="1"/>
  <c r="F14" i="4" s="1"/>
  <c r="Y12" i="1"/>
  <c r="AC12" i="1" s="1"/>
  <c r="E14" i="4" s="1"/>
  <c r="W12" i="1"/>
  <c r="T12" i="1"/>
  <c r="K12" i="1"/>
  <c r="V11" i="1"/>
  <c r="T11" i="1"/>
  <c r="O11" i="1"/>
  <c r="P11" i="1" s="1"/>
  <c r="K11" i="1"/>
  <c r="V10" i="1"/>
  <c r="U10" i="1"/>
  <c r="T10" i="1"/>
  <c r="U9" i="1"/>
  <c r="T9" i="1"/>
  <c r="K9" i="1"/>
  <c r="X8" i="1"/>
  <c r="Y8" i="1" s="1"/>
  <c r="Z8" i="1" s="1"/>
  <c r="L8" i="1"/>
  <c r="V7" i="1"/>
  <c r="U7" i="1"/>
  <c r="T7" i="1"/>
  <c r="K7" i="1"/>
  <c r="V6" i="1"/>
  <c r="U6" i="1"/>
  <c r="T6" i="1"/>
  <c r="K6" i="1"/>
  <c r="V5" i="1"/>
  <c r="U5" i="1"/>
  <c r="T5" i="1"/>
  <c r="K5" i="1"/>
  <c r="V4" i="1"/>
  <c r="U4" i="1"/>
  <c r="T4" i="1"/>
  <c r="K4" i="1"/>
  <c r="V3" i="1"/>
  <c r="U3" i="1"/>
  <c r="T3" i="1"/>
  <c r="K3" i="1"/>
  <c r="M13" i="1" l="1"/>
  <c r="M15" i="1"/>
  <c r="M17" i="1"/>
  <c r="M14" i="1"/>
  <c r="W3" i="1"/>
  <c r="X3" i="1" s="1"/>
  <c r="X22" i="1"/>
  <c r="W5" i="1"/>
  <c r="X5" i="1" s="1"/>
  <c r="W11" i="1"/>
  <c r="X11" i="1" s="1"/>
  <c r="W24" i="1"/>
  <c r="AA24" i="1" s="1"/>
  <c r="C24" i="4" s="1"/>
  <c r="Z3" i="1"/>
  <c r="Z11" i="1"/>
  <c r="Z24" i="1"/>
  <c r="X24" i="1"/>
  <c r="AB24" i="1" s="1"/>
  <c r="W9" i="1"/>
  <c r="X9" i="1" s="1"/>
  <c r="L6" i="1"/>
  <c r="Z9" i="1"/>
  <c r="L18" i="1"/>
  <c r="Y20" i="1"/>
  <c r="Y22" i="1"/>
  <c r="Z18" i="1"/>
  <c r="L11" i="1"/>
  <c r="M19" i="1"/>
  <c r="M3" i="1"/>
  <c r="AF3" i="1" s="1"/>
  <c r="H3" i="4" s="1"/>
  <c r="W4" i="1"/>
  <c r="X4" i="1" s="1"/>
  <c r="Y7" i="1"/>
  <c r="W7" i="1"/>
  <c r="X7" i="1" s="1"/>
  <c r="L5" i="1"/>
  <c r="W6" i="1"/>
  <c r="X6" i="1" s="1"/>
  <c r="L9" i="1"/>
  <c r="Y18" i="1"/>
  <c r="W22" i="1"/>
  <c r="M24" i="1"/>
  <c r="M5" i="1"/>
  <c r="L16" i="1"/>
  <c r="Z4" i="1"/>
  <c r="Y4" i="1"/>
  <c r="M4" i="1"/>
  <c r="L4" i="1"/>
  <c r="L3" i="1"/>
  <c r="W10" i="1"/>
  <c r="X10" i="1" s="1"/>
  <c r="X12" i="1"/>
  <c r="AA12" i="1"/>
  <c r="C14" i="4" s="1"/>
  <c r="W21" i="1"/>
  <c r="AG3" i="1"/>
  <c r="I3" i="4" s="1"/>
  <c r="M7" i="1"/>
  <c r="L7" i="1"/>
  <c r="X21" i="1"/>
  <c r="M6" i="1"/>
  <c r="Y6" i="1"/>
  <c r="M22" i="1"/>
  <c r="L12" i="1"/>
  <c r="M18" i="1"/>
  <c r="AG21" i="1"/>
  <c r="I20" i="4" s="1"/>
  <c r="Y3" i="1"/>
  <c r="Z7" i="1"/>
  <c r="M20" i="1"/>
  <c r="Z20" i="1"/>
  <c r="M21" i="1"/>
  <c r="M23" i="1"/>
  <c r="M9" i="1"/>
  <c r="W23" i="1"/>
  <c r="M11" i="1"/>
  <c r="M16" i="1"/>
  <c r="W16" i="1"/>
  <c r="X16" i="1" s="1"/>
  <c r="Z16" i="1"/>
  <c r="X23" i="1"/>
  <c r="W25" i="1"/>
  <c r="X25" i="1" s="1"/>
  <c r="M25" i="1"/>
  <c r="AF25" i="1" s="1"/>
  <c r="H21" i="4" s="1"/>
  <c r="AD13" i="1" l="1"/>
  <c r="AA13" i="1"/>
  <c r="AC13" i="1"/>
  <c r="AB13" i="1"/>
  <c r="AE13" i="1"/>
  <c r="AD24" i="1"/>
  <c r="F24" i="4" s="1"/>
  <c r="N15" i="1"/>
  <c r="N13" i="1"/>
  <c r="N17" i="1"/>
  <c r="N14" i="1"/>
  <c r="AC3" i="1"/>
  <c r="E3" i="4" s="1"/>
  <c r="AD3" i="1"/>
  <c r="F3" i="4" s="1"/>
  <c r="AB3" i="1"/>
  <c r="D3" i="4" s="1"/>
  <c r="Y9" i="1"/>
  <c r="AC9" i="1" s="1"/>
  <c r="E8" i="4" s="1"/>
  <c r="Y24" i="1"/>
  <c r="AC24" i="1" s="1"/>
  <c r="E24" i="4" s="1"/>
  <c r="Y11" i="1"/>
  <c r="AC11" i="1" s="1"/>
  <c r="AA3" i="1"/>
  <c r="C3" i="4" s="1"/>
  <c r="N25" i="1"/>
  <c r="AE5" i="1"/>
  <c r="G5" i="4" s="1"/>
  <c r="AA5" i="1"/>
  <c r="C5" i="4" s="1"/>
  <c r="AF5" i="1"/>
  <c r="H5" i="4" s="1"/>
  <c r="N20" i="1"/>
  <c r="AF24" i="1"/>
  <c r="H24" i="4" s="1"/>
  <c r="AG24" i="1"/>
  <c r="I24" i="4" s="1"/>
  <c r="Z22" i="1"/>
  <c r="AD22" i="1" s="1"/>
  <c r="F22" i="4" s="1"/>
  <c r="AB5" i="1"/>
  <c r="D5" i="4" s="1"/>
  <c r="N6" i="1"/>
  <c r="N19" i="1"/>
  <c r="N22" i="1"/>
  <c r="AE22" i="1" s="1"/>
  <c r="G22" i="4" s="1"/>
  <c r="N21" i="1"/>
  <c r="AE21" i="1" s="1"/>
  <c r="G20" i="4" s="1"/>
  <c r="N7" i="1"/>
  <c r="AG19" i="1"/>
  <c r="AA19" i="1"/>
  <c r="AB19" i="1"/>
  <c r="AD19" i="1"/>
  <c r="AF19" i="1"/>
  <c r="AC19" i="1"/>
  <c r="AE19" i="1"/>
  <c r="AG5" i="1"/>
  <c r="I5" i="4" s="1"/>
  <c r="AB25" i="1"/>
  <c r="D21" i="4" s="1"/>
  <c r="AG20" i="1"/>
  <c r="I19" i="4" s="1"/>
  <c r="AC20" i="1"/>
  <c r="E19" i="4" s="1"/>
  <c r="AE20" i="1"/>
  <c r="G19" i="4" s="1"/>
  <c r="AA20" i="1"/>
  <c r="C19" i="4" s="1"/>
  <c r="AF20" i="1"/>
  <c r="H19" i="4" s="1"/>
  <c r="AD20" i="1"/>
  <c r="F19" i="4" s="1"/>
  <c r="AB20" i="1"/>
  <c r="D24" i="4"/>
  <c r="Z6" i="1"/>
  <c r="AD6" i="1" s="1"/>
  <c r="F6" i="4" s="1"/>
  <c r="Y16" i="1"/>
  <c r="AC16" i="1" s="1"/>
  <c r="E15" i="4" s="1"/>
  <c r="AA23" i="1"/>
  <c r="C23" i="4" s="1"/>
  <c r="AG23" i="1"/>
  <c r="I23" i="4" s="1"/>
  <c r="AF23" i="1"/>
  <c r="H23" i="4" s="1"/>
  <c r="AB23" i="1"/>
  <c r="AD18" i="1"/>
  <c r="AB18" i="1"/>
  <c r="AA18" i="1"/>
  <c r="AE18" i="1"/>
  <c r="AC18" i="1"/>
  <c r="AG6" i="1"/>
  <c r="I6" i="4" s="1"/>
  <c r="AC6" i="1"/>
  <c r="E6" i="4" s="1"/>
  <c r="AE6" i="1"/>
  <c r="G6" i="4" s="1"/>
  <c r="AF6" i="1"/>
  <c r="H6" i="4" s="1"/>
  <c r="AB6" i="1"/>
  <c r="AA6" i="1"/>
  <c r="C6" i="4" s="1"/>
  <c r="N24" i="1"/>
  <c r="AE24" i="1" s="1"/>
  <c r="G24" i="4" s="1"/>
  <c r="AD7" i="1"/>
  <c r="F7" i="4" s="1"/>
  <c r="AF7" i="1"/>
  <c r="H7" i="4" s="1"/>
  <c r="AB7" i="1"/>
  <c r="AC7" i="1"/>
  <c r="E7" i="4" s="1"/>
  <c r="AA7" i="1"/>
  <c r="C7" i="4" s="1"/>
  <c r="AE7" i="1"/>
  <c r="G7" i="4" s="1"/>
  <c r="AG7" i="1"/>
  <c r="I7" i="4" s="1"/>
  <c r="AE12" i="1"/>
  <c r="G14" i="4" s="1"/>
  <c r="AB12" i="1"/>
  <c r="N4" i="1"/>
  <c r="AE11" i="1"/>
  <c r="AA11" i="1"/>
  <c r="AD11" i="1"/>
  <c r="AB11" i="1"/>
  <c r="AG11" i="1"/>
  <c r="AE16" i="1"/>
  <c r="G15" i="4" s="1"/>
  <c r="AA16" i="1"/>
  <c r="C15" i="4" s="1"/>
  <c r="AG16" i="1"/>
  <c r="I15" i="4" s="1"/>
  <c r="AF16" i="1"/>
  <c r="H15" i="4" s="1"/>
  <c r="AD16" i="1"/>
  <c r="F15" i="4" s="1"/>
  <c r="AB16" i="1"/>
  <c r="AA21" i="1"/>
  <c r="C20" i="4" s="1"/>
  <c r="AB21" i="1"/>
  <c r="AF21" i="1"/>
  <c r="H20" i="4" s="1"/>
  <c r="N23" i="1"/>
  <c r="AE23" i="1" s="1"/>
  <c r="G23" i="4" s="1"/>
  <c r="N12" i="1"/>
  <c r="N9" i="1"/>
  <c r="N11" i="1"/>
  <c r="N3" i="1"/>
  <c r="AE3" i="1" s="1"/>
  <c r="G3" i="4" s="1"/>
  <c r="AD4" i="1"/>
  <c r="F4" i="4" s="1"/>
  <c r="AE4" i="1"/>
  <c r="G4" i="4" s="1"/>
  <c r="AC4" i="1"/>
  <c r="E4" i="4" s="1"/>
  <c r="AG4" i="1"/>
  <c r="I4" i="4" s="1"/>
  <c r="AB4" i="1"/>
  <c r="AF4" i="1"/>
  <c r="H4" i="4" s="1"/>
  <c r="AA4" i="1"/>
  <c r="C4" i="4" s="1"/>
  <c r="N16" i="1"/>
  <c r="Y25" i="1"/>
  <c r="AC25" i="1" s="1"/>
  <c r="E21" i="4" s="1"/>
  <c r="Z25" i="1"/>
  <c r="AD25" i="1" s="1"/>
  <c r="F21" i="4" s="1"/>
  <c r="Y23" i="1"/>
  <c r="AC23" i="1" s="1"/>
  <c r="E23" i="4" s="1"/>
  <c r="Z23" i="1"/>
  <c r="AD23" i="1" s="1"/>
  <c r="F23" i="4" s="1"/>
  <c r="AE9" i="1"/>
  <c r="G8" i="4" s="1"/>
  <c r="AA9" i="1"/>
  <c r="C8" i="4" s="1"/>
  <c r="AF9" i="1"/>
  <c r="H8" i="4" s="1"/>
  <c r="AD9" i="1"/>
  <c r="F8" i="4" s="1"/>
  <c r="AB9" i="1"/>
  <c r="AF22" i="1"/>
  <c r="H22" i="4" s="1"/>
  <c r="AB22" i="1"/>
  <c r="AA22" i="1"/>
  <c r="C22" i="4" s="1"/>
  <c r="AG22" i="1"/>
  <c r="I22" i="4" s="1"/>
  <c r="AC22" i="1"/>
  <c r="E22" i="4" s="1"/>
  <c r="Y5" i="1"/>
  <c r="AC5" i="1" s="1"/>
  <c r="E5" i="4" s="1"/>
  <c r="Z5" i="1"/>
  <c r="AD5" i="1" s="1"/>
  <c r="F5" i="4" s="1"/>
  <c r="N18" i="1"/>
  <c r="Y21" i="1"/>
  <c r="AC21" i="1" s="1"/>
  <c r="E20" i="4" s="1"/>
  <c r="Z21" i="1"/>
  <c r="AD21" i="1" s="1"/>
  <c r="F20" i="4" s="1"/>
  <c r="Y10" i="1"/>
  <c r="Z10" i="1"/>
  <c r="N5" i="1"/>
  <c r="AA25" i="1"/>
  <c r="C21" i="4" s="1"/>
  <c r="AE25" i="1"/>
  <c r="G21" i="4" s="1"/>
  <c r="AG25" i="1"/>
  <c r="I21" i="4" s="1"/>
  <c r="AI3" i="1" l="1"/>
  <c r="AI14" i="1"/>
  <c r="AI24" i="1"/>
  <c r="AI19" i="1"/>
  <c r="AI22" i="1"/>
  <c r="D22" i="4"/>
  <c r="D4" i="4"/>
  <c r="AI4" i="1"/>
  <c r="AI11" i="1"/>
  <c r="AI7" i="1"/>
  <c r="D7" i="4"/>
  <c r="D19" i="4"/>
  <c r="AI20" i="1"/>
  <c r="D6" i="4"/>
  <c r="AI6" i="1"/>
  <c r="AI18" i="1"/>
  <c r="D20" i="4"/>
  <c r="AI21" i="1"/>
  <c r="D8" i="4"/>
  <c r="AI9" i="1"/>
  <c r="AI5" i="1"/>
  <c r="D15" i="4"/>
  <c r="AI16" i="1"/>
  <c r="D14" i="4"/>
  <c r="AI12" i="1"/>
  <c r="D23" i="4"/>
  <c r="AI23" i="1"/>
  <c r="AI25" i="1"/>
  <c r="K10" i="1" l="1"/>
  <c r="M10" i="1" l="1"/>
  <c r="L10" i="1"/>
  <c r="N10" i="1" s="1"/>
  <c r="AE10" i="1" l="1"/>
  <c r="G9" i="4" s="1"/>
  <c r="AG10" i="1"/>
  <c r="I9" i="4" s="1"/>
  <c r="AC10" i="1"/>
  <c r="E9" i="4" s="1"/>
  <c r="AB10" i="1"/>
  <c r="AF10" i="1"/>
  <c r="H9" i="4" s="1"/>
  <c r="AD10" i="1"/>
  <c r="F9" i="4" s="1"/>
  <c r="AA10" i="1"/>
  <c r="C9" i="4" s="1"/>
  <c r="D9" i="4" l="1"/>
  <c r="AI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Uživatel systému Windows</author>
  </authors>
  <commentList>
    <comment ref="K2" authorId="0" shapeId="0" xr:uid="{00000000-0006-0000-0000-000001000000}">
      <text>
        <r>
          <rPr>
            <b/>
            <sz val="9"/>
            <color indexed="81"/>
            <rFont val="Tahoma"/>
            <family val="2"/>
            <charset val="238"/>
          </rPr>
          <t xml:space="preserve">Uživatel systému Windows:
</t>
        </r>
        <r>
          <rPr>
            <sz val="9"/>
            <color indexed="81"/>
            <rFont val="Tahoma"/>
            <family val="2"/>
            <charset val="238"/>
          </rPr>
          <t xml:space="preserve">
jeden měsíc = 30 dní
tj. 12 x 30 dní
rok = 365 dní. 
Počítáno na model. Pac. Hm: 80 Kg, BSA: 1,96 m2</t>
        </r>
      </text>
    </comment>
    <comment ref="L2" authorId="0" shapeId="0" xr:uid="{00000000-0006-0000-0000-000002000000}">
      <text>
        <r>
          <rPr>
            <b/>
            <sz val="9"/>
            <color indexed="81"/>
            <rFont val="Tahoma"/>
            <family val="2"/>
            <charset val="238"/>
          </rPr>
          <t xml:space="preserve">Uživatel systému Windows:
</t>
        </r>
        <r>
          <rPr>
            <sz val="9"/>
            <color indexed="81"/>
            <rFont val="Tahoma"/>
            <family val="2"/>
            <charset val="238"/>
          </rPr>
          <t xml:space="preserve">
jeden měsíc = 30 dní
tj. 12 x 30 dní
rok = 365 dní. 
Počítáno na model. Pac. Hm: 80 Kg, BSA: 1,96 m2</t>
        </r>
      </text>
    </comment>
    <comment ref="T2" authorId="0" shapeId="0" xr:uid="{00000000-0006-0000-0000-000004000000}">
      <text>
        <r>
          <rPr>
            <b/>
            <sz val="9"/>
            <color indexed="81"/>
            <rFont val="Tahoma"/>
            <family val="2"/>
            <charset val="238"/>
          </rPr>
          <t>Uživatel systému Windows:</t>
        </r>
        <r>
          <rPr>
            <sz val="9"/>
            <color indexed="81"/>
            <rFont val="Tahoma"/>
            <family val="2"/>
            <charset val="238"/>
          </rPr>
          <t xml:space="preserve">
Pro každý přípravek je počítána RR pro 1. a 2. rok dle RR ve sloupci epsilon, pro 3., 4. a 5. je pro všechny přípravky RR rovno 1 (dle zdroje 8 byla v FE modelu pro všechny přípravky předpokládána pravděpodobnost ukončení léčby 16% ve 3. a následujících letech). Hodnota RR je pak zprůměrována na 1 rok pro horizont 5 let.</t>
        </r>
      </text>
    </comment>
    <comment ref="U2" authorId="0" shapeId="0" xr:uid="{00000000-0006-0000-0000-000005000000}">
      <text>
        <r>
          <rPr>
            <b/>
            <sz val="9"/>
            <color indexed="81"/>
            <rFont val="Tahoma"/>
            <family val="2"/>
            <charset val="238"/>
          </rPr>
          <t>Uživatel systému Windows:</t>
        </r>
        <r>
          <rPr>
            <sz val="9"/>
            <color indexed="81"/>
            <rFont val="Tahoma"/>
            <family val="2"/>
            <charset val="238"/>
          </rPr>
          <t xml:space="preserve">
Pro počet QALY byly použity výsledky dle Table ES3 (použit zdroj uvedený pod pozn. 21) - použitý FE model pro RRMS měl následující parametry: DMD naivní pacienti, celoživotní horizont, alemtuzumab může být užíván i více než 3 roky!!!, DMD ukončeno při EDSS 7 a více, průměrný věk pacienta vstupujícího do modelu - 29, poměry EDSS na vstupu do modelu - EDSS 1 (22%), EDSS 2 (28%), EDSS 3 (24%), EDSS 4 (15%), EDSS 5 (6%),... V modelu chyběl kladribin a ofatumumab - hodnota QALY u kladribinu byla odhadnuta na 10,40 dle poměrů QALY kladribinu vůči fingolimodu, alemtuzumabu a natalizumabu v Table 4 zdroje v pozn. 9 a v Table 6 zdroje v pozn. 8, hodnota QALY u ofatumumabu byla odhadnuta také na 10,40 (dle cca stejné hodnoty s kladribinem v Table 6 zdroje v pozn.8). Hodnota poměru QALY pro ponesimod byla převzata dle hodnot QALY posemido vs DMF uvedené v části „Výsledek základního scénáře“ ve zdroji pod pozn. 30 (CAVE! v tomto modelu bylo vstupní EDSS pacientů 5 ve 100%!)</t>
        </r>
      </text>
    </comment>
    <comment ref="V2" authorId="0" shapeId="0" xr:uid="{00000000-0006-0000-0000-000006000000}">
      <text>
        <r>
          <rPr>
            <b/>
            <sz val="9"/>
            <color indexed="81"/>
            <rFont val="Tahoma"/>
            <family val="2"/>
            <charset val="238"/>
          </rPr>
          <t>Uživatel systému Windows:</t>
        </r>
        <r>
          <rPr>
            <sz val="9"/>
            <color indexed="81"/>
            <rFont val="Tahoma"/>
            <family val="2"/>
            <charset val="238"/>
          </rPr>
          <t xml:space="preserve">
Pro počet QALY byl použit zdroj CADTH (viz pozn. 8) - použitý FE model pro RRMS měl následující parametry: populace je mix (DMD již užívající (cca 59%) i DMD naivní pacienti), celoživotní horizont, alemtuzumab a kladribin užívány jen první 2 roky, DMD ukončeno při EDSS 7 a více, průměrný věk pacienta vstupujícího do modelu - 38 ? (dle zdroje z pozn. 10), medián EDSS na vstupu do modelu - 3 ? (dle zdroje z pozn. 10) </t>
        </r>
      </text>
    </comment>
    <comment ref="W2" authorId="0" shapeId="0" xr:uid="{00000000-0006-0000-0000-000007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1</t>
        </r>
        <r>
          <rPr>
            <sz val="9"/>
            <color indexed="81"/>
            <rFont val="Tahoma"/>
            <family val="2"/>
            <charset val="238"/>
          </rPr>
          <t>.: 5-letý časový horizont, žádný "effect waning" (kromě kladribinu), RR pro přerušení léčby je ze sl. epsilon (u alemtuzumabu a kladribinu RR sníženo kvůli užívání kratší než 5 let)
(1/gamma + 1/delta)/2*epsilon</t>
        </r>
      </text>
    </comment>
    <comment ref="X2" authorId="0" shapeId="0" xr:uid="{00000000-0006-0000-0000-000008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2</t>
        </r>
        <r>
          <rPr>
            <sz val="9"/>
            <color indexed="81"/>
            <rFont val="Tahoma"/>
            <family val="2"/>
            <charset val="238"/>
          </rPr>
          <t xml:space="preserve">.: 5-letý časový horizont, žádný "effect waning" (kromě kladribinu), RR pro přerušení léčby je ze sl. epsilon (u alemtuzumabu a kladribinu riziko celých 5 let stejné)
</t>
        </r>
        <r>
          <rPr>
            <u/>
            <sz val="9"/>
            <color indexed="81"/>
            <rFont val="Tahoma"/>
            <family val="2"/>
            <charset val="238"/>
          </rPr>
          <t>Scénář 5.</t>
        </r>
        <r>
          <rPr>
            <sz val="9"/>
            <color indexed="81"/>
            <rFont val="Tahoma"/>
            <family val="2"/>
            <charset val="238"/>
          </rPr>
          <t xml:space="preserve">: 2-letý časový horizont, žádný "effect waning",  RR pro přerušení léčby je ze sl. epsilon, cena za léčbu alemtuzumabem a kladribinem je zprůměrovaná za první 2 roky na 1 rok  </t>
        </r>
      </text>
    </comment>
    <comment ref="Y2" authorId="0" shapeId="0" xr:uid="{00000000-0006-0000-0000-000009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3</t>
        </r>
        <r>
          <rPr>
            <sz val="9"/>
            <color indexed="81"/>
            <rFont val="Tahoma"/>
            <family val="2"/>
            <charset val="238"/>
          </rPr>
          <t>.: 5-letý časový horizont, "effect waning": 3. a 4. rok pro všechny přípravky jen 75% efektu, 5. rok pak jen 50% efektu, RR pro přerušení léčby je ze sl. epsilon (u alemtuzumabu a kladribinu riziko celých 5 let stejné), cena za léčbu alemtuzumabem zprůměrovaná za 5 let při jen 2 letém užívání !!!! 
(1/gamma s čarou + 1/delta s čarou)/2*epsilon</t>
        </r>
      </text>
    </comment>
    <comment ref="Z2" authorId="0" shapeId="0" xr:uid="{00000000-0006-0000-0000-00000A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4</t>
        </r>
        <r>
          <rPr>
            <sz val="9"/>
            <color indexed="81"/>
            <rFont val="Tahoma"/>
            <family val="2"/>
            <charset val="238"/>
          </rPr>
          <t>.: 5-letý časový horizont, "effect waning": 3. a 4. rok pro všechny přípravky jen 75% efektu, 5. rok pak jen 50% efektu, RR pro přerušení léčby je ze sl. epsilon s čarou, cena za léčbu alemtuzumabem zprůměrovaná za 5 let při jen 2 letém užívání.
(1/gamma s čarou + 1/delta s čarou)/2*epsilon s čarou</t>
        </r>
      </text>
    </comment>
    <comment ref="AA2" authorId="0" shapeId="0" xr:uid="{00000000-0006-0000-0000-00000B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1</t>
        </r>
        <r>
          <rPr>
            <sz val="9"/>
            <color indexed="81"/>
            <rFont val="Tahoma"/>
            <family val="2"/>
            <charset val="238"/>
          </rPr>
          <t>.: 5-letý časový horizont, žádný "effect waning" (kromě kladribinu), RR pro přerušení léčby je ze sl. epsilon (u alemtuzumabu a kladribinu RR sníženo kvůli užívání kratší než 5 let)</t>
        </r>
      </text>
    </comment>
    <comment ref="AB2" authorId="0" shapeId="0" xr:uid="{00000000-0006-0000-0000-00000C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2</t>
        </r>
        <r>
          <rPr>
            <sz val="9"/>
            <color indexed="81"/>
            <rFont val="Tahoma"/>
            <family val="2"/>
            <charset val="238"/>
          </rPr>
          <t>.: 5-letý časový horizont, žádný "effect waning" (kromě kladribinu), RR pro přerušení léčby je ze sl. epsilon (u alemtuzumabu a kladribinu riziko celých 5 let stejné)</t>
        </r>
      </text>
    </comment>
    <comment ref="AC2" authorId="0" shapeId="0" xr:uid="{00000000-0006-0000-0000-00000D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3</t>
        </r>
        <r>
          <rPr>
            <sz val="9"/>
            <color indexed="81"/>
            <rFont val="Tahoma"/>
            <family val="2"/>
            <charset val="238"/>
          </rPr>
          <t>.:5-letý časový horizont, "effect waning": 3. a 4. rok pro všechny přípravky jen 75% efektu, 5. rok pak jen 50% efektu, RR pro přerušení léčby je ze sl. epsilon (u alemtuzumabu a kladribinu riziko celých 5 let stejné), cena za léčbu alemtuzumabem zprůměrovaná za 5 let při jen 2 letém užívání !!!!</t>
        </r>
      </text>
    </comment>
    <comment ref="AD2" authorId="0" shapeId="0" xr:uid="{00000000-0006-0000-0000-00000E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4</t>
        </r>
        <r>
          <rPr>
            <sz val="9"/>
            <color indexed="81"/>
            <rFont val="Tahoma"/>
            <family val="2"/>
            <charset val="238"/>
          </rPr>
          <t>.: 5-letý časový horizont, "effect waning": 3. a 4. rok pro všechny přípravky jen 75% efektu, 5. rok pak jen 50% efektu, RR pro přerušení léčby je ze sl. epsilon s čarou, cena za léčbu alemtuzumabem zprůměrovaná za 5 let při jen 2 letém užívání.</t>
        </r>
      </text>
    </comment>
    <comment ref="AE2" authorId="0" shapeId="0" xr:uid="{00000000-0006-0000-0000-00000F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5</t>
        </r>
        <r>
          <rPr>
            <sz val="9"/>
            <color indexed="81"/>
            <rFont val="Tahoma"/>
            <family val="2"/>
            <charset val="238"/>
          </rPr>
          <t xml:space="preserve">.: 2-letý časový horizont, žádný "effect waning", RR pro přerušení léčby je ze sl. epsilon, cena za léčbu alemtuzumabem a kladribinem je zprůměrovaná za první 2 roky na 1 rok </t>
        </r>
      </text>
    </comment>
    <comment ref="AF2" authorId="0" shapeId="0" xr:uid="{00000000-0006-0000-0000-000010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6</t>
        </r>
        <r>
          <rPr>
            <sz val="9"/>
            <color indexed="81"/>
            <rFont val="Tahoma"/>
            <family val="2"/>
            <charset val="238"/>
          </rPr>
          <t>.: poměr cen terapií je z 5-letého časového horizontu, poměr utilit (QALY) je ze sloupce zéta</t>
        </r>
      </text>
    </comment>
    <comment ref="AG2" authorId="0" shapeId="0" xr:uid="{00000000-0006-0000-0000-000011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7</t>
        </r>
        <r>
          <rPr>
            <sz val="9"/>
            <color indexed="81"/>
            <rFont val="Tahoma"/>
            <family val="2"/>
            <charset val="238"/>
          </rPr>
          <t>.: poměr cen terapií je z 5-letého časového horizontu, poměr utilit (QALY) je ze sloupce zéta s čarou</t>
        </r>
      </text>
    </comment>
    <comment ref="AH2" authorId="0" shapeId="0" xr:uid="{00000000-0006-0000-0000-000012000000}">
      <text>
        <r>
          <rPr>
            <b/>
            <sz val="9"/>
            <color indexed="81"/>
            <rFont val="Tahoma"/>
            <family val="2"/>
            <charset val="238"/>
          </rPr>
          <t>Uživatel systému Windows:</t>
        </r>
        <r>
          <rPr>
            <sz val="9"/>
            <color indexed="81"/>
            <rFont val="Tahoma"/>
            <family val="2"/>
            <charset val="238"/>
          </rPr>
          <t xml:space="preserve">
</t>
        </r>
      </text>
    </comment>
    <comment ref="AI2" authorId="0" shapeId="0" xr:uid="{00000000-0006-0000-0000-000013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2</t>
        </r>
        <r>
          <rPr>
            <sz val="9"/>
            <color indexed="81"/>
            <rFont val="Tahoma"/>
            <family val="2"/>
            <charset val="238"/>
          </rPr>
          <t>.: 5-letý časový horizont, žádný "effect waning" (kromě kladribinu), RR pro přerušení léčby je ze sl. epsilon (u alemtuzumabu a kladribinu riziko celých 5 let stejné)</t>
        </r>
      </text>
    </comment>
    <comment ref="J7" authorId="0" shapeId="0" xr:uid="{00000000-0006-0000-0000-000014000000}">
      <text>
        <r>
          <rPr>
            <b/>
            <sz val="9"/>
            <color indexed="81"/>
            <rFont val="Tahoma"/>
            <family val="2"/>
            <charset val="238"/>
          </rPr>
          <t>Uživatel systému Windows:</t>
        </r>
        <r>
          <rPr>
            <sz val="9"/>
            <color indexed="81"/>
            <rFont val="Tahoma"/>
            <family val="2"/>
            <charset val="238"/>
          </rPr>
          <t xml:space="preserve">
cena dle max. úhrady
</t>
        </r>
      </text>
    </comment>
    <comment ref="K9" authorId="0" shapeId="0" xr:uid="{00000000-0006-0000-0000-000015000000}">
      <text>
        <r>
          <rPr>
            <b/>
            <sz val="9"/>
            <color indexed="81"/>
            <rFont val="Tahoma"/>
            <family val="2"/>
            <charset val="238"/>
          </rPr>
          <t>Uživatel systému Windows:</t>
        </r>
        <r>
          <rPr>
            <sz val="9"/>
            <color indexed="81"/>
            <rFont val="Tahoma"/>
            <family val="2"/>
            <charset val="238"/>
          </rPr>
          <t xml:space="preserve">
nezahrnuje první měsíc iniciace</t>
        </r>
      </text>
    </comment>
    <comment ref="L9" authorId="0" shapeId="0" xr:uid="{00000000-0006-0000-0000-000016000000}">
      <text>
        <r>
          <rPr>
            <b/>
            <sz val="9"/>
            <color indexed="81"/>
            <rFont val="Tahoma"/>
            <family val="2"/>
            <charset val="238"/>
          </rPr>
          <t>Uživatel systému Windows:</t>
        </r>
        <r>
          <rPr>
            <sz val="9"/>
            <color indexed="81"/>
            <rFont val="Tahoma"/>
            <family val="2"/>
            <charset val="238"/>
          </rPr>
          <t xml:space="preserve">
</t>
        </r>
      </text>
    </comment>
    <comment ref="Q11" authorId="0" shapeId="0" xr:uid="{00000000-0006-0000-0000-000017000000}">
      <text>
        <r>
          <rPr>
            <sz val="9"/>
            <color indexed="81"/>
            <rFont val="Tahoma"/>
            <family val="2"/>
            <charset val="238"/>
          </rPr>
          <t xml:space="preserve">Nejsou data pro GA 40 ve zdroji pod pozn. 13, tak byla použita hodnota ze zdroje uvedeném pod pozn. 18
</t>
        </r>
      </text>
    </comment>
    <comment ref="R11" authorId="0" shapeId="0" xr:uid="{00000000-0006-0000-0000-000018000000}">
      <text>
        <r>
          <rPr>
            <sz val="9"/>
            <color indexed="81"/>
            <rFont val="Tahoma"/>
            <family val="2"/>
            <charset val="238"/>
          </rPr>
          <t xml:space="preserve">Nejsou data pro GA 40 ve zdroji pod pozn. 13, tak byla použita hodnota ze zdroje uvedeném pod pozn. 18
</t>
        </r>
      </text>
    </comment>
    <comment ref="S11" authorId="0" shapeId="0" xr:uid="{00000000-0006-0000-0000-000019000000}">
      <text>
        <r>
          <rPr>
            <b/>
            <sz val="9"/>
            <color indexed="81"/>
            <rFont val="Tahoma"/>
            <family val="2"/>
            <charset val="238"/>
          </rPr>
          <t>Uživatel systému Windows:</t>
        </r>
        <r>
          <rPr>
            <sz val="9"/>
            <color indexed="81"/>
            <rFont val="Tahoma"/>
            <family val="2"/>
            <charset val="238"/>
          </rPr>
          <t xml:space="preserve">
Nejsou data pro GA 40 pro posouzení tohoto parametru. Počítáno s předpokládanou hodnotou shodnou jako pro GA 20.</t>
        </r>
      </text>
    </comment>
    <comment ref="U11" authorId="0" shapeId="0" xr:uid="{00000000-0006-0000-0000-00001A000000}">
      <text>
        <r>
          <rPr>
            <b/>
            <sz val="9"/>
            <color indexed="81"/>
            <rFont val="Tahoma"/>
            <family val="2"/>
            <charset val="238"/>
          </rPr>
          <t>Uživatel systému Windows:</t>
        </r>
        <r>
          <rPr>
            <sz val="9"/>
            <color indexed="81"/>
            <rFont val="Tahoma"/>
            <family val="2"/>
            <charset val="238"/>
          </rPr>
          <t xml:space="preserve">
</t>
        </r>
      </text>
    </comment>
    <comment ref="V11" authorId="0" shapeId="0" xr:uid="{00000000-0006-0000-0000-00001B000000}">
      <text>
        <r>
          <rPr>
            <b/>
            <sz val="9"/>
            <color indexed="81"/>
            <rFont val="Tahoma"/>
            <family val="2"/>
            <charset val="238"/>
          </rPr>
          <t>Uživatel systému Windows:</t>
        </r>
        <r>
          <rPr>
            <sz val="9"/>
            <color indexed="81"/>
            <rFont val="Tahoma"/>
            <family val="2"/>
            <charset val="238"/>
          </rPr>
          <t xml:space="preserve">
</t>
        </r>
      </text>
    </comment>
    <comment ref="K12" authorId="0" shapeId="0" xr:uid="{00000000-0006-0000-0000-00001C000000}">
      <text>
        <r>
          <rPr>
            <b/>
            <sz val="9"/>
            <color indexed="81"/>
            <rFont val="Tahoma"/>
            <family val="2"/>
            <charset val="238"/>
          </rPr>
          <t>Uživatel systému Windows:</t>
        </r>
        <r>
          <rPr>
            <sz val="9"/>
            <color indexed="81"/>
            <rFont val="Tahoma"/>
            <family val="2"/>
            <charset val="238"/>
          </rPr>
          <t xml:space="preserve">
nezahrnuje iniciaci
</t>
        </r>
      </text>
    </comment>
    <comment ref="L12" authorId="0" shapeId="0" xr:uid="{00000000-0006-0000-0000-00001D000000}">
      <text>
        <r>
          <rPr>
            <b/>
            <sz val="9"/>
            <color indexed="81"/>
            <rFont val="Tahoma"/>
            <family val="2"/>
            <charset val="238"/>
          </rPr>
          <t>Uživatel systému Windows:</t>
        </r>
        <r>
          <rPr>
            <sz val="9"/>
            <color indexed="81"/>
            <rFont val="Tahoma"/>
            <family val="2"/>
            <charset val="238"/>
          </rPr>
          <t xml:space="preserve">
</t>
        </r>
      </text>
    </comment>
    <comment ref="J13" authorId="0" shapeId="0" xr:uid="{00000000-0006-0000-0000-00001E000000}">
      <text>
        <r>
          <rPr>
            <sz val="9"/>
            <color indexed="81"/>
            <rFont val="Tahoma"/>
            <charset val="1"/>
          </rPr>
          <t>Cena dle úhrady SUKLu z Rozhodnutí SUKLu
k Vumerity z 21.6.22 sp.zn. SUKLS343799/2021</t>
        </r>
      </text>
    </comment>
    <comment ref="K13" authorId="0" shapeId="0" xr:uid="{00000000-0006-0000-0000-00001F000000}">
      <text>
        <r>
          <rPr>
            <b/>
            <sz val="9"/>
            <color indexed="81"/>
            <rFont val="Tahoma"/>
            <family val="2"/>
            <charset val="238"/>
          </rPr>
          <t>Uživatel systému Windows:</t>
        </r>
        <r>
          <rPr>
            <sz val="9"/>
            <color indexed="81"/>
            <rFont val="Tahoma"/>
            <family val="2"/>
            <charset val="238"/>
          </rPr>
          <t xml:space="preserve">
nezahrnuje iniciaci
</t>
        </r>
      </text>
    </comment>
    <comment ref="L13" authorId="0" shapeId="0" xr:uid="{00000000-0006-0000-0000-000020000000}">
      <text>
        <r>
          <rPr>
            <b/>
            <sz val="9"/>
            <color indexed="81"/>
            <rFont val="Tahoma"/>
            <family val="2"/>
            <charset val="238"/>
          </rPr>
          <t>Uživatel systému Windows:</t>
        </r>
        <r>
          <rPr>
            <sz val="9"/>
            <color indexed="81"/>
            <rFont val="Tahoma"/>
            <family val="2"/>
            <charset val="238"/>
          </rPr>
          <t xml:space="preserve">
nezahrnuje iniciaci
</t>
        </r>
      </text>
    </comment>
    <comment ref="J14" authorId="0" shapeId="0" xr:uid="{00000000-0006-0000-0000-000021000000}">
      <text>
        <r>
          <rPr>
            <sz val="9"/>
            <color indexed="81"/>
            <rFont val="Tahoma"/>
            <family val="2"/>
            <charset val="238"/>
          </rPr>
          <t xml:space="preserve">cena dle informace paní Visskové: 1. titrační balení na 14 dní je za 11.004,97 Kč
</t>
        </r>
      </text>
    </comment>
    <comment ref="U14" authorId="0" shapeId="0" xr:uid="{15958D77-CAAF-4EC0-8B6F-CAFF65E98D23}">
      <text>
        <r>
          <rPr>
            <b/>
            <sz val="9"/>
            <color indexed="81"/>
            <rFont val="Tahoma"/>
            <charset val="1"/>
          </rPr>
          <t>The best study :</t>
        </r>
        <r>
          <rPr>
            <sz val="9"/>
            <color indexed="81"/>
            <rFont val="Tahoma"/>
            <charset val="1"/>
          </rPr>
          <t xml:space="preserve">
Hodnota poměru QALY pro ponesimod byla převzata dle hodnot QALY posemido vs DMF uvedené v části „Výsledek základního scénáře“ ve zdroji pod pozn. 30 (CAVE! v tomto modelu bylo vstupní EDSS pacientů 5 ve 100%! A ponesimod vyšel velmi dobře ?!
)</t>
        </r>
      </text>
    </comment>
    <comment ref="J15" authorId="0" shapeId="0" xr:uid="{00000000-0006-0000-0000-000022000000}">
      <text>
        <r>
          <rPr>
            <sz val="9"/>
            <color indexed="81"/>
            <rFont val="Tahoma"/>
            <charset val="1"/>
          </rPr>
          <t>Cena dle úhrady SUKLu z 1. Hodnotící zprávy SUKLu
k Zeposii z 13.10.22 sp.zn. SUKLS120594/2022</t>
        </r>
      </text>
    </comment>
    <comment ref="K15" authorId="0" shapeId="0" xr:uid="{00000000-0006-0000-0000-000023000000}">
      <text>
        <r>
          <rPr>
            <b/>
            <sz val="9"/>
            <color indexed="81"/>
            <rFont val="Tahoma"/>
            <family val="2"/>
            <charset val="238"/>
          </rPr>
          <t>Uživatel systému Windows:</t>
        </r>
        <r>
          <rPr>
            <sz val="9"/>
            <color indexed="81"/>
            <rFont val="Tahoma"/>
            <family val="2"/>
            <charset val="238"/>
          </rPr>
          <t xml:space="preserve">
nezahrnuje iniciaci
</t>
        </r>
      </text>
    </comment>
    <comment ref="L15" authorId="0" shapeId="0" xr:uid="{00000000-0006-0000-0000-000024000000}">
      <text>
        <r>
          <rPr>
            <b/>
            <sz val="9"/>
            <color indexed="81"/>
            <rFont val="Tahoma"/>
            <family val="2"/>
            <charset val="238"/>
          </rPr>
          <t>Uživatel systému Windows:</t>
        </r>
        <r>
          <rPr>
            <sz val="9"/>
            <color indexed="81"/>
            <rFont val="Tahoma"/>
            <family val="2"/>
            <charset val="238"/>
          </rPr>
          <t xml:space="preserve">
nezahrnuje iniciaci
</t>
        </r>
      </text>
    </comment>
    <comment ref="O18" authorId="0" shapeId="0" xr:uid="{00000000-0006-0000-0000-000025000000}">
      <text>
        <r>
          <rPr>
            <sz val="9"/>
            <color indexed="81"/>
            <rFont val="Tahoma"/>
            <family val="2"/>
            <charset val="238"/>
          </rPr>
          <t xml:space="preserve">Předpokládaný stejný efekt natalizumab s.c. vs natalizumab i.v. standard dosing vs natalizumab i.v. EID !!!
</t>
        </r>
      </text>
    </comment>
    <comment ref="P18" authorId="0" shapeId="0" xr:uid="{00000000-0006-0000-0000-000026000000}">
      <text>
        <r>
          <rPr>
            <sz val="9"/>
            <color indexed="81"/>
            <rFont val="Tahoma"/>
            <family val="2"/>
            <charset val="238"/>
          </rPr>
          <t xml:space="preserve">Předpokládaný stejný efekt natalizumab s.c. vs natalizumab i.v. standard dosing vs natalizumab i.v. EID !!!
</t>
        </r>
      </text>
    </comment>
    <comment ref="Q18" authorId="0" shapeId="0" xr:uid="{00000000-0006-0000-0000-000027000000}">
      <text>
        <r>
          <rPr>
            <sz val="9"/>
            <color indexed="81"/>
            <rFont val="Tahoma"/>
            <family val="2"/>
            <charset val="238"/>
          </rPr>
          <t xml:space="preserve">Předpokládaný stejný efekt natalizumab s.c. vs natalizumab i.v. standard dosing vs natalizumab i.v. EID !!!
</t>
        </r>
      </text>
    </comment>
    <comment ref="R18" authorId="0" shapeId="0" xr:uid="{00000000-0006-0000-0000-000028000000}">
      <text>
        <r>
          <rPr>
            <sz val="9"/>
            <color indexed="81"/>
            <rFont val="Tahoma"/>
            <family val="2"/>
            <charset val="238"/>
          </rPr>
          <t xml:space="preserve">Předpokládaný stejný efekt natalizumab s.c. vs natalizumab i.v. standard dosing vs natalizumab i.v. EID !!!
</t>
        </r>
      </text>
    </comment>
    <comment ref="K21" authorId="0" shapeId="0" xr:uid="{00000000-0006-0000-0000-000029000000}">
      <text>
        <r>
          <rPr>
            <b/>
            <sz val="9"/>
            <color indexed="81"/>
            <rFont val="Tahoma"/>
            <family val="2"/>
            <charset val="238"/>
          </rPr>
          <t>Uživatel systému Windows:</t>
        </r>
        <r>
          <rPr>
            <sz val="9"/>
            <color indexed="81"/>
            <rFont val="Tahoma"/>
            <family val="2"/>
            <charset val="238"/>
          </rPr>
          <t xml:space="preserve">
počítáno:
První dva roky dávkování dle SPC.
Podání třetí dávka ve třetím roce u 44 % pacientů (cena*3*0,4) - dle výsledků studie CARE-MS I a CARE-MS II uvedených v článku: Benešová Y. Alemtuzumab v léčbě roztroušené sklerózy.</t>
        </r>
        <r>
          <rPr>
            <i/>
            <sz val="9"/>
            <color indexed="81"/>
            <rFont val="Tahoma"/>
            <family val="2"/>
            <charset val="238"/>
          </rPr>
          <t xml:space="preserve"> Farmakoterapeutická revue</t>
        </r>
        <r>
          <rPr>
            <sz val="9"/>
            <color indexed="81"/>
            <rFont val="Tahoma"/>
            <family val="2"/>
            <charset val="238"/>
          </rPr>
          <t>. 05/2018</t>
        </r>
      </text>
    </comment>
    <comment ref="L21" authorId="0" shapeId="0" xr:uid="{00000000-0006-0000-0000-00002A000000}">
      <text>
        <r>
          <rPr>
            <b/>
            <sz val="9"/>
            <color indexed="81"/>
            <rFont val="Tahoma"/>
            <family val="2"/>
            <charset val="238"/>
          </rPr>
          <t>Uživatel systému Windows:</t>
        </r>
        <r>
          <rPr>
            <sz val="9"/>
            <color indexed="81"/>
            <rFont val="Tahoma"/>
            <family val="2"/>
            <charset val="238"/>
          </rPr>
          <t xml:space="preserve">
cena za 1. dávka první rok + cena za druhou dávku druhý rok.</t>
        </r>
      </text>
    </comment>
    <comment ref="Q21" authorId="0" shapeId="0" xr:uid="{00000000-0006-0000-0000-00002B000000}">
      <text>
        <r>
          <rPr>
            <sz val="9"/>
            <color indexed="81"/>
            <rFont val="Tahoma"/>
            <family val="2"/>
            <charset val="238"/>
          </rPr>
          <t xml:space="preserve">Nejsou data pro alemtuzumab ve zdroji pod pozn. 13, tak byla použita hodnota ze zdroje uvedeném pod pozn. 18 !!!
</t>
        </r>
      </text>
    </comment>
    <comment ref="R21" authorId="0" shapeId="0" xr:uid="{00000000-0006-0000-0000-00002C000000}">
      <text>
        <r>
          <rPr>
            <sz val="9"/>
            <color indexed="81"/>
            <rFont val="Tahoma"/>
            <family val="2"/>
            <charset val="238"/>
          </rPr>
          <t xml:space="preserve">Nejsou data pro alemtuzumab ve zdroji pod pozn. 13, tak byla použita hodnota ze zdroje uvedeném pod pozn. 18 !!!
</t>
        </r>
      </text>
    </comment>
    <comment ref="W21" authorId="0" shapeId="0" xr:uid="{00000000-0006-0000-0000-00002D000000}">
      <text>
        <r>
          <rPr>
            <b/>
            <sz val="9"/>
            <color indexed="81"/>
            <rFont val="Tahoma"/>
            <family val="2"/>
            <charset val="238"/>
          </rPr>
          <t>Uživatel systému Windows:</t>
        </r>
        <r>
          <rPr>
            <sz val="9"/>
            <color indexed="81"/>
            <rFont val="Tahoma"/>
            <family val="2"/>
            <charset val="238"/>
          </rPr>
          <t xml:space="preserve">
přidán koeficient 0,5, který "snižuje" váhu členu "Přerušení pro NÚ ", protože se lék užívá pouze dva roky (+ cca 50% pacientů ve 3. roce léčby), nikoli kontinuálně. Vztaženo, stejně jako cena, na horizont pěti let.
</t>
        </r>
      </text>
    </comment>
    <comment ref="Z21" authorId="0" shapeId="0" xr:uid="{00000000-0006-0000-0000-00002E000000}">
      <text>
        <r>
          <rPr>
            <b/>
            <sz val="9"/>
            <color indexed="81"/>
            <rFont val="Tahoma"/>
            <family val="2"/>
            <charset val="238"/>
          </rPr>
          <t>Uživatel systému Windows:</t>
        </r>
        <r>
          <rPr>
            <sz val="9"/>
            <color indexed="81"/>
            <rFont val="Tahoma"/>
            <family val="2"/>
            <charset val="238"/>
          </rPr>
          <t xml:space="preserve">
</t>
        </r>
      </text>
    </comment>
    <comment ref="K22" authorId="0" shapeId="0" xr:uid="{00000000-0006-0000-0000-00002F000000}">
      <text>
        <r>
          <rPr>
            <b/>
            <sz val="9"/>
            <color indexed="81"/>
            <rFont val="Tahoma"/>
            <family val="2"/>
            <charset val="238"/>
          </rPr>
          <t>Uživatel systému Windows:</t>
        </r>
        <r>
          <rPr>
            <sz val="9"/>
            <color indexed="81"/>
            <rFont val="Tahoma"/>
            <family val="2"/>
            <charset val="238"/>
          </rPr>
          <t xml:space="preserve">
rozloženo do pěti let</t>
        </r>
      </text>
    </comment>
    <comment ref="L22" authorId="0" shapeId="0" xr:uid="{00000000-0006-0000-0000-000030000000}">
      <text>
        <r>
          <rPr>
            <b/>
            <sz val="9"/>
            <color indexed="81"/>
            <rFont val="Tahoma"/>
            <family val="2"/>
            <charset val="238"/>
          </rPr>
          <t>Uživatel systému Windows:</t>
        </r>
        <r>
          <rPr>
            <sz val="9"/>
            <color indexed="81"/>
            <rFont val="Tahoma"/>
            <family val="2"/>
            <charset val="238"/>
          </rPr>
          <t xml:space="preserve">
pouze za první dva roky</t>
        </r>
      </text>
    </comment>
    <comment ref="O22" authorId="0" shapeId="0" xr:uid="{00000000-0006-0000-0000-000031000000}">
      <text>
        <r>
          <rPr>
            <b/>
            <sz val="9"/>
            <color indexed="81"/>
            <rFont val="Tahoma"/>
            <family val="2"/>
            <charset val="238"/>
          </rPr>
          <t>Uživatel systému Windows:</t>
        </r>
        <r>
          <rPr>
            <sz val="9"/>
            <color indexed="81"/>
            <rFont val="Tahoma"/>
            <family val="2"/>
            <charset val="238"/>
          </rPr>
          <t xml:space="preserve">
</t>
        </r>
      </text>
    </comment>
    <comment ref="W22" authorId="0" shapeId="0" xr:uid="{00000000-0006-0000-0000-000032000000}">
      <text>
        <r>
          <rPr>
            <b/>
            <sz val="9"/>
            <color indexed="81"/>
            <rFont val="Tahoma"/>
            <family val="2"/>
            <charset val="238"/>
          </rPr>
          <t>Uživatel systému Windows:</t>
        </r>
        <r>
          <rPr>
            <sz val="9"/>
            <color indexed="81"/>
            <rFont val="Tahoma"/>
            <family val="2"/>
            <charset val="238"/>
          </rPr>
          <t xml:space="preserve">
Přidán koeficient 1,15 - adjustace snížení účinnosti v 3-5 roce o 25 % (dle komentáře ke studii Clarity Extension u parametru NEDA-3 od prof.Havrdové ve Farmakoterapii 2021, 17(1): 71. Ve zdrojové NMA(pozn.2 níže) nebylo zahrnuto. Horizont pěti  let.
Přidán koeficient 0,4, který "snižuje" váhu členu "Přerušení pro NÚ ", protože se lék užívá pouze dva roky, nikoli kontinuálně. Vztaženo, stejně jako cena, na horizont pěti let.</t>
        </r>
      </text>
    </comment>
    <comment ref="X22" authorId="0" shapeId="0" xr:uid="{00000000-0006-0000-0000-000033000000}">
      <text>
        <r>
          <rPr>
            <b/>
            <sz val="9"/>
            <color indexed="81"/>
            <rFont val="Tahoma"/>
            <family val="2"/>
            <charset val="238"/>
          </rPr>
          <t>Uživatel systému Windows:</t>
        </r>
        <r>
          <rPr>
            <sz val="9"/>
            <color indexed="81"/>
            <rFont val="Tahoma"/>
            <family val="2"/>
            <charset val="238"/>
          </rPr>
          <t xml:space="preserve">
Přidán koeficient 1,15 - adjustace snížení účinnosti v 3-5 roce o 25 % (dle komentáře ke studii Clarity Extension u parametru NEDA-3 od prof.Havrdové ve Farmakoterapii 2021, 17(1): 71. Ve zdrojové NMA(pozn.2 níže) nebylo zahrnuto. Horizont pěti  let.</t>
        </r>
      </text>
    </comment>
    <comment ref="Z22" authorId="0" shapeId="0" xr:uid="{00000000-0006-0000-0000-000034000000}">
      <text>
        <r>
          <rPr>
            <b/>
            <sz val="9"/>
            <color indexed="81"/>
            <rFont val="Tahoma"/>
            <family val="2"/>
            <charset val="238"/>
          </rPr>
          <t>Uživatel systému Windows:</t>
        </r>
        <r>
          <rPr>
            <sz val="9"/>
            <color indexed="81"/>
            <rFont val="Tahoma"/>
            <family val="2"/>
            <charset val="238"/>
          </rPr>
          <t xml:space="preserve">
</t>
        </r>
      </text>
    </comment>
    <comment ref="O23" authorId="0" shapeId="0" xr:uid="{00000000-0006-0000-0000-000035000000}">
      <text>
        <r>
          <rPr>
            <b/>
            <sz val="9"/>
            <color indexed="81"/>
            <rFont val="Tahoma"/>
            <family val="2"/>
            <charset val="238"/>
          </rPr>
          <t>Uživatel systému Windows:</t>
        </r>
        <r>
          <rPr>
            <sz val="9"/>
            <color indexed="81"/>
            <rFont val="Tahoma"/>
            <family val="2"/>
            <charset val="238"/>
          </rPr>
          <t xml:space="preserve">
</t>
        </r>
      </text>
    </comment>
    <comment ref="W23" authorId="0" shapeId="0" xr:uid="{00000000-0006-0000-0000-000036000000}">
      <text>
        <r>
          <rPr>
            <b/>
            <sz val="9"/>
            <color indexed="81"/>
            <rFont val="Tahoma"/>
            <family val="2"/>
            <charset val="238"/>
          </rPr>
          <t>Uživatel systému Windows:</t>
        </r>
        <r>
          <rPr>
            <sz val="9"/>
            <color indexed="81"/>
            <rFont val="Tahoma"/>
            <family val="2"/>
            <charset val="238"/>
          </rPr>
          <t xml:space="preserve">
Přidán koeficient 1,15 - adjustace snížení účinnosti v 3-5 roce o 25 % (dle komentáře ke studii Clarity Extension u parametru NEDA-3 od prof.Havrdové ve Farmakoterapii 2021, 17(1): 71. Ve zdrojové NMA(pozn.2 níže) nebylo zahrnuto. Horizont pěti  let.
Přidán koeficient 0,4, který "snižuje" váhu členu "Přerušení pro NÚ ", protože se lék užívá pouze dva roky, nikoli kontinuálně. Vztaženo, stejně jako cena, na horizont pěti let.</t>
        </r>
      </text>
    </comment>
    <comment ref="X23" authorId="0" shapeId="0" xr:uid="{00000000-0006-0000-0000-000037000000}">
      <text>
        <r>
          <rPr>
            <b/>
            <sz val="9"/>
            <color indexed="81"/>
            <rFont val="Tahoma"/>
            <family val="2"/>
            <charset val="238"/>
          </rPr>
          <t>Uživatel systému Windows:</t>
        </r>
        <r>
          <rPr>
            <sz val="9"/>
            <color indexed="81"/>
            <rFont val="Tahoma"/>
            <family val="2"/>
            <charset val="238"/>
          </rPr>
          <t xml:space="preserve">
Přidán koeficient 1,15 - adjustace snížení účinnosti v 3-5 roce o 25 % (dle komentáře ke studii Clarity Extension u parametru NEDA-3 od prof.Havrdové ve Farmakoterapii 2021, 17(1): 71. Ve zdrojové NMA(pozn.2 níže) nebylo zahrnuto. Horizont pěti  let.</t>
        </r>
      </text>
    </comment>
    <comment ref="O24" authorId="0" shapeId="0" xr:uid="{00000000-0006-0000-0000-000038000000}">
      <text>
        <r>
          <rPr>
            <b/>
            <sz val="9"/>
            <color indexed="81"/>
            <rFont val="Tahoma"/>
            <family val="2"/>
            <charset val="238"/>
          </rPr>
          <t>Uživatel systému Windows:</t>
        </r>
        <r>
          <rPr>
            <sz val="9"/>
            <color indexed="81"/>
            <rFont val="Tahoma"/>
            <family val="2"/>
            <charset val="238"/>
          </rPr>
          <t xml:space="preserve">
</t>
        </r>
      </text>
    </comment>
    <comment ref="W24" authorId="0" shapeId="0" xr:uid="{00000000-0006-0000-0000-000039000000}">
      <text>
        <r>
          <rPr>
            <b/>
            <sz val="9"/>
            <color indexed="81"/>
            <rFont val="Tahoma"/>
            <family val="2"/>
            <charset val="238"/>
          </rPr>
          <t>Uživatel systému Windows:</t>
        </r>
        <r>
          <rPr>
            <sz val="9"/>
            <color indexed="81"/>
            <rFont val="Tahoma"/>
            <family val="2"/>
            <charset val="238"/>
          </rPr>
          <t xml:space="preserve">
Přidán koeficient 1,15 - adjustace snížení účinnosti v 3-5 roce o 25 % (dle komentáře ke studii Clarity Extension u parametru NEDA-3 od prof.Havrdové ve Farmakoterapii 2021, 17(1): 71. Ve zdrojové NMA(pozn.2 níže) nebylo zahrnuto. Horizont pěti  let.
Přidán koeficient 0,4, který "snižuje" váhu členu "Přerušení pro NÚ ", protože se lék užívá pouze dva roky, nikoli kontinuálně. Vztaženo, stejně jako cena, na horizont pěti let.</t>
        </r>
      </text>
    </comment>
    <comment ref="X24" authorId="0" shapeId="0" xr:uid="{00000000-0006-0000-0000-00003A000000}">
      <text>
        <r>
          <rPr>
            <b/>
            <sz val="9"/>
            <color indexed="81"/>
            <rFont val="Tahoma"/>
            <family val="2"/>
            <charset val="238"/>
          </rPr>
          <t>Uživatel systému Windows:</t>
        </r>
        <r>
          <rPr>
            <sz val="9"/>
            <color indexed="81"/>
            <rFont val="Tahoma"/>
            <family val="2"/>
            <charset val="238"/>
          </rPr>
          <t xml:space="preserve">
Přidán koeficient 1,15 - adjustace snížení účinnosti v 3-5 roce o 25 % (dle komentáře ke studii Clarity Extension u parametru NEDA-3 od prof.Havrdové ve Farmakoterapii 2021, 17(1): 71. Ve zdrojové NMA(pozn.2 níže) nebylo zahrnuto. Horizont pěti  let.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Uživatel systému Windows</author>
  </authors>
  <commentList>
    <comment ref="C2" authorId="0" shapeId="0" xr:uid="{00000000-0006-0000-0100-000001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1</t>
        </r>
        <r>
          <rPr>
            <sz val="9"/>
            <color indexed="81"/>
            <rFont val="Tahoma"/>
            <family val="2"/>
            <charset val="238"/>
          </rPr>
          <t>.: 5-letý časový horizont, žádný "effect waning" (kromě kladribinu), RR pro přerušení léčby je ze sl. epsilon (u alemtuzumabu a kladribinu RR sníženo kvůli užívání kratší než 5 let)</t>
        </r>
      </text>
    </comment>
    <comment ref="D2" authorId="0" shapeId="0" xr:uid="{00000000-0006-0000-0100-000002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2</t>
        </r>
        <r>
          <rPr>
            <sz val="9"/>
            <color indexed="81"/>
            <rFont val="Tahoma"/>
            <family val="2"/>
            <charset val="238"/>
          </rPr>
          <t>.: 5-letý časový horizont, žádný "effect waning" (kromě kladribinu), RR pro přerušení léčby je ze sl. epsilon (u alemtuzumabu a kladribinu riziko celých 5 let stejné)</t>
        </r>
      </text>
    </comment>
    <comment ref="E2" authorId="0" shapeId="0" xr:uid="{00000000-0006-0000-0100-000003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3</t>
        </r>
        <r>
          <rPr>
            <sz val="9"/>
            <color indexed="81"/>
            <rFont val="Tahoma"/>
            <family val="2"/>
            <charset val="238"/>
          </rPr>
          <t>.:5-letý časový horizont, "effect waning": 3. a 4. rok pro všechny přípravky jen 75% efektu, 5. rok pak jen 50% efektu, RR pro přerušení léčby je ze sl. epsilon (u alemtuzumabu a kladribinu riziko celých 5 let stejné), cena za léčbu alemtuzumabem zprůměrovaná za 5 let při jen 2 letém užívání !!!!</t>
        </r>
      </text>
    </comment>
    <comment ref="F2" authorId="0" shapeId="0" xr:uid="{00000000-0006-0000-0100-000004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4</t>
        </r>
        <r>
          <rPr>
            <sz val="9"/>
            <color indexed="81"/>
            <rFont val="Tahoma"/>
            <family val="2"/>
            <charset val="238"/>
          </rPr>
          <t>.: 5-letý časový horizont, "effect waning": 3. a 4. rok pro všechny přípravky jen 75% efektu, 5. rok pak jen 50% efektu, RR pro přerušení léčby je ze sl. epsilon s čarou, cena za léčbu alemtuzumabem zprůměrovaná za 5 let při jen 2 letém užívání.</t>
        </r>
      </text>
    </comment>
    <comment ref="G2" authorId="0" shapeId="0" xr:uid="{00000000-0006-0000-0100-000005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5</t>
        </r>
        <r>
          <rPr>
            <sz val="9"/>
            <color indexed="81"/>
            <rFont val="Tahoma"/>
            <family val="2"/>
            <charset val="238"/>
          </rPr>
          <t xml:space="preserve">.: 2-letý časový horizont, žádný "effect waning", RR pro přerušení léčby je ze sl. epsilon, cena za léčbu alemtuzumabem a kladribinem je zprůměrovaná za první 2 roky na 1 rok </t>
        </r>
      </text>
    </comment>
    <comment ref="H2" authorId="0" shapeId="0" xr:uid="{00000000-0006-0000-0100-000006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6</t>
        </r>
        <r>
          <rPr>
            <sz val="9"/>
            <color indexed="81"/>
            <rFont val="Tahoma"/>
            <family val="2"/>
            <charset val="238"/>
          </rPr>
          <t>.: poměr cen terapií je z 5-letého časového horizontu, poměr utilit (QALY) je ze sloupce zéta</t>
        </r>
      </text>
    </comment>
    <comment ref="I2" authorId="0" shapeId="0" xr:uid="{00000000-0006-0000-0100-000007000000}">
      <text>
        <r>
          <rPr>
            <b/>
            <sz val="9"/>
            <color indexed="81"/>
            <rFont val="Tahoma"/>
            <family val="2"/>
            <charset val="238"/>
          </rPr>
          <t>Uživatel systému Windows:</t>
        </r>
        <r>
          <rPr>
            <sz val="9"/>
            <color indexed="81"/>
            <rFont val="Tahoma"/>
            <family val="2"/>
            <charset val="238"/>
          </rPr>
          <t xml:space="preserve">
</t>
        </r>
        <r>
          <rPr>
            <u/>
            <sz val="9"/>
            <color indexed="81"/>
            <rFont val="Tahoma"/>
            <family val="2"/>
            <charset val="238"/>
          </rPr>
          <t>Scénař 7</t>
        </r>
        <r>
          <rPr>
            <sz val="9"/>
            <color indexed="81"/>
            <rFont val="Tahoma"/>
            <family val="2"/>
            <charset val="238"/>
          </rPr>
          <t>.: poměr cen terapií je z 5-letého časového horizontu, poměr utilit (QALY) je ze sloupce zéta s čarou</t>
        </r>
      </text>
    </comment>
  </commentList>
</comments>
</file>

<file path=xl/sharedStrings.xml><?xml version="1.0" encoding="utf-8"?>
<sst xmlns="http://schemas.openxmlformats.org/spreadsheetml/2006/main" count="318" uniqueCount="211">
  <si>
    <t>účinná látka</t>
  </si>
  <si>
    <t>léková forma</t>
  </si>
  <si>
    <t>výrobce</t>
  </si>
  <si>
    <t>ATC skupina</t>
  </si>
  <si>
    <t>název přípravku</t>
  </si>
  <si>
    <t>ozanimod</t>
  </si>
  <si>
    <t>p.o.</t>
  </si>
  <si>
    <t>L04AA38</t>
  </si>
  <si>
    <t>Novartis</t>
  </si>
  <si>
    <t>ofatumumab</t>
  </si>
  <si>
    <t>s.c.</t>
  </si>
  <si>
    <t>L01XC10</t>
  </si>
  <si>
    <t>L04AA31</t>
  </si>
  <si>
    <t>teriflunomid</t>
  </si>
  <si>
    <t>Sanofi - Aventis</t>
  </si>
  <si>
    <t>Biogen</t>
  </si>
  <si>
    <t>interferon beta-1a</t>
  </si>
  <si>
    <t>i.m.</t>
  </si>
  <si>
    <t>L03AB07</t>
  </si>
  <si>
    <t>interferony</t>
  </si>
  <si>
    <t>Merck</t>
  </si>
  <si>
    <t>Bayer</t>
  </si>
  <si>
    <t>interferon beta-1b</t>
  </si>
  <si>
    <t>L03AB08</t>
  </si>
  <si>
    <t>peginterferon beta-1a</t>
  </si>
  <si>
    <t>L03AB13</t>
  </si>
  <si>
    <t>L03AX13</t>
  </si>
  <si>
    <t>glatiramer acetát</t>
  </si>
  <si>
    <t>Teva</t>
  </si>
  <si>
    <t>Dávkovací schéma</t>
  </si>
  <si>
    <t>14 mg jedenkrát denně</t>
  </si>
  <si>
    <r>
      <rPr>
        <b/>
        <sz val="12"/>
        <color theme="1"/>
        <rFont val="Calibri"/>
        <family val="2"/>
        <charset val="238"/>
        <scheme val="minor"/>
      </rPr>
      <t>AUBAGIO</t>
    </r>
    <r>
      <rPr>
        <sz val="12"/>
        <color theme="1"/>
        <rFont val="Calibri"/>
        <family val="2"/>
        <charset val="238"/>
        <scheme val="minor"/>
      </rPr>
      <t xml:space="preserve"> 14MG TBL FLM 28</t>
    </r>
  </si>
  <si>
    <r>
      <rPr>
        <b/>
        <sz val="12"/>
        <color theme="1"/>
        <rFont val="Calibri"/>
        <family val="2"/>
        <charset val="238"/>
        <scheme val="minor"/>
      </rPr>
      <t>AVONEX</t>
    </r>
    <r>
      <rPr>
        <sz val="12"/>
        <color theme="1"/>
        <rFont val="Calibri"/>
        <family val="2"/>
        <charset val="238"/>
        <scheme val="minor"/>
      </rPr>
      <t xml:space="preserve"> 30MCG/0,5ML INJ SOL 4X0,5ML+4J</t>
    </r>
  </si>
  <si>
    <r>
      <rPr>
        <b/>
        <sz val="12"/>
        <color theme="1"/>
        <rFont val="Calibri"/>
        <family val="2"/>
        <charset val="238"/>
        <scheme val="minor"/>
      </rPr>
      <t xml:space="preserve">REBIF </t>
    </r>
    <r>
      <rPr>
        <sz val="12"/>
        <color theme="1"/>
        <rFont val="Calibri"/>
        <family val="2"/>
        <charset val="238"/>
        <scheme val="minor"/>
      </rPr>
      <t>44MCG INJ SOL ISP 12X0,5ML</t>
    </r>
  </si>
  <si>
    <r>
      <rPr>
        <b/>
        <sz val="12"/>
        <color theme="1"/>
        <rFont val="Calibri"/>
        <family val="2"/>
        <charset val="238"/>
        <scheme val="minor"/>
      </rPr>
      <t>REBIF 22</t>
    </r>
    <r>
      <rPr>
        <sz val="12"/>
        <color theme="1"/>
        <rFont val="Calibri"/>
        <family val="2"/>
        <charset val="238"/>
        <scheme val="minor"/>
      </rPr>
      <t>MCG INJ SOL ISP 12X0,5ML</t>
    </r>
  </si>
  <si>
    <r>
      <t xml:space="preserve">PLEGRIDY </t>
    </r>
    <r>
      <rPr>
        <sz val="12"/>
        <color theme="1"/>
        <rFont val="Calibri"/>
        <family val="2"/>
        <charset val="238"/>
        <scheme val="minor"/>
      </rPr>
      <t>125MCG INJ SOL 2X0,5ML</t>
    </r>
  </si>
  <si>
    <r>
      <rPr>
        <b/>
        <sz val="12"/>
        <color theme="1"/>
        <rFont val="Calibri"/>
        <family val="2"/>
        <charset val="238"/>
        <scheme val="minor"/>
      </rPr>
      <t xml:space="preserve">COPAXONE </t>
    </r>
    <r>
      <rPr>
        <sz val="12"/>
        <color theme="1"/>
        <rFont val="Calibri"/>
        <family val="2"/>
        <charset val="238"/>
        <scheme val="minor"/>
      </rPr>
      <t>20MG/ML INJ SOL ISP 28X1ML</t>
    </r>
  </si>
  <si>
    <r>
      <rPr>
        <b/>
        <sz val="12"/>
        <color theme="1"/>
        <rFont val="Calibri"/>
        <family val="2"/>
        <charset val="238"/>
        <scheme val="minor"/>
      </rPr>
      <t xml:space="preserve">COPAXONE </t>
    </r>
    <r>
      <rPr>
        <sz val="12"/>
        <color theme="1"/>
        <rFont val="Calibri"/>
        <family val="2"/>
        <charset val="238"/>
        <scheme val="minor"/>
      </rPr>
      <t>40MG/ML INJ SOL ISP 12X1ML</t>
    </r>
  </si>
  <si>
    <t>20 mg jedenkrát denně</t>
  </si>
  <si>
    <t>40 mg každý třetí den</t>
  </si>
  <si>
    <t>není na trhu</t>
  </si>
  <si>
    <r>
      <rPr>
        <b/>
        <sz val="12"/>
        <color theme="0" tint="-0.499984740745262"/>
        <rFont val="Calibri"/>
        <family val="2"/>
        <charset val="238"/>
        <scheme val="minor"/>
      </rPr>
      <t>EXTAVIA</t>
    </r>
    <r>
      <rPr>
        <sz val="12"/>
        <color theme="0" tint="-0.499984740745262"/>
        <rFont val="Calibri"/>
        <family val="2"/>
        <charset val="238"/>
        <scheme val="minor"/>
      </rPr>
      <t xml:space="preserve"> 250mcg/ml inj 15x1,2ml</t>
    </r>
  </si>
  <si>
    <t>Biogen s.r.o.</t>
  </si>
  <si>
    <t>fingolimod</t>
  </si>
  <si>
    <t>L04AA27</t>
  </si>
  <si>
    <t>0,5 mg jedenkrát denně</t>
  </si>
  <si>
    <t>i.v.</t>
  </si>
  <si>
    <t>L04AA23</t>
  </si>
  <si>
    <t>ocrelizumab</t>
  </si>
  <si>
    <t>L04AA36</t>
  </si>
  <si>
    <t>Roche s.r.o.</t>
  </si>
  <si>
    <t>alemtuzumab</t>
  </si>
  <si>
    <t>L04AA34</t>
  </si>
  <si>
    <t>Kladribin</t>
  </si>
  <si>
    <t>L04AA40</t>
  </si>
  <si>
    <t>-</t>
  </si>
  <si>
    <r>
      <rPr>
        <vertAlign val="superscript"/>
        <sz val="9"/>
        <color theme="1"/>
        <rFont val="Calibri"/>
        <family val="2"/>
        <charset val="238"/>
        <scheme val="minor"/>
      </rPr>
      <t>4</t>
    </r>
    <r>
      <rPr>
        <sz val="9"/>
        <color theme="1"/>
        <rFont val="Calibri"/>
        <family val="2"/>
        <charset val="238"/>
        <scheme val="minor"/>
      </rPr>
      <t xml:space="preserve"> Samjoo A., et al., Efficacy classification of modern therapies in multiple sclerosis. </t>
    </r>
    <r>
      <rPr>
        <i/>
        <sz val="9"/>
        <color theme="1"/>
        <rFont val="Calibri"/>
        <family val="2"/>
        <charset val="238"/>
        <scheme val="minor"/>
      </rPr>
      <t>J. Comp. Eff. Res</t>
    </r>
    <r>
      <rPr>
        <sz val="9"/>
        <color theme="1"/>
        <rFont val="Calibri"/>
        <family val="2"/>
        <charset val="238"/>
        <scheme val="minor"/>
      </rPr>
      <t>. (2021) 10(6), 495–507</t>
    </r>
  </si>
  <si>
    <r>
      <rPr>
        <vertAlign val="superscript"/>
        <sz val="9"/>
        <color theme="1"/>
        <rFont val="Calibri"/>
        <family val="2"/>
        <charset val="238"/>
        <scheme val="minor"/>
      </rPr>
      <t>6</t>
    </r>
    <r>
      <rPr>
        <sz val="9"/>
        <color theme="1"/>
        <rFont val="Calibri"/>
        <family val="2"/>
        <charset val="238"/>
        <scheme val="minor"/>
      </rPr>
      <t xml:space="preserve"> Giovannoni G., et al., A Systematic Review and Mixed Treatment Comparison of Pharmaceutical Interventions for Multiple Sclerosis. </t>
    </r>
    <r>
      <rPr>
        <i/>
        <sz val="9"/>
        <color theme="1"/>
        <rFont val="Calibri"/>
        <family val="2"/>
        <charset val="238"/>
        <scheme val="minor"/>
      </rPr>
      <t>Neurol The</t>
    </r>
    <r>
      <rPr>
        <sz val="9"/>
        <color theme="1"/>
        <rFont val="Calibri"/>
        <family val="2"/>
        <charset val="238"/>
        <scheme val="minor"/>
      </rPr>
      <t>r (2020) 9:359–374</t>
    </r>
  </si>
  <si>
    <r>
      <rPr>
        <vertAlign val="superscript"/>
        <sz val="9"/>
        <color theme="1"/>
        <rFont val="Calibri"/>
        <family val="2"/>
        <charset val="238"/>
        <scheme val="minor"/>
      </rPr>
      <t>3</t>
    </r>
    <r>
      <rPr>
        <sz val="9"/>
        <color theme="1"/>
        <rFont val="Calibri"/>
        <family val="2"/>
        <charset val="238"/>
        <scheme val="minor"/>
      </rPr>
      <t xml:space="preserve"> Liu Z., et al., Disease modifying therapies in relapsing-remitting multiple sclerosis: A systematic review and network meta-analysis, </t>
    </r>
    <r>
      <rPr>
        <i/>
        <sz val="9"/>
        <color theme="1"/>
        <rFont val="Calibri"/>
        <family val="2"/>
        <charset val="238"/>
        <scheme val="minor"/>
      </rPr>
      <t>Autoimmunity Reviews</t>
    </r>
    <r>
      <rPr>
        <sz val="9"/>
        <color theme="1"/>
        <rFont val="Calibri"/>
        <family val="2"/>
        <charset val="238"/>
        <scheme val="minor"/>
      </rPr>
      <t xml:space="preserve"> (2021)</t>
    </r>
  </si>
  <si>
    <r>
      <rPr>
        <vertAlign val="superscript"/>
        <sz val="9"/>
        <color theme="1"/>
        <rFont val="Calibri"/>
        <family val="2"/>
        <charset val="238"/>
        <scheme val="minor"/>
      </rPr>
      <t>7</t>
    </r>
    <r>
      <rPr>
        <sz val="9"/>
        <color theme="1"/>
        <rFont val="Calibri"/>
        <family val="2"/>
        <charset val="238"/>
        <scheme val="minor"/>
      </rPr>
      <t xml:space="preserve"> Li H., et al., Comparative efficacy and acceptability of disease‑modifying therapies in patients with relapsing–remitting multiple sclerosis: a systematic review and network meta‑analysis. </t>
    </r>
    <r>
      <rPr>
        <i/>
        <sz val="9"/>
        <color theme="1"/>
        <rFont val="Calibri"/>
        <family val="2"/>
        <charset val="238"/>
        <scheme val="minor"/>
      </rPr>
      <t>Journal of Neurology</t>
    </r>
    <r>
      <rPr>
        <sz val="9"/>
        <color theme="1"/>
        <rFont val="Calibri"/>
        <family val="2"/>
        <charset val="238"/>
        <scheme val="minor"/>
      </rPr>
      <t xml:space="preserve"> (2020) 267:3489–3498</t>
    </r>
  </si>
  <si>
    <r>
      <rPr>
        <vertAlign val="superscript"/>
        <sz val="9"/>
        <color theme="1"/>
        <rFont val="Calibri"/>
        <family val="2"/>
        <charset val="238"/>
        <scheme val="minor"/>
      </rPr>
      <t>8</t>
    </r>
    <r>
      <rPr>
        <sz val="9"/>
        <color theme="1"/>
        <rFont val="Calibri"/>
        <family val="2"/>
        <charset val="238"/>
        <scheme val="minor"/>
      </rPr>
      <t xml:space="preserve"> CADTH Drug Reimbursement Review Pharmacoeconomics Report for Ofatumumab (Kesimpta). April 2021</t>
    </r>
  </si>
  <si>
    <t>Kompozitní poměr
BENEFIT/ SAFETY
vůči DMF - SCÉNAŘ 1</t>
  </si>
  <si>
    <t>NÁKLADOVÁ EFEKTIVITA
vůči DMT -                          SCÉNÁŘ 1</t>
  </si>
  <si>
    <t>NÁKLADOVÁ EFEKTIVITA
vůči DMT -                          SCÉNÁŘ 2</t>
  </si>
  <si>
    <r>
      <rPr>
        <vertAlign val="superscript"/>
        <sz val="9"/>
        <color theme="1"/>
        <rFont val="Calibri"/>
        <family val="2"/>
        <charset val="238"/>
        <scheme val="minor"/>
      </rPr>
      <t>9</t>
    </r>
    <r>
      <rPr>
        <sz val="9"/>
        <color theme="1"/>
        <rFont val="Calibri"/>
        <family val="2"/>
        <charset val="238"/>
        <scheme val="minor"/>
      </rPr>
      <t xml:space="preserve"> CADTH Common Drug Review Pharmacoeconomics Report for Cladribine (Mavenclad). October 2018</t>
    </r>
  </si>
  <si>
    <t>Kompozitní poměr
BENEFIT/ SAFETY
vůči DMF - SCÉNAŘ 3</t>
  </si>
  <si>
    <t>Kompozitní poměr
BENEFIT/ SAFETY
vůči DMF - SCÉNAŘ 4</t>
  </si>
  <si>
    <r>
      <rPr>
        <vertAlign val="superscript"/>
        <sz val="9"/>
        <color theme="1"/>
        <rFont val="Calibri"/>
        <family val="2"/>
        <charset val="238"/>
        <scheme val="minor"/>
      </rPr>
      <t>10</t>
    </r>
    <r>
      <rPr>
        <sz val="9"/>
        <color theme="1"/>
        <rFont val="Calibri"/>
        <family val="2"/>
        <charset val="238"/>
        <scheme val="minor"/>
      </rPr>
      <t xml:space="preserve"> CADTH Common Drug Review Clinical Review Report for Ofatumumab (Kesimpta). April 2021</t>
    </r>
  </si>
  <si>
    <t>?</t>
  </si>
  <si>
    <t>Kompozitní poměr
BENEFIT/ SAFETY
vůči DMF - SCÉNAŘ 2
SCÉNAŘ 5</t>
  </si>
  <si>
    <r>
      <t>NÁKLADOVÁ</t>
    </r>
    <r>
      <rPr>
        <b/>
        <u/>
        <sz val="11"/>
        <color rgb="FFFFFF00"/>
        <rFont val="Calibri"/>
        <family val="2"/>
        <charset val="238"/>
        <scheme val="minor"/>
      </rPr>
      <t xml:space="preserve"> UTILITA</t>
    </r>
    <r>
      <rPr>
        <b/>
        <sz val="11"/>
        <color rgb="FFFFFF00"/>
        <rFont val="Calibri"/>
        <family val="2"/>
        <charset val="238"/>
        <scheme val="minor"/>
      </rPr>
      <t xml:space="preserve">
vůči DMT -                          SCÉNÁŘ 6</t>
    </r>
  </si>
  <si>
    <r>
      <t xml:space="preserve">NÁKLADOVÁ </t>
    </r>
    <r>
      <rPr>
        <b/>
        <u/>
        <sz val="11"/>
        <color rgb="FFFFFF00"/>
        <rFont val="Calibri"/>
        <family val="2"/>
        <charset val="238"/>
        <scheme val="minor"/>
      </rPr>
      <t>UTILITA</t>
    </r>
    <r>
      <rPr>
        <b/>
        <sz val="11"/>
        <color rgb="FFFFFF00"/>
        <rFont val="Calibri"/>
        <family val="2"/>
        <charset val="238"/>
        <scheme val="minor"/>
      </rPr>
      <t xml:space="preserve">
vůči DMT -                          SCÉNÁŘ 7</t>
    </r>
  </si>
  <si>
    <t>NÁKLADOVÁ EFEKTIVITA
vůči DMT -                          SCÉNÁŘ 3</t>
  </si>
  <si>
    <t>NÁKLADOVÁ EFEKTIVITA
vůči DMT -                          SCÉNÁŘ 4</t>
  </si>
  <si>
    <t>NÁKLADOVÁ EFEKTIVITA
vůči DMT -                          SCÉNÁŘ 5</t>
  </si>
  <si>
    <r>
      <rPr>
        <b/>
        <sz val="11"/>
        <rFont val="Arial"/>
        <family val="2"/>
        <charset val="238"/>
      </rPr>
      <t>RR</t>
    </r>
    <r>
      <rPr>
        <b/>
        <sz val="10"/>
        <rFont val="Arial"/>
        <family val="2"/>
        <charset val="238"/>
      </rPr>
      <t xml:space="preserve">
</t>
    </r>
    <r>
      <rPr>
        <b/>
        <i/>
        <sz val="10"/>
        <rFont val="Arial"/>
        <family val="2"/>
        <charset val="238"/>
      </rPr>
      <t>terapie</t>
    </r>
    <r>
      <rPr>
        <b/>
        <sz val="10"/>
        <rFont val="Arial"/>
        <family val="2"/>
        <charset val="238"/>
      </rPr>
      <t xml:space="preserve"> vs DMF
v celkovém QALY 
 </t>
    </r>
    <r>
      <rPr>
        <b/>
        <sz val="9"/>
        <rFont val="Arial"/>
        <family val="2"/>
        <charset val="238"/>
      </rPr>
      <t xml:space="preserve">(pro scénář 7.)
</t>
    </r>
    <r>
      <rPr>
        <b/>
        <i/>
        <sz val="9"/>
        <rFont val="Arial"/>
        <family val="2"/>
        <charset val="238"/>
      </rPr>
      <t>sloupec ζ</t>
    </r>
  </si>
  <si>
    <r>
      <rPr>
        <b/>
        <sz val="11"/>
        <color theme="0"/>
        <rFont val="Arial"/>
        <family val="2"/>
        <charset val="238"/>
      </rPr>
      <t>RR</t>
    </r>
    <r>
      <rPr>
        <b/>
        <sz val="10"/>
        <color theme="0"/>
        <rFont val="Arial"/>
        <family val="2"/>
        <charset val="238"/>
      </rPr>
      <t xml:space="preserve">
</t>
    </r>
    <r>
      <rPr>
        <b/>
        <i/>
        <sz val="10"/>
        <color theme="0"/>
        <rFont val="Arial"/>
        <family val="2"/>
        <charset val="238"/>
      </rPr>
      <t>terapie</t>
    </r>
    <r>
      <rPr>
        <b/>
        <sz val="10"/>
        <color theme="0"/>
        <rFont val="Arial"/>
        <family val="2"/>
        <charset val="238"/>
      </rPr>
      <t xml:space="preserve"> vs DMF
v paramateru "Přerušení léčby" 
</t>
    </r>
    <r>
      <rPr>
        <b/>
        <sz val="9"/>
        <color theme="0"/>
        <rFont val="Arial"/>
        <family val="2"/>
        <charset val="238"/>
      </rPr>
      <t xml:space="preserve">(pro scénář 4.)
</t>
    </r>
    <r>
      <rPr>
        <b/>
        <i/>
        <sz val="9"/>
        <color theme="0"/>
        <rFont val="Arial"/>
        <family val="2"/>
        <charset val="238"/>
      </rPr>
      <t>sloupec ε´</t>
    </r>
  </si>
  <si>
    <r>
      <t xml:space="preserve">Obratový bonus </t>
    </r>
    <r>
      <rPr>
        <b/>
        <sz val="11"/>
        <color rgb="FFFFFF00"/>
        <rFont val="Calibri"/>
        <family val="2"/>
        <charset val="238"/>
      </rPr>
      <t>[%]</t>
    </r>
  </si>
  <si>
    <t>SCÉNÁŘ 1</t>
  </si>
  <si>
    <t xml:space="preserve"> SCÉNÁŘ 3</t>
  </si>
  <si>
    <t>SCÉNÁŘ 6</t>
  </si>
  <si>
    <t xml:space="preserve"> SCÉNÁŘ 7</t>
  </si>
  <si>
    <r>
      <rPr>
        <b/>
        <sz val="12"/>
        <color theme="1"/>
        <rFont val="Calibri"/>
        <family val="2"/>
        <charset val="238"/>
        <scheme val="minor"/>
      </rPr>
      <t>AVONEX</t>
    </r>
    <r>
      <rPr>
        <sz val="12"/>
        <color theme="1"/>
        <rFont val="Calibri"/>
        <family val="2"/>
        <charset val="238"/>
        <scheme val="minor"/>
      </rPr>
      <t xml:space="preserve"> 30 mg</t>
    </r>
  </si>
  <si>
    <r>
      <rPr>
        <b/>
        <sz val="12"/>
        <color theme="1"/>
        <rFont val="Calibri"/>
        <family val="2"/>
        <charset val="238"/>
        <scheme val="minor"/>
      </rPr>
      <t>AUBAGIO</t>
    </r>
    <r>
      <rPr>
        <sz val="12"/>
        <color theme="1"/>
        <rFont val="Calibri"/>
        <family val="2"/>
        <charset val="238"/>
        <scheme val="minor"/>
      </rPr>
      <t xml:space="preserve"> 14 mg</t>
    </r>
  </si>
  <si>
    <r>
      <rPr>
        <b/>
        <sz val="12"/>
        <color theme="1"/>
        <rFont val="Calibri"/>
        <family val="2"/>
        <charset val="238"/>
        <scheme val="minor"/>
      </rPr>
      <t xml:space="preserve">REBIF </t>
    </r>
    <r>
      <rPr>
        <sz val="12"/>
        <color theme="1"/>
        <rFont val="Calibri"/>
        <family val="2"/>
        <charset val="238"/>
        <scheme val="minor"/>
      </rPr>
      <t>22 mg</t>
    </r>
  </si>
  <si>
    <r>
      <rPr>
        <b/>
        <sz val="12"/>
        <color theme="1"/>
        <rFont val="Calibri"/>
        <family val="2"/>
        <charset val="238"/>
        <scheme val="minor"/>
      </rPr>
      <t xml:space="preserve">REBIF </t>
    </r>
    <r>
      <rPr>
        <sz val="12"/>
        <color theme="1"/>
        <rFont val="Calibri"/>
        <family val="2"/>
        <charset val="238"/>
        <scheme val="minor"/>
      </rPr>
      <t>44 mg</t>
    </r>
  </si>
  <si>
    <r>
      <rPr>
        <b/>
        <sz val="12"/>
        <color theme="1"/>
        <rFont val="Calibri"/>
        <family val="2"/>
        <charset val="238"/>
        <scheme val="minor"/>
      </rPr>
      <t>BETAFERON</t>
    </r>
    <r>
      <rPr>
        <sz val="12"/>
        <color theme="1"/>
        <rFont val="Calibri"/>
        <family val="2"/>
        <charset val="238"/>
        <scheme val="minor"/>
      </rPr>
      <t xml:space="preserve"> 250 ug/ml</t>
    </r>
  </si>
  <si>
    <r>
      <t xml:space="preserve">PLEGRIDY </t>
    </r>
    <r>
      <rPr>
        <sz val="12"/>
        <color theme="1"/>
        <rFont val="Calibri"/>
        <family val="2"/>
        <charset val="238"/>
        <scheme val="minor"/>
      </rPr>
      <t>125 ug</t>
    </r>
  </si>
  <si>
    <r>
      <rPr>
        <b/>
        <sz val="12"/>
        <color theme="1"/>
        <rFont val="Calibri"/>
        <family val="2"/>
        <charset val="238"/>
        <scheme val="minor"/>
      </rPr>
      <t xml:space="preserve">COPAXONE </t>
    </r>
    <r>
      <rPr>
        <sz val="12"/>
        <color theme="1"/>
        <rFont val="Calibri"/>
        <family val="2"/>
        <charset val="238"/>
        <scheme val="minor"/>
      </rPr>
      <t>20 mg</t>
    </r>
  </si>
  <si>
    <r>
      <rPr>
        <b/>
        <sz val="12"/>
        <color theme="1"/>
        <rFont val="Calibri"/>
        <family val="2"/>
        <charset val="238"/>
        <scheme val="minor"/>
      </rPr>
      <t xml:space="preserve">COPAXONE </t>
    </r>
    <r>
      <rPr>
        <sz val="12"/>
        <color theme="1"/>
        <rFont val="Calibri"/>
        <family val="2"/>
        <charset val="238"/>
        <scheme val="minor"/>
      </rPr>
      <t>40 mg</t>
    </r>
  </si>
  <si>
    <r>
      <t xml:space="preserve">Dle:  Benešová Y. Alemtuzumab v léčbě roztroušené sklerózy. </t>
    </r>
    <r>
      <rPr>
        <i/>
        <sz val="11"/>
        <color theme="1"/>
        <rFont val="Calibri"/>
        <family val="2"/>
        <charset val="238"/>
        <scheme val="minor"/>
      </rPr>
      <t>Farmakoterapeutická revue.</t>
    </r>
    <r>
      <rPr>
        <sz val="11"/>
        <color theme="1"/>
        <rFont val="Calibri"/>
        <family val="2"/>
        <charset val="238"/>
        <scheme val="minor"/>
      </rPr>
      <t xml:space="preserve"> 2018, 5</t>
    </r>
  </si>
  <si>
    <r>
      <t xml:space="preserve">Dle: Nytrová P. a kol. Roztroušená skleróza - včasná diagnostika a možnosti léčby. </t>
    </r>
    <r>
      <rPr>
        <i/>
        <sz val="9"/>
        <color theme="1"/>
        <rFont val="Calibri"/>
        <family val="2"/>
        <charset val="238"/>
        <scheme val="minor"/>
      </rPr>
      <t>Farmakoterapeutická revue</t>
    </r>
    <r>
      <rPr>
        <sz val="9"/>
        <color theme="1"/>
        <rFont val="Calibri"/>
        <family val="2"/>
        <charset val="238"/>
        <scheme val="minor"/>
      </rPr>
      <t>. 2019, 1</t>
    </r>
  </si>
  <si>
    <t>Dle UpToDate z 22.5.2021</t>
  </si>
  <si>
    <t xml:space="preserve">        Dle: Olek MJ, Mowry E. Indications for switching or stopping disease-modifying therapy for multiple sclerosis. UpToDate. Topic 129095 Version 5.0</t>
  </si>
  <si>
    <t>dimethylfumarát (DMF)</t>
  </si>
  <si>
    <r>
      <rPr>
        <vertAlign val="superscript"/>
        <sz val="9"/>
        <color theme="1"/>
        <rFont val="Calibri"/>
        <family val="2"/>
        <charset val="238"/>
        <scheme val="minor"/>
      </rPr>
      <t>2</t>
    </r>
    <r>
      <rPr>
        <sz val="9"/>
        <color theme="1"/>
        <rFont val="Calibri"/>
        <family val="2"/>
        <charset val="238"/>
        <scheme val="minor"/>
      </rPr>
      <t xml:space="preserve"> Dle Table 5 v: ICER. Final Evidence Report: DMTs for RRMS and PPMS. 2017. Pro kladribin vs placebo a ofatumumab vs placebo bylo RR převzato ze zdroje 3 a 4 (hodnoty RR pro ARR v těchto zdrojích u ostatních látek byly od ICER zdroje odlišné max. +/- 15%) a následně přepočítáno vůči DMF. </t>
    </r>
  </si>
  <si>
    <r>
      <rPr>
        <vertAlign val="superscript"/>
        <sz val="9"/>
        <color theme="1"/>
        <rFont val="Calibri"/>
        <family val="2"/>
        <charset val="238"/>
        <scheme val="minor"/>
      </rPr>
      <t>5</t>
    </r>
    <r>
      <rPr>
        <sz val="9"/>
        <color theme="1"/>
        <rFont val="Calibri"/>
        <family val="2"/>
        <charset val="238"/>
        <scheme val="minor"/>
      </rPr>
      <t xml:space="preserve"> Dle Table 7 v: ICER. Final Evidence Report: DMTs for RRMS and PPMS. 2017. Pro kladribin vs placebo bylo RR zprůměrováno dle hodnot ze zdrojů 3 (zde pro parametr CDP3) a 6 (zde pro parametr CDP6), pro ofatumumab vs placebo byla použita hodnota RR ze zdroje 3 -hodnoty RR pro CDP u ostatních látek byly od ICER zdroje odlišné max. +/- 18%. Následně bylo RR u kladribinu a ofatumumabu přepočítáno vůči DMF dle zdroje ICER. </t>
    </r>
  </si>
  <si>
    <t>Průměr náklad.efekt. vůči DMF ze scénářů 2 - 4</t>
  </si>
  <si>
    <t>kladribin</t>
  </si>
  <si>
    <t>anti α4-integrin mAb</t>
  </si>
  <si>
    <t>anti-CD20 (marker B-lymf.) mAb</t>
  </si>
  <si>
    <t>anti-CD52 mAb</t>
  </si>
  <si>
    <t>inhibitor mitochond. DHO-DH (inhibuje biosynt.pyrimidinu)</t>
  </si>
  <si>
    <t>funkční antagonista (modulátor) S1P receptorů</t>
  </si>
  <si>
    <t xml:space="preserve"> selektivní imunosupresivum (purin. antimetabolit)</t>
  </si>
  <si>
    <t>imunomodulans (směs náhod. polymerů 4 aminokys.)</t>
  </si>
  <si>
    <t>interferony (cytokin s imunomodul.úč.)</t>
  </si>
  <si>
    <t>aktivátor Nrf2 cesty (přesný mech. úč. u MS není znám)</t>
  </si>
  <si>
    <r>
      <t>farmakolog. skupina - efekt (dle</t>
    </r>
    <r>
      <rPr>
        <vertAlign val="superscript"/>
        <sz val="8"/>
        <rFont val="Arial"/>
        <family val="2"/>
        <charset val="238"/>
      </rPr>
      <t>14</t>
    </r>
    <r>
      <rPr>
        <sz val="8"/>
        <rFont val="Arial"/>
        <family val="2"/>
        <charset val="238"/>
      </rPr>
      <t>)</t>
    </r>
  </si>
  <si>
    <t xml:space="preserve">        Dle: KLINICKÝ DOPORUČENÝ POSTUP PRO DIAGNOSTIKU A LÉČBU ROZTROUŠENÉ SKLERÓZY A NEUROMYELITIS OPTICA A ONEMOCNĚNÍ JEJÍHO ŠIRŠÍHO SPEKTRA, verze 2.0. ČNS ČLS JEP. Březen 2020</t>
  </si>
  <si>
    <r>
      <t xml:space="preserve">Poměr ceny k ceně DMF                                </t>
    </r>
    <r>
      <rPr>
        <b/>
        <sz val="9"/>
        <color theme="0"/>
        <rFont val="Calibri"/>
        <family val="2"/>
        <charset val="238"/>
        <scheme val="minor"/>
      </rPr>
      <t>(pro scénáře 1.- 4., 6. a 7. počítající 5 letý horizont)
sloupec α´</t>
    </r>
  </si>
  <si>
    <r>
      <t xml:space="preserve">Poměr ceny k ceně DMF
</t>
    </r>
    <r>
      <rPr>
        <b/>
        <sz val="9"/>
        <color theme="0"/>
        <rFont val="Calibri"/>
        <family val="2"/>
        <charset val="238"/>
        <scheme val="minor"/>
      </rPr>
      <t>(pro scénář 5. počítající 2 letý horizont)
sloupec β´</t>
    </r>
  </si>
  <si>
    <r>
      <rPr>
        <b/>
        <sz val="12"/>
        <color theme="1"/>
        <rFont val="Calibri"/>
        <family val="2"/>
        <charset val="238"/>
        <scheme val="minor"/>
      </rPr>
      <t>BETAFERON</t>
    </r>
    <r>
      <rPr>
        <sz val="12"/>
        <color theme="1"/>
        <rFont val="Calibri"/>
        <family val="2"/>
        <charset val="238"/>
        <scheme val="minor"/>
      </rPr>
      <t xml:space="preserve"> 250MCG/ML INJ PSO LQF 15+15X1,2ML </t>
    </r>
  </si>
  <si>
    <t>u CIS a v 1. LINII RRSM – v 1.linii jen u pac nepřesahující EDSS skóre 4,5</t>
  </si>
  <si>
    <t xml:space="preserve">V 2. LINII, V 1. LINII JEN U RYCHLE PROGREDUJÍCÍ ZÁVAŽNÉ FORMY !!!  – jen u pac. nepřesahující EDSS skóre 5,5 </t>
  </si>
  <si>
    <t xml:space="preserve">u 2. LINIE MÁ TROCHU JINÉ PODMÍNKY NEŽ OSTATNÍ DMD, V 1. LINII JEN U RYCHLE PROGREDUJÍCÍ ZÁVAŽNÉ FORMY – ALE NEMÁ LIMIT HODNOTY EDSS (stejně jako Lemtrada) PRO ÚHRADU JAKO OSTATNÍ DMD </t>
  </si>
  <si>
    <t>u 2. LINIE  má navíc možnost i jen pro MR podmínky progrese, v 1. LINII JEN U RYCHLE PROGREDUJÍCÍ ZÁVAŽNÉ FORMY – ALE NEMÁ LIMIT HODNOTY EDSS (stejně jako Tysabri) PRO ÚHRADU JAKO OSTATNÍ DMD !</t>
  </si>
  <si>
    <t xml:space="preserve">JEN PRO 2. LINII !!  – jen u pac. nepřesahující EDSS skóre 5,5 </t>
  </si>
  <si>
    <t>síla účinku u RRRS</t>
  </si>
  <si>
    <t>NEJSLABŠÍ</t>
  </si>
  <si>
    <t>STŘEDNĚ SILNÝ</t>
  </si>
  <si>
    <t>NEJSILNĚJŠÍ     (tzv. HET)</t>
  </si>
  <si>
    <t xml:space="preserve">v 1. (v 1.linii také i u rychle progred. závažné formy) i 2. LINII RRSM – jen u pac. nepřesahující EDSS skóre 5,0 </t>
  </si>
  <si>
    <t xml:space="preserve">v 1. LINII (v 1.linii je u aktivní formy ale také navíc podmínka významného nálezu na MRI, která není u ostatních DMD) i 2. LINII RRSM – jen u pac. nepřesahující EDSS skóre 5,5 </t>
  </si>
  <si>
    <t>JEN V 1. LINII (má ale „měkčí“ kritéria pro definici vysoké aktivity než ostatní DMD) RRSM !! – jen u pac. nepřesahující EDSS skóre 5,0)</t>
  </si>
  <si>
    <r>
      <rPr>
        <b/>
        <sz val="12"/>
        <color theme="1"/>
        <rFont val="Calibri"/>
        <family val="2"/>
        <charset val="238"/>
        <scheme val="minor"/>
      </rPr>
      <t xml:space="preserve">PONVORY </t>
    </r>
    <r>
      <rPr>
        <sz val="12"/>
        <color theme="1"/>
        <rFont val="Calibri"/>
        <family val="2"/>
        <charset val="238"/>
        <scheme val="minor"/>
      </rPr>
      <t>20MG TBL FLM 28</t>
    </r>
  </si>
  <si>
    <t>Janssen-Cilag</t>
  </si>
  <si>
    <t>ponesimod</t>
  </si>
  <si>
    <t>20 mg jedenkrát denně po 14denní titraci!</t>
  </si>
  <si>
    <t>cena za jednotku (NCSD) a kompenzací k 17.10.2022</t>
  </si>
  <si>
    <t>11 Stanovisko ČNS k EID u Tysabri ke Správnímu řízení č. SUKLS30591/2019 z 18.2.2021</t>
  </si>
  <si>
    <r>
      <t xml:space="preserve">12 Foley JF, et al. Comparison of switching to 6-week dosing of natalizumab versus continuing with 4-week dosing in patients 
with relapsing-remitting multiple sclerosis (NOVA): a randomised, controlled, open-label, phase 3b trial. </t>
    </r>
    <r>
      <rPr>
        <i/>
        <sz val="9"/>
        <color theme="1"/>
        <rFont val="Calibri"/>
        <family val="2"/>
        <charset val="238"/>
        <scheme val="minor"/>
      </rPr>
      <t>Lancet Neuro</t>
    </r>
    <r>
      <rPr>
        <sz val="9"/>
        <color theme="1"/>
        <rFont val="Calibri"/>
        <family val="2"/>
        <charset val="238"/>
        <scheme val="minor"/>
      </rPr>
      <t>l 2022; 21: 608–19</t>
    </r>
  </si>
  <si>
    <t>natalizumab s.c.</t>
  </si>
  <si>
    <t>natalizumab i.v. EID</t>
  </si>
  <si>
    <t xml:space="preserve">i.v. </t>
  </si>
  <si>
    <t>1,75 mg/kg za rok po dobu dvou let.
(3,5 mg/kg za dva roky)
Zde: 280 mg / 2 roky</t>
  </si>
  <si>
    <t>1,75 mg/kg za rok po dobu dvou let.
(3,5 mg/kg za dva roky)
Zde: 140 mg / 2 roky</t>
  </si>
  <si>
    <t>1,75 mg/kg za rok po dobu dvou let.
(3,5 mg/kg za dva roky)
Zde: 390 mg / 2 roky</t>
  </si>
  <si>
    <r>
      <t xml:space="preserve">300 mg každé 4 týdny </t>
    </r>
    <r>
      <rPr>
        <u/>
        <sz val="10"/>
        <color rgb="FF000000"/>
        <rFont val="Calibri"/>
        <family val="2"/>
        <charset val="238"/>
        <scheme val="minor"/>
      </rPr>
      <t>s.c. podané ale zdrav. pracovníkem!!</t>
    </r>
  </si>
  <si>
    <t>20 mg s.c. v týdnech 0, 1 a 2, pak od 4. týdne každý měsíc</t>
  </si>
  <si>
    <t>týden iniciace 120 mg 2x denně, dále 240 mg 2x denně</t>
  </si>
  <si>
    <t>diroximel-fumarát</t>
  </si>
  <si>
    <t>L04AX07</t>
  </si>
  <si>
    <t>L04AX09</t>
  </si>
  <si>
    <t>týden iniciace 231 mg 2x denně, dále 462 mg 2x denně</t>
  </si>
  <si>
    <t>L04AA50</t>
  </si>
  <si>
    <t>L04AA42</t>
  </si>
  <si>
    <t>siponimod</t>
  </si>
  <si>
    <r>
      <rPr>
        <b/>
        <sz val="12"/>
        <color theme="1"/>
        <rFont val="Calibri"/>
        <family val="2"/>
        <charset val="238"/>
        <scheme val="minor"/>
      </rPr>
      <t>TECFIDERA</t>
    </r>
    <r>
      <rPr>
        <sz val="12"/>
        <color theme="1"/>
        <rFont val="Calibri"/>
        <family val="2"/>
        <charset val="238"/>
        <scheme val="minor"/>
      </rPr>
      <t xml:space="preserve"> 240MG CPS ETD 56</t>
    </r>
  </si>
  <si>
    <r>
      <rPr>
        <b/>
        <sz val="12"/>
        <color theme="1"/>
        <rFont val="Calibri"/>
        <family val="2"/>
        <charset val="238"/>
        <scheme val="minor"/>
      </rPr>
      <t>VUMERITY</t>
    </r>
    <r>
      <rPr>
        <sz val="12"/>
        <color theme="1"/>
        <rFont val="Calibri"/>
        <family val="2"/>
        <charset val="238"/>
        <scheme val="minor"/>
      </rPr>
      <t xml:space="preserve"> 231MG CPS ETD 120</t>
    </r>
  </si>
  <si>
    <r>
      <rPr>
        <b/>
        <sz val="12"/>
        <color theme="1"/>
        <rFont val="Calibri"/>
        <family val="2"/>
        <charset val="238"/>
        <scheme val="minor"/>
      </rPr>
      <t xml:space="preserve">ZEPOSIA </t>
    </r>
    <r>
      <rPr>
        <sz val="12"/>
        <color theme="1"/>
        <rFont val="Calibri"/>
        <family val="2"/>
        <charset val="238"/>
        <scheme val="minor"/>
      </rPr>
      <t>0,92MG CPS DUR 28</t>
    </r>
  </si>
  <si>
    <r>
      <rPr>
        <b/>
        <sz val="12"/>
        <color theme="1"/>
        <rFont val="Calibri"/>
        <family val="2"/>
        <charset val="238"/>
        <scheme val="minor"/>
      </rPr>
      <t>GILENYA</t>
    </r>
    <r>
      <rPr>
        <sz val="12"/>
        <color theme="1"/>
        <rFont val="Calibri"/>
        <family val="2"/>
        <charset val="238"/>
        <scheme val="minor"/>
      </rPr>
      <t xml:space="preserve"> 0,5MG CPS DUR 28</t>
    </r>
  </si>
  <si>
    <r>
      <rPr>
        <b/>
        <sz val="12"/>
        <color theme="1"/>
        <rFont val="Calibri"/>
        <family val="2"/>
        <charset val="238"/>
        <scheme val="minor"/>
      </rPr>
      <t>MAYZENT</t>
    </r>
    <r>
      <rPr>
        <sz val="12"/>
        <color theme="1"/>
        <rFont val="Calibri"/>
        <family val="2"/>
        <charset val="238"/>
        <scheme val="minor"/>
      </rPr>
      <t xml:space="preserve"> 2MG TBL FLM 28</t>
    </r>
  </si>
  <si>
    <r>
      <rPr>
        <b/>
        <sz val="12"/>
        <color theme="1"/>
        <rFont val="Calibri"/>
        <family val="2"/>
        <charset val="238"/>
        <scheme val="minor"/>
      </rPr>
      <t>TYSABRI</t>
    </r>
    <r>
      <rPr>
        <sz val="12"/>
        <color theme="1"/>
        <rFont val="Calibri"/>
        <family val="2"/>
        <charset val="238"/>
        <scheme val="minor"/>
      </rPr>
      <t xml:space="preserve"> 150MG INJ SOL 2x 1ml</t>
    </r>
  </si>
  <si>
    <r>
      <rPr>
        <b/>
        <sz val="12"/>
        <color theme="1"/>
        <rFont val="Calibri"/>
        <family val="2"/>
        <charset val="238"/>
        <scheme val="minor"/>
      </rPr>
      <t>TYSABRI</t>
    </r>
    <r>
      <rPr>
        <sz val="12"/>
        <color theme="1"/>
        <rFont val="Calibri"/>
        <family val="2"/>
        <charset val="238"/>
        <scheme val="minor"/>
      </rPr>
      <t xml:space="preserve"> 300MG INF CNC 1</t>
    </r>
  </si>
  <si>
    <r>
      <rPr>
        <b/>
        <sz val="12"/>
        <color theme="1"/>
        <rFont val="Calibri"/>
        <family val="2"/>
        <charset val="238"/>
        <scheme val="minor"/>
      </rPr>
      <t>OCREVUS</t>
    </r>
    <r>
      <rPr>
        <sz val="12"/>
        <color theme="1"/>
        <rFont val="Calibri"/>
        <family val="2"/>
        <charset val="238"/>
        <scheme val="minor"/>
      </rPr>
      <t xml:space="preserve"> 300MG INF CNC SOL 1X10ML</t>
    </r>
  </si>
  <si>
    <r>
      <rPr>
        <b/>
        <sz val="12"/>
        <color theme="1"/>
        <rFont val="Calibri"/>
        <family val="2"/>
        <charset val="238"/>
        <scheme val="minor"/>
      </rPr>
      <t>LEMTRADA</t>
    </r>
    <r>
      <rPr>
        <sz val="12"/>
        <color theme="1"/>
        <rFont val="Calibri"/>
        <family val="2"/>
        <charset val="238"/>
        <scheme val="minor"/>
      </rPr>
      <t xml:space="preserve"> 12MG INF CNC SOL 1X1,2ML</t>
    </r>
  </si>
  <si>
    <r>
      <rPr>
        <b/>
        <sz val="12"/>
        <color theme="1"/>
        <rFont val="Calibri"/>
        <family val="2"/>
        <charset val="238"/>
        <scheme val="minor"/>
      </rPr>
      <t>MAVENCLAD</t>
    </r>
    <r>
      <rPr>
        <sz val="12"/>
        <color theme="1"/>
        <rFont val="Calibri"/>
        <family val="2"/>
        <charset val="238"/>
        <scheme val="minor"/>
      </rPr>
      <t xml:space="preserve"> 10MG TBL NOB 1
pacient s hmt. 80 kg</t>
    </r>
  </si>
  <si>
    <r>
      <rPr>
        <b/>
        <sz val="12"/>
        <color theme="1"/>
        <rFont val="Calibri"/>
        <family val="2"/>
        <charset val="238"/>
        <scheme val="minor"/>
      </rPr>
      <t>MAVENCLAD</t>
    </r>
    <r>
      <rPr>
        <sz val="12"/>
        <color theme="1"/>
        <rFont val="Calibri"/>
        <family val="2"/>
        <charset val="238"/>
        <scheme val="minor"/>
      </rPr>
      <t xml:space="preserve"> 10MG TBL NOB 1
pacient s hmt. 40 kg</t>
    </r>
  </si>
  <si>
    <r>
      <rPr>
        <b/>
        <sz val="12"/>
        <color theme="1"/>
        <rFont val="Calibri"/>
        <family val="2"/>
        <charset val="238"/>
        <scheme val="minor"/>
      </rPr>
      <t>MAVENCLAD</t>
    </r>
    <r>
      <rPr>
        <sz val="12"/>
        <color theme="1"/>
        <rFont val="Calibri"/>
        <family val="2"/>
        <charset val="238"/>
        <scheme val="minor"/>
      </rPr>
      <t xml:space="preserve"> 10MG TBL NOB 1
pacient s hmt. 110 kg</t>
    </r>
  </si>
  <si>
    <r>
      <rPr>
        <b/>
        <sz val="12"/>
        <color theme="1"/>
        <rFont val="Calibri"/>
        <family val="2"/>
        <charset val="238"/>
        <scheme val="minor"/>
      </rPr>
      <t>KESIMPTA</t>
    </r>
    <r>
      <rPr>
        <sz val="12"/>
        <color theme="1"/>
        <rFont val="Calibri"/>
        <family val="2"/>
        <charset val="238"/>
        <scheme val="minor"/>
      </rPr>
      <t xml:space="preserve">
20MG INJ SOL PEP 1X0,4ML</t>
    </r>
  </si>
  <si>
    <t>Bristol-Myers Squibb</t>
  </si>
  <si>
    <t>0,92 mg jedenkrát denně po 7denní titraci!</t>
  </si>
  <si>
    <t>v 1. linii u SPRS u pac. vstupně s EDSS skóre 4-6,5 !</t>
  </si>
  <si>
    <t>AKTUÁLNĚ JEŠTĚ NEHRAZEN - dle 1. HZ:                                                                                                  JEN V 1. LINII (má ale „měkčí“ kritéria pro definici vysoké aktivity než ostatní DMD) RRSM !! – jen u pac. nepřesahující EDSS skóre 5,0)</t>
  </si>
  <si>
    <t>Merck spol.            s .r.o.</t>
  </si>
  <si>
    <r>
      <t xml:space="preserve">RR
</t>
    </r>
    <r>
      <rPr>
        <b/>
        <i/>
        <sz val="11"/>
        <color theme="0"/>
        <rFont val="Arial"/>
        <family val="2"/>
        <charset val="238"/>
      </rPr>
      <t>terapie</t>
    </r>
    <r>
      <rPr>
        <b/>
        <sz val="11"/>
        <color theme="0"/>
        <rFont val="Arial"/>
        <family val="2"/>
        <charset val="238"/>
      </rPr>
      <t xml:space="preserve"> VS DMF
v paramateru ARR</t>
    </r>
    <r>
      <rPr>
        <b/>
        <vertAlign val="superscript"/>
        <sz val="11"/>
        <color theme="0"/>
        <rFont val="Arial"/>
        <family val="2"/>
        <charset val="238"/>
      </rPr>
      <t xml:space="preserve">13
</t>
    </r>
    <r>
      <rPr>
        <b/>
        <i/>
        <vertAlign val="superscript"/>
        <sz val="11"/>
        <color theme="0"/>
        <rFont val="Arial"/>
        <family val="2"/>
        <charset val="238"/>
      </rPr>
      <t xml:space="preserve">sloupec </t>
    </r>
    <r>
      <rPr>
        <b/>
        <i/>
        <vertAlign val="superscript"/>
        <sz val="11"/>
        <color theme="0"/>
        <rFont val="Calibri"/>
        <family val="2"/>
        <charset val="238"/>
      </rPr>
      <t>γ</t>
    </r>
  </si>
  <si>
    <r>
      <t>13 Chen Ch, et al. Comparative efficacy and safety of disease-modifying therapies in patients with relapsing multiple sclerosis: A systematic review and network meta-analysis. J</t>
    </r>
    <r>
      <rPr>
        <i/>
        <sz val="9"/>
        <color theme="1"/>
        <rFont val="Calibri"/>
        <family val="2"/>
        <charset val="238"/>
        <scheme val="minor"/>
      </rPr>
      <t xml:space="preserve">ournal of the American Pharmacists Association </t>
    </r>
    <r>
      <rPr>
        <sz val="9"/>
        <color theme="1"/>
        <rFont val="Calibri"/>
        <family val="2"/>
        <charset val="238"/>
        <scheme val="minor"/>
      </rPr>
      <t>xxx (2022) 1e15.</t>
    </r>
  </si>
  <si>
    <r>
      <t xml:space="preserve">RR
</t>
    </r>
    <r>
      <rPr>
        <b/>
        <i/>
        <sz val="11"/>
        <color theme="0"/>
        <rFont val="Arial"/>
        <family val="2"/>
        <charset val="238"/>
      </rPr>
      <t>terapie</t>
    </r>
    <r>
      <rPr>
        <b/>
        <sz val="11"/>
        <color theme="0"/>
        <rFont val="Arial"/>
        <family val="2"/>
        <charset val="238"/>
      </rPr>
      <t xml:space="preserve"> VS DMF
v paramateru ARR</t>
    </r>
    <r>
      <rPr>
        <b/>
        <vertAlign val="superscript"/>
        <sz val="11"/>
        <color theme="0"/>
        <rFont val="Arial"/>
        <family val="2"/>
        <charset val="238"/>
      </rPr>
      <t xml:space="preserve">13
waning efekt 5 let
</t>
    </r>
    <r>
      <rPr>
        <b/>
        <i/>
        <vertAlign val="superscript"/>
        <sz val="11"/>
        <color theme="0"/>
        <rFont val="Arial"/>
        <family val="2"/>
        <charset val="238"/>
      </rPr>
      <t>sloupec γ´</t>
    </r>
  </si>
  <si>
    <r>
      <t xml:space="preserve">14 Giovannoni G, et al. A Placebo-Controlled Trial of Oral Cladribine for Relapsing Multiple Sclerosis.  </t>
    </r>
    <r>
      <rPr>
        <i/>
        <sz val="9"/>
        <color theme="1"/>
        <rFont val="Calibri"/>
        <family val="2"/>
        <charset val="238"/>
        <scheme val="minor"/>
      </rPr>
      <t>N Engl J Med</t>
    </r>
    <r>
      <rPr>
        <sz val="9"/>
        <color theme="1"/>
        <rFont val="Calibri"/>
        <family val="2"/>
        <charset val="238"/>
        <scheme val="minor"/>
      </rPr>
      <t xml:space="preserve"> 2010;362:416-426</t>
    </r>
  </si>
  <si>
    <r>
      <t>i.v. EID (off-label)</t>
    </r>
    <r>
      <rPr>
        <vertAlign val="superscript"/>
        <sz val="10"/>
        <color rgb="FF000000"/>
        <rFont val="Calibri"/>
        <family val="2"/>
        <charset val="238"/>
        <scheme val="minor"/>
      </rPr>
      <t>11,12</t>
    </r>
    <r>
      <rPr>
        <sz val="10"/>
        <color rgb="FF000000"/>
        <rFont val="Calibri"/>
        <family val="2"/>
        <charset val="238"/>
        <scheme val="minor"/>
      </rPr>
      <t>: 1. rok  300mg každé 4 týdny, pak 300mg kazdých 6 týdnů (</t>
    </r>
    <r>
      <rPr>
        <u/>
        <sz val="10"/>
        <color rgb="FF000000"/>
        <rFont val="Calibri"/>
        <family val="2"/>
        <charset val="238"/>
        <scheme val="minor"/>
      </rPr>
      <t>aplikace cca 1 hod</t>
    </r>
    <r>
      <rPr>
        <sz val="10"/>
        <color rgb="FF000000"/>
        <rFont val="Calibri"/>
        <family val="2"/>
        <charset val="238"/>
        <scheme val="minor"/>
      </rPr>
      <t>)</t>
    </r>
  </si>
  <si>
    <r>
      <t xml:space="preserve">600 mg každých 6 měs. (1. dávka jsou 2 samost. inf. 300mg po 2 týd.!!) - </t>
    </r>
    <r>
      <rPr>
        <u/>
        <sz val="10"/>
        <color theme="1"/>
        <rFont val="Calibri"/>
        <family val="2"/>
        <charset val="238"/>
        <scheme val="minor"/>
      </rPr>
      <t xml:space="preserve">aplik. cca 2,5-3,5 hod, nutná premedikace </t>
    </r>
    <r>
      <rPr>
        <sz val="10"/>
        <color theme="1"/>
        <rFont val="Calibri"/>
        <family val="2"/>
        <charset val="238"/>
        <scheme val="minor"/>
      </rPr>
      <t>!</t>
    </r>
  </si>
  <si>
    <r>
      <rPr>
        <b/>
        <sz val="12"/>
        <color theme="0"/>
        <rFont val="Calibri"/>
        <family val="2"/>
        <charset val="238"/>
        <scheme val="minor"/>
      </rPr>
      <t>Cena za 1 rok léčby</t>
    </r>
    <r>
      <rPr>
        <b/>
        <sz val="10"/>
        <color theme="0"/>
        <rFont val="Calibri"/>
        <family val="2"/>
        <charset val="238"/>
        <scheme val="minor"/>
      </rPr>
      <t xml:space="preserve"> vč. aplik. a profylaxe u i.v., s.c. hospital.</t>
    </r>
    <r>
      <rPr>
        <b/>
        <vertAlign val="superscript"/>
        <sz val="10"/>
        <color theme="0"/>
        <rFont val="Calibri"/>
        <family val="2"/>
        <charset val="238"/>
        <scheme val="minor"/>
      </rPr>
      <t>15</t>
    </r>
    <r>
      <rPr>
        <b/>
        <sz val="10"/>
        <color theme="0"/>
        <rFont val="Calibri"/>
        <family val="2"/>
        <charset val="238"/>
        <scheme val="minor"/>
      </rPr>
      <t xml:space="preserve">                    </t>
    </r>
    <r>
      <rPr>
        <b/>
        <sz val="9"/>
        <color theme="0"/>
        <rFont val="Calibri"/>
        <family val="2"/>
        <charset val="238"/>
        <scheme val="minor"/>
      </rPr>
      <t xml:space="preserve">(pro scénáře 1.-4., 6. a 7. počítající 5 letý horizont)
</t>
    </r>
    <r>
      <rPr>
        <b/>
        <i/>
        <sz val="9"/>
        <color theme="0"/>
        <rFont val="Calibri"/>
        <family val="2"/>
        <charset val="238"/>
        <scheme val="minor"/>
      </rPr>
      <t xml:space="preserve">sloupec </t>
    </r>
    <r>
      <rPr>
        <b/>
        <i/>
        <sz val="9"/>
        <color theme="0"/>
        <rFont val="Calibri"/>
        <family val="2"/>
        <charset val="238"/>
      </rPr>
      <t>α</t>
    </r>
  </si>
  <si>
    <r>
      <rPr>
        <b/>
        <sz val="12"/>
        <color theme="0"/>
        <rFont val="Calibri"/>
        <family val="2"/>
        <charset val="238"/>
        <scheme val="minor"/>
      </rPr>
      <t>Cena za 1 rok léčby</t>
    </r>
    <r>
      <rPr>
        <b/>
        <sz val="9"/>
        <color theme="0"/>
        <rFont val="Calibri"/>
        <family val="2"/>
        <charset val="238"/>
        <scheme val="minor"/>
      </rPr>
      <t xml:space="preserve"> vč. aplik. a profylaxe u i.v., s.c. hospital.</t>
    </r>
    <r>
      <rPr>
        <b/>
        <vertAlign val="superscript"/>
        <sz val="9"/>
        <color theme="0"/>
        <rFont val="Calibri"/>
        <family val="2"/>
        <charset val="238"/>
        <scheme val="minor"/>
      </rPr>
      <t>15</t>
    </r>
    <r>
      <rPr>
        <b/>
        <sz val="12"/>
        <color theme="0"/>
        <rFont val="Calibri"/>
        <family val="2"/>
        <charset val="238"/>
        <scheme val="minor"/>
      </rPr>
      <t xml:space="preserve">                  </t>
    </r>
    <r>
      <rPr>
        <b/>
        <sz val="9"/>
        <color theme="0"/>
        <rFont val="Calibri"/>
        <family val="2"/>
        <charset val="238"/>
        <scheme val="minor"/>
      </rPr>
      <t xml:space="preserve">(pro scénář 5. počítající                2 letý horizont)
</t>
    </r>
    <r>
      <rPr>
        <b/>
        <i/>
        <sz val="9"/>
        <color theme="0"/>
        <rFont val="Calibri"/>
        <family val="2"/>
        <charset val="238"/>
        <scheme val="minor"/>
      </rPr>
      <t xml:space="preserve">sloupec </t>
    </r>
    <r>
      <rPr>
        <b/>
        <i/>
        <sz val="9"/>
        <color theme="0"/>
        <rFont val="Calibri"/>
        <family val="2"/>
        <charset val="238"/>
      </rPr>
      <t>β</t>
    </r>
  </si>
  <si>
    <t xml:space="preserve">15 U všech i.v. infuzí počítáno s následujícím (dle zdroje uvedeném pod pozn. 16, počítáno s hodnotou cca 1Kč za bod): kód 9223 -  i.v.infuze (148 Kč/infuzi), kód 6115 - dohled nad infuzí 30 min (170Kč max. 3x za 1 infuzi). </t>
  </si>
  <si>
    <t xml:space="preserve">     Lemtrada navíc cena za herpes profylaxi: 30dní + počet dní aplikace (tj. 5 či 3 dny) 2x200mg/den (cena za Herpesin tbl 25x200mg k 24.10.22 je 172,69 Kč (NCSD)). U s.c. podání aplikované zdravotníkem (dle zdroje uvedeném pod pozn. 16, počítáno s hodnotou cca 1Kč za bod): 36Kč /injekci</t>
  </si>
  <si>
    <t>16 Číselník Seznamu zdravotních výkonů s bodovými hodnotami č. 1389 - platnost od 26.9.2022. Staženo z www.vzp.cz</t>
  </si>
  <si>
    <r>
      <t>1. cyklus: 12 mg/den po dobu 5 dní (60 mg), po 12 měsících: 2. cyklus: 12 mg/den po dobu 3 dní (36 mg), lze zvážit až další 2 cyk. a 12 měs. po 3 dny (36 mg) (</t>
    </r>
    <r>
      <rPr>
        <u/>
        <sz val="9"/>
        <color theme="1"/>
        <rFont val="Calibri"/>
        <family val="2"/>
        <charset val="238"/>
        <scheme val="minor"/>
      </rPr>
      <t>aplik. cca 4 hod, nutná premedikace a také profylaxe (1 měs. po ukončení cyklu) herpetické infekce</t>
    </r>
    <r>
      <rPr>
        <u/>
        <vertAlign val="superscript"/>
        <sz val="9"/>
        <color theme="1"/>
        <rFont val="Calibri"/>
        <family val="2"/>
        <charset val="238"/>
        <scheme val="minor"/>
      </rPr>
      <t>17</t>
    </r>
    <r>
      <rPr>
        <sz val="9"/>
        <color theme="1"/>
        <rFont val="Calibri"/>
        <family val="2"/>
        <charset val="238"/>
        <scheme val="minor"/>
      </rPr>
      <t>)</t>
    </r>
  </si>
  <si>
    <r>
      <t xml:space="preserve">17 Wray S, et al. Infection risk with alemtuzumab decreases over time: pooled analysis of 6-year data from the CAMMS223, CARE-MS I, and CARE-MS II studies and the CAMMS03409 extension study. </t>
    </r>
    <r>
      <rPr>
        <i/>
        <sz val="9"/>
        <color theme="1"/>
        <rFont val="Calibri"/>
        <family val="2"/>
        <charset val="238"/>
        <scheme val="minor"/>
      </rPr>
      <t>Multiple Sclerosis Journal</t>
    </r>
    <r>
      <rPr>
        <sz val="9"/>
        <color theme="1"/>
        <rFont val="Calibri"/>
        <family val="2"/>
        <charset val="238"/>
        <scheme val="minor"/>
      </rPr>
      <t>. 2019, Vol. 25(12) 1605–1617</t>
    </r>
  </si>
  <si>
    <r>
      <t xml:space="preserve">RR
</t>
    </r>
    <r>
      <rPr>
        <b/>
        <i/>
        <sz val="11"/>
        <color theme="0"/>
        <rFont val="Arial"/>
        <family val="2"/>
        <charset val="238"/>
      </rPr>
      <t>terapie</t>
    </r>
    <r>
      <rPr>
        <b/>
        <sz val="11"/>
        <color theme="0"/>
        <rFont val="Arial"/>
        <family val="2"/>
        <charset val="238"/>
      </rPr>
      <t xml:space="preserve"> VS DMF
v paramateru CDP-3</t>
    </r>
    <r>
      <rPr>
        <b/>
        <vertAlign val="superscript"/>
        <sz val="11"/>
        <color theme="0"/>
        <rFont val="Arial"/>
        <family val="2"/>
        <charset val="238"/>
      </rPr>
      <t xml:space="preserve">13,18
</t>
    </r>
    <r>
      <rPr>
        <b/>
        <i/>
        <vertAlign val="superscript"/>
        <sz val="11"/>
        <color theme="0"/>
        <rFont val="Arial"/>
        <family val="2"/>
        <charset val="238"/>
      </rPr>
      <t xml:space="preserve">sloupec </t>
    </r>
    <r>
      <rPr>
        <b/>
        <i/>
        <vertAlign val="superscript"/>
        <sz val="11"/>
        <color theme="0"/>
        <rFont val="Calibri"/>
        <family val="2"/>
        <charset val="238"/>
      </rPr>
      <t>δ</t>
    </r>
  </si>
  <si>
    <r>
      <t xml:space="preserve">RR
</t>
    </r>
    <r>
      <rPr>
        <b/>
        <i/>
        <sz val="11"/>
        <color theme="0"/>
        <rFont val="Arial"/>
        <family val="2"/>
        <charset val="238"/>
      </rPr>
      <t>terapie</t>
    </r>
    <r>
      <rPr>
        <b/>
        <sz val="11"/>
        <color theme="0"/>
        <rFont val="Arial"/>
        <family val="2"/>
        <charset val="238"/>
      </rPr>
      <t xml:space="preserve"> VS DMF
v paramateru CDP-3</t>
    </r>
    <r>
      <rPr>
        <b/>
        <vertAlign val="superscript"/>
        <sz val="11"/>
        <color theme="0"/>
        <rFont val="Arial"/>
        <family val="2"/>
        <charset val="238"/>
      </rPr>
      <t xml:space="preserve">13,18
waning efekt 5 let
</t>
    </r>
    <r>
      <rPr>
        <b/>
        <i/>
        <vertAlign val="superscript"/>
        <sz val="11"/>
        <color theme="0"/>
        <rFont val="Arial"/>
        <family val="2"/>
        <charset val="238"/>
      </rPr>
      <t>sloupec δ´</t>
    </r>
  </si>
  <si>
    <r>
      <t xml:space="preserve">18 Pro alemtuzumab a GA 40mg byly vzaty hodnoty CDP (ve zdroji pod pozn. 13 totiž nebyly) dle Table 7 v: ICER. Final Evidence Report: DMTs for RRMS and PPMS. 2017. </t>
    </r>
    <r>
      <rPr>
        <u/>
        <sz val="9"/>
        <color theme="1"/>
        <rFont val="Calibri"/>
        <family val="2"/>
        <charset val="238"/>
        <scheme val="minor"/>
      </rPr>
      <t>Hodnoty RR pro CDP vůči placebu byly u DMF téměř totožné v obou zdrojích !!!</t>
    </r>
  </si>
  <si>
    <r>
      <t xml:space="preserve">RR
</t>
    </r>
    <r>
      <rPr>
        <b/>
        <i/>
        <sz val="10"/>
        <color theme="0"/>
        <rFont val="Arial"/>
        <family val="2"/>
        <charset val="238"/>
      </rPr>
      <t>terapie</t>
    </r>
    <r>
      <rPr>
        <b/>
        <sz val="10"/>
        <color theme="0"/>
        <rFont val="Arial"/>
        <family val="2"/>
        <charset val="238"/>
      </rPr>
      <t xml:space="preserve"> vs DMF
v paramateru "Přerušení léčby               pro NÚ</t>
    </r>
    <r>
      <rPr>
        <b/>
        <vertAlign val="superscript"/>
        <sz val="10"/>
        <color theme="0"/>
        <rFont val="Arial"/>
        <family val="2"/>
        <charset val="238"/>
      </rPr>
      <t>13</t>
    </r>
    <r>
      <rPr>
        <b/>
        <sz val="10"/>
        <color theme="0"/>
        <rFont val="Arial"/>
        <family val="2"/>
        <charset val="238"/>
      </rPr>
      <t xml:space="preserve">"                                                             </t>
    </r>
    <r>
      <rPr>
        <b/>
        <sz val="9"/>
        <color theme="0"/>
        <rFont val="Arial"/>
        <family val="2"/>
        <charset val="238"/>
      </rPr>
      <t xml:space="preserve">(pro scénáře 1.-3. a 5.)
</t>
    </r>
    <r>
      <rPr>
        <b/>
        <i/>
        <sz val="9"/>
        <color theme="0"/>
        <rFont val="Arial"/>
        <family val="2"/>
        <charset val="238"/>
      </rPr>
      <t xml:space="preserve">sloupec </t>
    </r>
    <r>
      <rPr>
        <b/>
        <i/>
        <sz val="9"/>
        <color theme="0"/>
        <rFont val="Calibri"/>
        <family val="2"/>
        <charset val="238"/>
      </rPr>
      <t>ε</t>
    </r>
  </si>
  <si>
    <r>
      <rPr>
        <b/>
        <sz val="12"/>
        <color theme="1"/>
        <rFont val="Calibri"/>
        <family val="2"/>
        <charset val="238"/>
        <scheme val="minor"/>
      </rPr>
      <t>VUMERITY</t>
    </r>
    <r>
      <rPr>
        <sz val="12"/>
        <color theme="1"/>
        <rFont val="Calibri"/>
        <family val="2"/>
        <charset val="238"/>
        <scheme val="minor"/>
      </rPr>
      <t xml:space="preserve"> 231 mg</t>
    </r>
  </si>
  <si>
    <t>diroximel fumarát</t>
  </si>
  <si>
    <r>
      <rPr>
        <b/>
        <sz val="12"/>
        <color theme="1"/>
        <rFont val="Calibri"/>
        <family val="2"/>
        <charset val="238"/>
        <scheme val="minor"/>
      </rPr>
      <t xml:space="preserve">ZEPOSIA </t>
    </r>
    <r>
      <rPr>
        <sz val="12"/>
        <color theme="1"/>
        <rFont val="Calibri"/>
        <family val="2"/>
        <charset val="238"/>
        <scheme val="minor"/>
      </rPr>
      <t>0,92 mg</t>
    </r>
  </si>
  <si>
    <r>
      <rPr>
        <b/>
        <sz val="12"/>
        <color theme="1"/>
        <rFont val="Calibri"/>
        <family val="2"/>
        <charset val="238"/>
        <scheme val="minor"/>
      </rPr>
      <t xml:space="preserve">PONVORY </t>
    </r>
    <r>
      <rPr>
        <sz val="12"/>
        <color theme="1"/>
        <rFont val="Calibri"/>
        <family val="2"/>
        <charset val="238"/>
        <scheme val="minor"/>
      </rPr>
      <t>20 mg</t>
    </r>
  </si>
  <si>
    <r>
      <rPr>
        <b/>
        <sz val="12"/>
        <color theme="1"/>
        <rFont val="Calibri"/>
        <family val="2"/>
        <charset val="238"/>
        <scheme val="minor"/>
      </rPr>
      <t>TYSABRI</t>
    </r>
    <r>
      <rPr>
        <sz val="12"/>
        <color theme="1"/>
        <rFont val="Calibri"/>
        <family val="2"/>
        <charset val="238"/>
        <scheme val="minor"/>
      </rPr>
      <t xml:space="preserve"> 150 mg inj</t>
    </r>
  </si>
  <si>
    <r>
      <rPr>
        <b/>
        <sz val="12"/>
        <color theme="1"/>
        <rFont val="Calibri"/>
        <family val="2"/>
        <charset val="238"/>
        <scheme val="minor"/>
      </rPr>
      <t>TECFIDERA</t>
    </r>
    <r>
      <rPr>
        <sz val="12"/>
        <color theme="1"/>
        <rFont val="Calibri"/>
        <family val="2"/>
        <charset val="238"/>
        <scheme val="minor"/>
      </rPr>
      <t xml:space="preserve"> 240 mg</t>
    </r>
  </si>
  <si>
    <r>
      <rPr>
        <b/>
        <sz val="12"/>
        <color theme="1"/>
        <rFont val="Calibri"/>
        <family val="2"/>
        <charset val="238"/>
        <scheme val="minor"/>
      </rPr>
      <t>GILENYA</t>
    </r>
    <r>
      <rPr>
        <sz val="12"/>
        <color theme="1"/>
        <rFont val="Calibri"/>
        <family val="2"/>
        <charset val="238"/>
        <scheme val="minor"/>
      </rPr>
      <t xml:space="preserve"> 0,5 mg</t>
    </r>
  </si>
  <si>
    <r>
      <rPr>
        <b/>
        <sz val="12"/>
        <color theme="1"/>
        <rFont val="Calibri"/>
        <family val="2"/>
        <charset val="238"/>
        <scheme val="minor"/>
      </rPr>
      <t>TYSABRI</t>
    </r>
    <r>
      <rPr>
        <sz val="12"/>
        <color theme="1"/>
        <rFont val="Calibri"/>
        <family val="2"/>
        <charset val="238"/>
        <scheme val="minor"/>
      </rPr>
      <t xml:space="preserve"> 300 mg inf</t>
    </r>
  </si>
  <si>
    <r>
      <rPr>
        <b/>
        <sz val="12"/>
        <color theme="1"/>
        <rFont val="Calibri"/>
        <family val="2"/>
        <charset val="238"/>
        <scheme val="minor"/>
      </rPr>
      <t>OCREVUS</t>
    </r>
    <r>
      <rPr>
        <sz val="12"/>
        <color theme="1"/>
        <rFont val="Calibri"/>
        <family val="2"/>
        <charset val="238"/>
        <scheme val="minor"/>
      </rPr>
      <t xml:space="preserve"> 300 mg</t>
    </r>
  </si>
  <si>
    <r>
      <rPr>
        <b/>
        <sz val="12"/>
        <color theme="1"/>
        <rFont val="Calibri"/>
        <family val="2"/>
        <charset val="238"/>
        <scheme val="minor"/>
      </rPr>
      <t>LEMTRADA</t>
    </r>
    <r>
      <rPr>
        <sz val="12"/>
        <color theme="1"/>
        <rFont val="Calibri"/>
        <family val="2"/>
        <charset val="238"/>
        <scheme val="minor"/>
      </rPr>
      <t xml:space="preserve"> 12 mg</t>
    </r>
  </si>
  <si>
    <r>
      <rPr>
        <b/>
        <sz val="12"/>
        <color theme="1"/>
        <rFont val="Calibri"/>
        <family val="2"/>
        <charset val="238"/>
        <scheme val="minor"/>
      </rPr>
      <t>KESIMPTA</t>
    </r>
    <r>
      <rPr>
        <sz val="12"/>
        <color theme="1"/>
        <rFont val="Calibri"/>
        <family val="2"/>
        <charset val="238"/>
        <scheme val="minor"/>
      </rPr>
      <t xml:space="preserve"> 20 mg</t>
    </r>
  </si>
  <si>
    <r>
      <rPr>
        <b/>
        <sz val="12"/>
        <color theme="1"/>
        <rFont val="Calibri"/>
        <family val="2"/>
        <charset val="238"/>
        <scheme val="minor"/>
      </rPr>
      <t>MAYZENT</t>
    </r>
    <r>
      <rPr>
        <sz val="12"/>
        <color theme="1"/>
        <rFont val="Calibri"/>
        <family val="2"/>
        <charset val="238"/>
        <scheme val="minor"/>
      </rPr>
      <t xml:space="preserve"> 2 mg</t>
    </r>
  </si>
  <si>
    <t>SCÉNÁŘ 5                        (2letý hor.)</t>
  </si>
  <si>
    <t>COST-EFFECT                 (jen ARR)</t>
  </si>
  <si>
    <t xml:space="preserve"> SCÉNÁŘ 4                      (waning pro eff. i NÚ)</t>
  </si>
  <si>
    <t>SCÉNÁŘ 2                        (u ALE a CLA riz. 5 let)</t>
  </si>
  <si>
    <r>
      <rPr>
        <b/>
        <sz val="12"/>
        <color theme="1"/>
        <rFont val="Calibri"/>
        <family val="2"/>
        <charset val="238"/>
        <scheme val="minor"/>
      </rPr>
      <t>MAVENCLAD</t>
    </r>
    <r>
      <rPr>
        <sz val="12"/>
        <color theme="1"/>
        <rFont val="Calibri"/>
        <family val="2"/>
        <charset val="238"/>
        <scheme val="minor"/>
      </rPr>
      <t xml:space="preserve"> 10 mg
pac. s hmt. 80 kg</t>
    </r>
  </si>
  <si>
    <r>
      <rPr>
        <b/>
        <sz val="12"/>
        <color theme="1"/>
        <rFont val="Calibri"/>
        <family val="2"/>
        <charset val="238"/>
        <scheme val="minor"/>
      </rPr>
      <t>MAVENCLAD</t>
    </r>
    <r>
      <rPr>
        <sz val="12"/>
        <color theme="1"/>
        <rFont val="Calibri"/>
        <family val="2"/>
        <charset val="238"/>
        <scheme val="minor"/>
      </rPr>
      <t xml:space="preserve"> 10 mg
pac. s hmt. 40 kg</t>
    </r>
  </si>
  <si>
    <r>
      <rPr>
        <b/>
        <sz val="12"/>
        <color theme="1"/>
        <rFont val="Calibri"/>
        <family val="2"/>
        <charset val="238"/>
        <scheme val="minor"/>
      </rPr>
      <t>MAVENCLAD</t>
    </r>
    <r>
      <rPr>
        <sz val="12"/>
        <color theme="1"/>
        <rFont val="Calibri"/>
        <family val="2"/>
        <charset val="238"/>
        <scheme val="minor"/>
      </rPr>
      <t xml:space="preserve"> 10 mg
pac. s hmt. 110 kg</t>
    </r>
  </si>
  <si>
    <r>
      <t>úhradové omezení v ČR k datu 13.10.2022 - zjednodušené formulace dle</t>
    </r>
    <r>
      <rPr>
        <b/>
        <vertAlign val="superscript"/>
        <sz val="12"/>
        <rFont val="Arial"/>
        <family val="2"/>
        <charset val="238"/>
      </rPr>
      <t>1</t>
    </r>
  </si>
  <si>
    <t>1  AISLP - 2022.3s, stav k 1.9.2022</t>
  </si>
  <si>
    <r>
      <t>30 µ</t>
    </r>
    <r>
      <rPr>
        <sz val="9"/>
        <color theme="1"/>
        <rFont val="Calibri"/>
        <family val="2"/>
        <charset val="238"/>
        <scheme val="minor"/>
      </rPr>
      <t>g jedenkrát týdně</t>
    </r>
  </si>
  <si>
    <r>
      <t>44 µ</t>
    </r>
    <r>
      <rPr>
        <sz val="9"/>
        <color theme="1"/>
        <rFont val="Calibri"/>
        <family val="2"/>
        <charset val="238"/>
        <scheme val="minor"/>
      </rPr>
      <t>g třikrát týdně
nebo
22 µg třikrát týdně při netoleraci vyšší dávky</t>
    </r>
  </si>
  <si>
    <r>
      <t>250 µ</t>
    </r>
    <r>
      <rPr>
        <sz val="9"/>
        <color theme="1"/>
        <rFont val="Calibri"/>
        <family val="2"/>
        <charset val="238"/>
        <scheme val="minor"/>
      </rPr>
      <t>g obden</t>
    </r>
  </si>
  <si>
    <r>
      <t>250 µ</t>
    </r>
    <r>
      <rPr>
        <sz val="9"/>
        <color theme="0" tint="-0.499984740745262"/>
        <rFont val="Calibri"/>
        <family val="2"/>
        <charset val="238"/>
        <scheme val="minor"/>
      </rPr>
      <t>g obden</t>
    </r>
  </si>
  <si>
    <r>
      <t>125 µ</t>
    </r>
    <r>
      <rPr>
        <sz val="9"/>
        <color theme="1"/>
        <rFont val="Calibri"/>
        <family val="2"/>
        <charset val="238"/>
        <scheme val="minor"/>
      </rPr>
      <t xml:space="preserve">g každých 14 dní </t>
    </r>
  </si>
  <si>
    <t>2 mg 1x denně po 5denní titraci, kromě pac. s genotypy CYP2C9*2*3 či *1*3, kteří mají udrž. 1x1mg!</t>
  </si>
  <si>
    <r>
      <rPr>
        <b/>
        <sz val="11"/>
        <rFont val="Arial"/>
        <family val="2"/>
        <charset val="238"/>
      </rPr>
      <t>RR</t>
    </r>
    <r>
      <rPr>
        <b/>
        <sz val="10"/>
        <rFont val="Arial"/>
        <family val="2"/>
        <charset val="238"/>
      </rPr>
      <t xml:space="preserve">
</t>
    </r>
    <r>
      <rPr>
        <b/>
        <i/>
        <sz val="10"/>
        <rFont val="Arial"/>
        <family val="2"/>
        <charset val="238"/>
      </rPr>
      <t>terapie</t>
    </r>
    <r>
      <rPr>
        <b/>
        <sz val="10"/>
        <rFont val="Arial"/>
        <family val="2"/>
        <charset val="238"/>
      </rPr>
      <t xml:space="preserve"> vs DMF
v celkovém QALY (DMD naiv. pac.)
 </t>
    </r>
    <r>
      <rPr>
        <b/>
        <sz val="9"/>
        <rFont val="Arial"/>
        <family val="2"/>
        <charset val="238"/>
      </rPr>
      <t xml:space="preserve">(pro scénář 6.)
</t>
    </r>
    <r>
      <rPr>
        <b/>
        <i/>
        <sz val="9"/>
        <rFont val="Arial"/>
        <family val="2"/>
        <charset val="238"/>
      </rPr>
      <t xml:space="preserve">sloupec </t>
    </r>
    <r>
      <rPr>
        <b/>
        <i/>
        <sz val="9"/>
        <rFont val="Calibri"/>
        <family val="2"/>
        <charset val="238"/>
      </rPr>
      <t>ζ</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</si>
</sst>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Kč&quot;"/>
    <numFmt numFmtId="165" formatCode="#,##0\ &quot;Kč&quot;"/>
    <numFmt numFmtId="166" formatCode="_-* #,##0\ [$Kč-405]_-;\-* #,##0\ [$Kč-405]_-;_-* &quot;-&quot;??\ [$Kč-405]_-;_-@_-"/>
    <numFmt numFmtId="167" formatCode="_-* #,##0.00\ [$Kč-405]_-;\-* #,##0.00\ [$Kč-405]_-;_-* &quot;-&quot;??\ [$Kč-405]_-;_-@_-"/>
  </numFmts>
  <fonts count="82" x14ac:knownFonts="1">
    <font>
      <sz val="11"/>
      <color theme="1"/>
      <name val="Calibri"/>
      <family val="2"/>
      <charset val="238"/>
      <scheme val="minor"/>
    </font>
    <font>
      <sz val="9"/>
      <name val="Arial"/>
      <family val="2"/>
      <charset val="238"/>
    </font>
    <font>
      <sz val="10"/>
      <color theme="1"/>
      <name val="Calibri"/>
      <family val="2"/>
      <charset val="238"/>
      <scheme val="minor"/>
    </font>
    <font>
      <sz val="9"/>
      <color theme="1"/>
      <name val="Calibri"/>
      <family val="2"/>
      <charset val="238"/>
      <scheme val="minor"/>
    </font>
    <font>
      <b/>
      <sz val="9"/>
      <name val="Arial"/>
      <family val="2"/>
      <charset val="238"/>
    </font>
    <font>
      <sz val="8"/>
      <name val="Arial"/>
      <family val="2"/>
      <charset val="238"/>
    </font>
    <font>
      <b/>
      <sz val="10"/>
      <name val="Arial"/>
      <family val="2"/>
      <charset val="238"/>
    </font>
    <font>
      <sz val="10"/>
      <color theme="5" tint="-0.249977111117893"/>
      <name val="Arial"/>
      <family val="2"/>
      <charset val="238"/>
    </font>
    <font>
      <sz val="10"/>
      <name val="Calibri"/>
      <family val="2"/>
      <charset val="238"/>
      <scheme val="minor"/>
    </font>
    <font>
      <sz val="8"/>
      <color theme="1"/>
      <name val="Calibri"/>
      <family val="2"/>
      <charset val="238"/>
      <scheme val="minor"/>
    </font>
    <font>
      <u/>
      <sz val="8"/>
      <color theme="1"/>
      <name val="Calibri"/>
      <family val="2"/>
      <charset val="238"/>
      <scheme val="minor"/>
    </font>
    <font>
      <sz val="10"/>
      <name val="Arial"/>
      <family val="2"/>
      <charset val="238"/>
    </font>
    <font>
      <b/>
      <sz val="8"/>
      <name val="Arial"/>
      <family val="2"/>
      <charset val="238"/>
    </font>
    <font>
      <u/>
      <sz val="9"/>
      <color theme="1"/>
      <name val="Calibri"/>
      <family val="2"/>
      <charset val="238"/>
      <scheme val="minor"/>
    </font>
    <font>
      <b/>
      <u val="singleAccounting"/>
      <sz val="10"/>
      <name val="Calibri"/>
      <family val="2"/>
      <charset val="238"/>
      <scheme val="minor"/>
    </font>
    <font>
      <b/>
      <sz val="11"/>
      <color theme="1"/>
      <name val="Calibri"/>
      <family val="2"/>
      <charset val="238"/>
      <scheme val="minor"/>
    </font>
    <font>
      <b/>
      <u/>
      <sz val="10"/>
      <color theme="1"/>
      <name val="Calibri"/>
      <family val="2"/>
      <charset val="238"/>
      <scheme val="minor"/>
    </font>
    <font>
      <sz val="12"/>
      <color theme="1"/>
      <name val="Calibri"/>
      <family val="2"/>
      <charset val="238"/>
      <scheme val="minor"/>
    </font>
    <font>
      <b/>
      <sz val="12"/>
      <color theme="1"/>
      <name val="Calibri"/>
      <family val="2"/>
      <charset val="238"/>
      <scheme val="minor"/>
    </font>
    <font>
      <b/>
      <sz val="10"/>
      <color theme="1"/>
      <name val="Calibri"/>
      <family val="2"/>
      <charset val="238"/>
      <scheme val="minor"/>
    </font>
    <font>
      <b/>
      <sz val="14"/>
      <color theme="0"/>
      <name val="Calibri"/>
      <family val="2"/>
      <charset val="238"/>
      <scheme val="minor"/>
    </font>
    <font>
      <b/>
      <sz val="9"/>
      <color indexed="81"/>
      <name val="Tahoma"/>
      <family val="2"/>
      <charset val="238"/>
    </font>
    <font>
      <sz val="9"/>
      <color indexed="81"/>
      <name val="Tahoma"/>
      <family val="2"/>
      <charset val="238"/>
    </font>
    <font>
      <sz val="11"/>
      <color theme="1"/>
      <name val="Arial"/>
      <family val="2"/>
      <charset val="238"/>
    </font>
    <font>
      <sz val="12"/>
      <color theme="0" tint="-0.499984740745262"/>
      <name val="Calibri"/>
      <family val="2"/>
      <charset val="238"/>
      <scheme val="minor"/>
    </font>
    <font>
      <b/>
      <sz val="12"/>
      <color theme="0" tint="-0.499984740745262"/>
      <name val="Calibri"/>
      <family val="2"/>
      <charset val="238"/>
      <scheme val="minor"/>
    </font>
    <font>
      <sz val="10"/>
      <color theme="0" tint="-0.499984740745262"/>
      <name val="Calibri"/>
      <family val="2"/>
      <charset val="238"/>
      <scheme val="minor"/>
    </font>
    <font>
      <sz val="9"/>
      <color theme="0" tint="-0.499984740745262"/>
      <name val="Calibri"/>
      <family val="2"/>
      <charset val="238"/>
      <scheme val="minor"/>
    </font>
    <font>
      <b/>
      <sz val="14"/>
      <color theme="1"/>
      <name val="Calibri"/>
      <family val="2"/>
      <charset val="238"/>
      <scheme val="minor"/>
    </font>
    <font>
      <b/>
      <sz val="14"/>
      <color theme="0" tint="-0.499984740745262"/>
      <name val="Calibri"/>
      <family val="2"/>
      <charset val="238"/>
      <scheme val="minor"/>
    </font>
    <font>
      <b/>
      <sz val="11"/>
      <color theme="0"/>
      <name val="Arial"/>
      <family val="2"/>
      <charset val="238"/>
    </font>
    <font>
      <b/>
      <i/>
      <sz val="11"/>
      <color theme="0"/>
      <name val="Arial"/>
      <family val="2"/>
      <charset val="238"/>
    </font>
    <font>
      <sz val="18"/>
      <color theme="1"/>
      <name val="Calibri"/>
      <family val="2"/>
      <charset val="238"/>
      <scheme val="minor"/>
    </font>
    <font>
      <b/>
      <sz val="11"/>
      <color rgb="FFFFFF00"/>
      <name val="Calibri"/>
      <family val="2"/>
      <charset val="238"/>
      <scheme val="minor"/>
    </font>
    <font>
      <b/>
      <sz val="20"/>
      <color theme="1"/>
      <name val="Calibri"/>
      <family val="2"/>
      <charset val="238"/>
      <scheme val="minor"/>
    </font>
    <font>
      <b/>
      <vertAlign val="superscript"/>
      <sz val="11"/>
      <color theme="0"/>
      <name val="Arial"/>
      <family val="2"/>
      <charset val="238"/>
    </font>
    <font>
      <vertAlign val="superscript"/>
      <sz val="9"/>
      <color theme="1"/>
      <name val="Calibri"/>
      <family val="2"/>
      <charset val="238"/>
      <scheme val="minor"/>
    </font>
    <font>
      <i/>
      <sz val="9"/>
      <color indexed="81"/>
      <name val="Tahoma"/>
      <family val="2"/>
      <charset val="238"/>
    </font>
    <font>
      <b/>
      <sz val="10"/>
      <color theme="0"/>
      <name val="Arial"/>
      <family val="2"/>
      <charset val="238"/>
    </font>
    <font>
      <b/>
      <i/>
      <sz val="10"/>
      <color theme="0"/>
      <name val="Arial"/>
      <family val="2"/>
      <charset val="238"/>
    </font>
    <font>
      <b/>
      <sz val="9"/>
      <color theme="0"/>
      <name val="Calibri"/>
      <family val="2"/>
      <charset val="238"/>
      <scheme val="minor"/>
    </font>
    <font>
      <b/>
      <sz val="12"/>
      <color theme="0"/>
      <name val="Calibri"/>
      <family val="2"/>
      <charset val="238"/>
      <scheme val="minor"/>
    </font>
    <font>
      <i/>
      <sz val="9"/>
      <color theme="1"/>
      <name val="Calibri"/>
      <family val="2"/>
      <charset val="238"/>
      <scheme val="minor"/>
    </font>
    <font>
      <b/>
      <sz val="9"/>
      <color theme="0"/>
      <name val="Arial"/>
      <family val="2"/>
      <charset val="238"/>
    </font>
    <font>
      <u/>
      <sz val="9"/>
      <color indexed="81"/>
      <name val="Tahoma"/>
      <family val="2"/>
      <charset val="238"/>
    </font>
    <font>
      <b/>
      <sz val="11"/>
      <name val="Arial"/>
      <family val="2"/>
      <charset val="238"/>
    </font>
    <font>
      <b/>
      <i/>
      <sz val="10"/>
      <name val="Arial"/>
      <family val="2"/>
      <charset val="238"/>
    </font>
    <font>
      <sz val="18"/>
      <color theme="1" tint="0.499984740745262"/>
      <name val="Calibri"/>
      <family val="2"/>
      <charset val="238"/>
      <scheme val="minor"/>
    </font>
    <font>
      <b/>
      <i/>
      <sz val="9"/>
      <color theme="0"/>
      <name val="Calibri"/>
      <family val="2"/>
      <charset val="238"/>
      <scheme val="minor"/>
    </font>
    <font>
      <b/>
      <i/>
      <sz val="9"/>
      <color theme="0"/>
      <name val="Calibri"/>
      <family val="2"/>
      <charset val="238"/>
    </font>
    <font>
      <b/>
      <i/>
      <vertAlign val="superscript"/>
      <sz val="11"/>
      <color theme="0"/>
      <name val="Arial"/>
      <family val="2"/>
      <charset val="238"/>
    </font>
    <font>
      <b/>
      <i/>
      <vertAlign val="superscript"/>
      <sz val="11"/>
      <color theme="0"/>
      <name val="Calibri"/>
      <family val="2"/>
      <charset val="238"/>
    </font>
    <font>
      <b/>
      <i/>
      <sz val="9"/>
      <color theme="0"/>
      <name val="Arial"/>
      <family val="2"/>
      <charset val="238"/>
    </font>
    <font>
      <b/>
      <i/>
      <sz val="9"/>
      <name val="Arial"/>
      <family val="2"/>
      <charset val="238"/>
    </font>
    <font>
      <b/>
      <i/>
      <sz val="9"/>
      <name val="Calibri"/>
      <family val="2"/>
      <charset val="238"/>
    </font>
    <font>
      <b/>
      <u/>
      <sz val="11"/>
      <color rgb="FFFFFF00"/>
      <name val="Calibri"/>
      <family val="2"/>
      <charset val="238"/>
      <scheme val="minor"/>
    </font>
    <font>
      <b/>
      <sz val="11"/>
      <color rgb="FFFFFF00"/>
      <name val="Calibri"/>
      <family val="2"/>
      <charset val="238"/>
    </font>
    <font>
      <i/>
      <sz val="14"/>
      <color theme="1"/>
      <name val="Calibri"/>
      <family val="2"/>
      <charset val="238"/>
      <scheme val="minor"/>
    </font>
    <font>
      <i/>
      <sz val="11"/>
      <color theme="1"/>
      <name val="Calibri"/>
      <family val="2"/>
      <charset val="238"/>
      <scheme val="minor"/>
    </font>
    <font>
      <b/>
      <sz val="9"/>
      <color theme="1"/>
      <name val="Calibri"/>
      <family val="2"/>
      <charset val="238"/>
      <scheme val="minor"/>
    </font>
    <font>
      <sz val="18"/>
      <name val="Calibri"/>
      <family val="2"/>
      <charset val="238"/>
      <scheme val="minor"/>
    </font>
    <font>
      <b/>
      <sz val="14"/>
      <name val="Calibri"/>
      <family val="2"/>
      <charset val="238"/>
      <scheme val="minor"/>
    </font>
    <font>
      <sz val="11"/>
      <name val="Calibri"/>
      <family val="2"/>
      <charset val="238"/>
      <scheme val="minor"/>
    </font>
    <font>
      <sz val="8.25"/>
      <color theme="1"/>
      <name val="Arial"/>
      <family val="2"/>
      <charset val="238"/>
    </font>
    <font>
      <vertAlign val="superscript"/>
      <sz val="8"/>
      <name val="Arial"/>
      <family val="2"/>
      <charset val="238"/>
    </font>
    <font>
      <sz val="10"/>
      <color rgb="FF000000"/>
      <name val="Calibri"/>
      <family val="2"/>
      <charset val="238"/>
      <scheme val="minor"/>
    </font>
    <font>
      <b/>
      <sz val="12"/>
      <color rgb="FF000000"/>
      <name val="Calibri"/>
      <family val="2"/>
      <charset val="238"/>
      <scheme val="minor"/>
    </font>
    <font>
      <b/>
      <sz val="10"/>
      <color rgb="FF000000"/>
      <name val="Calibri"/>
      <family val="2"/>
      <charset val="238"/>
      <scheme val="minor"/>
    </font>
    <font>
      <b/>
      <sz val="10"/>
      <name val="Calibri"/>
      <family val="2"/>
      <charset val="238"/>
      <scheme val="minor"/>
    </font>
    <font>
      <b/>
      <sz val="12"/>
      <name val="Arial"/>
      <family val="2"/>
      <charset val="238"/>
    </font>
    <font>
      <vertAlign val="superscript"/>
      <sz val="10"/>
      <color rgb="FF000000"/>
      <name val="Calibri"/>
      <family val="2"/>
      <charset val="238"/>
      <scheme val="minor"/>
    </font>
    <font>
      <u/>
      <sz val="10"/>
      <color rgb="FF000000"/>
      <name val="Calibri"/>
      <family val="2"/>
      <charset val="238"/>
      <scheme val="minor"/>
    </font>
    <font>
      <b/>
      <sz val="11"/>
      <color rgb="FF000000"/>
      <name val="Calibri"/>
      <family val="2"/>
      <charset val="238"/>
      <scheme val="minor"/>
    </font>
    <font>
      <u/>
      <sz val="10"/>
      <color theme="1"/>
      <name val="Calibri"/>
      <family val="2"/>
      <charset val="238"/>
      <scheme val="minor"/>
    </font>
    <font>
      <b/>
      <sz val="10"/>
      <color theme="0"/>
      <name val="Calibri"/>
      <family val="2"/>
      <charset val="238"/>
      <scheme val="minor"/>
    </font>
    <font>
      <b/>
      <vertAlign val="superscript"/>
      <sz val="10"/>
      <color theme="0"/>
      <name val="Calibri"/>
      <family val="2"/>
      <charset val="238"/>
      <scheme val="minor"/>
    </font>
    <font>
      <b/>
      <vertAlign val="superscript"/>
      <sz val="9"/>
      <color theme="0"/>
      <name val="Calibri"/>
      <family val="2"/>
      <charset val="238"/>
      <scheme val="minor"/>
    </font>
    <font>
      <u/>
      <vertAlign val="superscript"/>
      <sz val="9"/>
      <color theme="1"/>
      <name val="Calibri"/>
      <family val="2"/>
      <charset val="238"/>
      <scheme val="minor"/>
    </font>
    <font>
      <sz val="9"/>
      <color indexed="81"/>
      <name val="Tahoma"/>
      <charset val="1"/>
    </font>
    <font>
      <b/>
      <vertAlign val="superscript"/>
      <sz val="10"/>
      <color theme="0"/>
      <name val="Arial"/>
      <family val="2"/>
      <charset val="238"/>
    </font>
    <font>
      <b/>
      <vertAlign val="superscript"/>
      <sz val="12"/>
      <name val="Arial"/>
      <family val="2"/>
      <charset val="238"/>
    </font>
    <font>
      <b/>
      <sz val="9"/>
      <color indexed="81"/>
      <name val="Tahoma"/>
      <charset val="1"/>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002060"/>
        <bgColor indexed="64"/>
      </patternFill>
    </fill>
    <fill>
      <patternFill patternType="solid">
        <fgColor rgb="FFFFFF00"/>
        <bgColor indexed="64"/>
      </patternFill>
    </fill>
    <fill>
      <patternFill patternType="solid">
        <fgColor rgb="FFD60093"/>
        <bgColor indexed="64"/>
      </patternFill>
    </fill>
    <fill>
      <patternFill patternType="solid">
        <fgColor rgb="FF993366"/>
        <bgColor indexed="64"/>
      </patternFill>
    </fill>
    <fill>
      <patternFill patternType="solid">
        <fgColor rgb="FF9900FF"/>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0" fillId="0" borderId="0" xfId="0" applyAlignment="1">
      <alignment horizontal="center" vertical="center"/>
    </xf>
    <xf numFmtId="165" fontId="7" fillId="0" borderId="0" xfId="0" applyNumberFormat="1" applyFont="1"/>
    <xf numFmtId="164" fontId="0" fillId="0" borderId="0" xfId="0" applyNumberFormat="1"/>
    <xf numFmtId="0" fontId="0" fillId="0" borderId="0" xfId="0" applyFont="1"/>
    <xf numFmtId="0" fontId="2" fillId="0" borderId="0" xfId="0" applyFont="1"/>
    <xf numFmtId="0" fontId="0" fillId="0" borderId="0" xfId="0" applyAlignment="1">
      <alignment vertical="center"/>
    </xf>
    <xf numFmtId="167" fontId="0" fillId="0" borderId="0" xfId="0" applyNumberFormat="1" applyFont="1"/>
    <xf numFmtId="0" fontId="2" fillId="0" borderId="0" xfId="0" applyFont="1" applyAlignment="1">
      <alignment vertical="center"/>
    </xf>
    <xf numFmtId="0" fontId="13" fillId="0" borderId="0" xfId="0" applyFont="1"/>
    <xf numFmtId="0" fontId="2" fillId="0" borderId="0" xfId="0" applyFont="1" applyFill="1" applyAlignment="1">
      <alignment vertical="center"/>
    </xf>
    <xf numFmtId="0" fontId="0" fillId="0" borderId="0" xfId="0" applyFill="1"/>
    <xf numFmtId="0" fontId="2" fillId="0" borderId="0" xfId="0" applyFont="1" applyFill="1"/>
    <xf numFmtId="0" fontId="3" fillId="0" borderId="0" xfId="0" applyFont="1" applyFill="1" applyAlignment="1"/>
    <xf numFmtId="0" fontId="3" fillId="0" borderId="0" xfId="0" applyFont="1" applyFill="1" applyBorder="1" applyAlignment="1"/>
    <xf numFmtId="0" fontId="2" fillId="0" borderId="0" xfId="0" applyFont="1" applyFill="1" applyBorder="1" applyAlignment="1"/>
    <xf numFmtId="0" fontId="3" fillId="0" borderId="0" xfId="0" applyFont="1" applyFill="1"/>
    <xf numFmtId="0" fontId="3" fillId="0" borderId="0" xfId="0" applyNumberFormat="1" applyFont="1" applyFill="1"/>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64" fontId="0" fillId="0" borderId="1" xfId="0" applyNumberFormat="1" applyFont="1" applyFill="1" applyBorder="1" applyAlignment="1">
      <alignment horizontal="center" vertical="center"/>
    </xf>
    <xf numFmtId="166"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164" fontId="23" fillId="0" borderId="1" xfId="0" applyNumberFormat="1" applyFont="1" applyBorder="1" applyAlignment="1">
      <alignment horizontal="center" vertical="center"/>
    </xf>
    <xf numFmtId="0" fontId="2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0" fontId="30" fillId="7" borderId="1" xfId="0" applyFont="1" applyFill="1" applyBorder="1" applyAlignment="1">
      <alignment horizontal="center" vertical="center" wrapText="1"/>
    </xf>
    <xf numFmtId="164" fontId="28" fillId="10" borderId="1" xfId="0" applyNumberFormat="1" applyFont="1" applyFill="1" applyBorder="1" applyAlignment="1">
      <alignment horizontal="center" vertical="center" wrapText="1"/>
    </xf>
    <xf numFmtId="2" fontId="32" fillId="10" borderId="1" xfId="0" applyNumberFormat="1" applyFont="1" applyFill="1" applyBorder="1" applyAlignment="1">
      <alignment horizontal="center" vertical="center" wrapText="1"/>
    </xf>
    <xf numFmtId="2" fontId="34"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38" fillId="7" borderId="1" xfId="0" applyFont="1" applyFill="1" applyBorder="1" applyAlignment="1">
      <alignment horizontal="center" vertical="center" wrapText="1"/>
    </xf>
    <xf numFmtId="0" fontId="41" fillId="9" borderId="1"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2" fontId="34" fillId="0" borderId="3" xfId="0" applyNumberFormat="1" applyFont="1" applyBorder="1" applyAlignment="1">
      <alignment horizontal="center" vertical="center"/>
    </xf>
    <xf numFmtId="0" fontId="30" fillId="8" borderId="1"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2" fontId="32" fillId="10" borderId="3" xfId="0" applyNumberFormat="1" applyFont="1" applyFill="1" applyBorder="1" applyAlignment="1">
      <alignment horizontal="center" vertical="center" wrapText="1"/>
    </xf>
    <xf numFmtId="2" fontId="34" fillId="10" borderId="3" xfId="0" applyNumberFormat="1" applyFont="1" applyFill="1" applyBorder="1" applyAlignment="1">
      <alignment horizontal="center" vertical="center"/>
    </xf>
    <xf numFmtId="2" fontId="47" fillId="0" borderId="1" xfId="0" applyNumberFormat="1"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2" fontId="57" fillId="0" borderId="1" xfId="0" applyNumberFormat="1" applyFont="1" applyBorder="1" applyAlignment="1">
      <alignment horizontal="center" vertical="center"/>
    </xf>
    <xf numFmtId="0" fontId="3" fillId="0" borderId="0" xfId="0" applyFont="1"/>
    <xf numFmtId="0" fontId="2" fillId="0" borderId="0" xfId="0" applyFont="1" applyAlignment="1"/>
    <xf numFmtId="0" fontId="59" fillId="0" borderId="0" xfId="0" applyFont="1"/>
    <xf numFmtId="0" fontId="15" fillId="0" borderId="0" xfId="0" applyFont="1"/>
    <xf numFmtId="0"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wrapText="1"/>
    </xf>
    <xf numFmtId="2" fontId="60" fillId="0" borderId="1" xfId="0" applyNumberFormat="1" applyFont="1" applyFill="1" applyBorder="1" applyAlignment="1">
      <alignment horizontal="center" vertical="center" wrapText="1"/>
    </xf>
    <xf numFmtId="2" fontId="62"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5" fillId="0" borderId="1" xfId="0" applyFont="1" applyBorder="1" applyAlignment="1">
      <alignment horizontal="center" vertical="center"/>
    </xf>
    <xf numFmtId="0" fontId="65" fillId="0" borderId="1" xfId="0" applyFont="1" applyBorder="1" applyAlignment="1">
      <alignment horizontal="center" vertical="center" wrapText="1"/>
    </xf>
    <xf numFmtId="0" fontId="19" fillId="17" borderId="1" xfId="0" applyNumberFormat="1" applyFont="1" applyFill="1" applyBorder="1" applyAlignment="1">
      <alignment horizontal="center" vertical="center" wrapText="1"/>
    </xf>
    <xf numFmtId="0" fontId="68" fillId="17" borderId="1" xfId="0" applyNumberFormat="1" applyFont="1" applyFill="1" applyBorder="1" applyAlignment="1">
      <alignment horizontal="center" vertical="center" wrapText="1"/>
    </xf>
    <xf numFmtId="0" fontId="69" fillId="18"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7" fillId="17" borderId="3" xfId="0" applyFont="1" applyFill="1" applyBorder="1" applyAlignment="1">
      <alignment horizontal="center" vertical="center" wrapText="1"/>
    </xf>
    <xf numFmtId="0" fontId="65" fillId="12"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7" fillId="17" borderId="4" xfId="0" applyFont="1" applyFill="1" applyBorder="1" applyAlignment="1">
      <alignment vertical="center" wrapText="1"/>
    </xf>
    <xf numFmtId="0" fontId="17" fillId="0" borderId="1" xfId="0" applyFont="1" applyBorder="1" applyAlignment="1">
      <alignment horizontal="center" vertical="center" wrapText="1"/>
    </xf>
    <xf numFmtId="0" fontId="72" fillId="12" borderId="4" xfId="0" applyFont="1" applyFill="1" applyBorder="1" applyAlignment="1">
      <alignment horizontal="center" vertical="center" wrapText="1"/>
    </xf>
    <xf numFmtId="0" fontId="67" fillId="12" borderId="3" xfId="0" applyFont="1" applyFill="1" applyBorder="1" applyAlignment="1">
      <alignment horizontal="center" vertical="center" wrapText="1"/>
    </xf>
    <xf numFmtId="2" fontId="47" fillId="21" borderId="1" xfId="0" applyNumberFormat="1" applyFont="1" applyFill="1" applyBorder="1" applyAlignment="1">
      <alignment horizontal="center" vertical="center" wrapText="1"/>
    </xf>
    <xf numFmtId="2" fontId="47" fillId="22" borderId="1" xfId="0" applyNumberFormat="1" applyFont="1" applyFill="1" applyBorder="1" applyAlignment="1">
      <alignment horizontal="center" vertical="center" wrapText="1"/>
    </xf>
    <xf numFmtId="2" fontId="32" fillId="1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7" fillId="16" borderId="1" xfId="0" applyFont="1" applyFill="1" applyBorder="1" applyAlignment="1">
      <alignment horizontal="center" vertical="center" wrapText="1"/>
    </xf>
    <xf numFmtId="0" fontId="33" fillId="11" borderId="0" xfId="0" applyFont="1" applyFill="1" applyBorder="1" applyAlignment="1">
      <alignment horizontal="center" vertical="center" wrapText="1"/>
    </xf>
    <xf numFmtId="0" fontId="26"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68" fillId="17" borderId="1" xfId="0" applyNumberFormat="1" applyFont="1" applyFill="1" applyBorder="1" applyAlignment="1">
      <alignment horizontal="center" vertical="center" wrapText="1"/>
    </xf>
    <xf numFmtId="0" fontId="66" fillId="17" borderId="4" xfId="0" applyFont="1" applyFill="1" applyBorder="1" applyAlignment="1">
      <alignment horizontal="center" vertical="center" wrapText="1"/>
    </xf>
    <xf numFmtId="0" fontId="66" fillId="17" borderId="5" xfId="0" applyFont="1" applyFill="1" applyBorder="1" applyAlignment="1">
      <alignment horizontal="center" vertical="center" wrapText="1"/>
    </xf>
    <xf numFmtId="0" fontId="66" fillId="17" borderId="3" xfId="0" applyFont="1" applyFill="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3" xfId="0" applyFont="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3" xfId="0" applyNumberFormat="1" applyFont="1" applyFill="1" applyBorder="1" applyAlignment="1">
      <alignment horizontal="center" vertical="center" wrapText="1"/>
    </xf>
    <xf numFmtId="0" fontId="3" fillId="19" borderId="4" xfId="0" applyNumberFormat="1" applyFont="1" applyFill="1" applyBorder="1" applyAlignment="1">
      <alignment horizontal="center" vertical="center" wrapText="1"/>
    </xf>
    <xf numFmtId="0" fontId="3" fillId="19" borderId="5" xfId="0" applyNumberFormat="1" applyFont="1" applyFill="1" applyBorder="1" applyAlignment="1">
      <alignment horizontal="center" vertical="center" wrapText="1"/>
    </xf>
    <xf numFmtId="0" fontId="3" fillId="19" borderId="3" xfId="0" applyNumberFormat="1" applyFont="1" applyFill="1" applyBorder="1" applyAlignment="1">
      <alignment horizontal="center" vertical="center" wrapText="1"/>
    </xf>
  </cellXfs>
  <cellStyles count="1">
    <cellStyle name="Normální" xfId="0" builtinId="0"/>
  </cellStyles>
  <dxfs count="0"/>
  <tableStyles count="0" defaultTableStyle="TableStyleMedium9" defaultPivotStyle="PivotStyleLight16"/>
  <colors>
    <mruColors>
      <color rgb="FF660066"/>
      <color rgb="FF9900FF"/>
      <color rgb="FF9933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3962440346328"/>
          <c:y val="1.3977076949435079E-2"/>
          <c:w val="0.76901286871037544"/>
          <c:h val="0.94914184391023704"/>
        </c:manualLayout>
      </c:layout>
      <c:barChart>
        <c:barDir val="col"/>
        <c:grouping val="clustered"/>
        <c:varyColors val="0"/>
        <c:ser>
          <c:idx val="0"/>
          <c:order val="0"/>
          <c:tx>
            <c:strRef>
              <c:f>'Sloupcový graf scénářů'!$C$2</c:f>
              <c:strCache>
                <c:ptCount val="1"/>
                <c:pt idx="0">
                  <c:v>SCÉNÁŘ 1</c:v>
                </c:pt>
              </c:strCache>
            </c:strRef>
          </c:tx>
          <c:invertIfNegative val="0"/>
          <c:cat>
            <c:strRef>
              <c:f>'Sloupcový graf scénářů'!$B$3:$B$13</c:f>
              <c:strCache>
                <c:ptCount val="11"/>
                <c:pt idx="0">
                  <c:v>AUBAGIO 14 mg</c:v>
                </c:pt>
                <c:pt idx="1">
                  <c:v>AVONEX 30 mg</c:v>
                </c:pt>
                <c:pt idx="2">
                  <c:v>REBIF 22 mg</c:v>
                </c:pt>
                <c:pt idx="3">
                  <c:v>REBIF 44 mg</c:v>
                </c:pt>
                <c:pt idx="4">
                  <c:v>BETAFERON 250 ug/ml</c:v>
                </c:pt>
                <c:pt idx="5">
                  <c:v>PLEGRIDY 125 ug</c:v>
                </c:pt>
                <c:pt idx="6">
                  <c:v>COPAXONE 20 mg</c:v>
                </c:pt>
                <c:pt idx="7">
                  <c:v>COPAXONE 40 mg</c:v>
                </c:pt>
                <c:pt idx="8">
                  <c:v>VUMERITY 231 mg</c:v>
                </c:pt>
                <c:pt idx="9">
                  <c:v>PONVORY 20 mg</c:v>
                </c:pt>
                <c:pt idx="10">
                  <c:v>ZEPOSIA 0,92 mg</c:v>
                </c:pt>
              </c:strCache>
            </c:strRef>
          </c:cat>
          <c:val>
            <c:numRef>
              <c:f>'Sloupcový graf scénářů'!$C$3:$C$13</c:f>
              <c:numCache>
                <c:formatCode>0.00</c:formatCode>
                <c:ptCount val="11"/>
                <c:pt idx="0">
                  <c:v>0.8508902967322769</c:v>
                </c:pt>
                <c:pt idx="1">
                  <c:v>0.97977218117778997</c:v>
                </c:pt>
                <c:pt idx="2">
                  <c:v>0.63047772016603343</c:v>
                </c:pt>
                <c:pt idx="3">
                  <c:v>1.4792613627494362</c:v>
                </c:pt>
                <c:pt idx="4">
                  <c:v>1.2714555319329057</c:v>
                </c:pt>
                <c:pt idx="5">
                  <c:v>1.6598055836809116</c:v>
                </c:pt>
                <c:pt idx="6">
                  <c:v>0.76514732889495385</c:v>
                </c:pt>
                <c:pt idx="7">
                  <c:v>1.0332158002061378</c:v>
                </c:pt>
                <c:pt idx="8">
                  <c:v>1.0197681067179731</c:v>
                </c:pt>
                <c:pt idx="9">
                  <c:v>1.543491265185142</c:v>
                </c:pt>
                <c:pt idx="10">
                  <c:v>1.0496592139475704</c:v>
                </c:pt>
              </c:numCache>
            </c:numRef>
          </c:val>
          <c:extLst>
            <c:ext xmlns:c16="http://schemas.microsoft.com/office/drawing/2014/chart" uri="{C3380CC4-5D6E-409C-BE32-E72D297353CC}">
              <c16:uniqueId val="{00000000-E691-446A-A599-F6CC2AEB97D9}"/>
            </c:ext>
          </c:extLst>
        </c:ser>
        <c:ser>
          <c:idx val="1"/>
          <c:order val="1"/>
          <c:tx>
            <c:strRef>
              <c:f>'Sloupcový graf scénářů'!$D$2</c:f>
              <c:strCache>
                <c:ptCount val="1"/>
                <c:pt idx="0">
                  <c:v>SCÉNÁŘ 2                        (u ALE a CLA riz. 5 let)</c:v>
                </c:pt>
              </c:strCache>
            </c:strRef>
          </c:tx>
          <c:invertIfNegative val="0"/>
          <c:cat>
            <c:strRef>
              <c:f>'Sloupcový graf scénářů'!$B$3:$B$13</c:f>
              <c:strCache>
                <c:ptCount val="11"/>
                <c:pt idx="0">
                  <c:v>AUBAGIO 14 mg</c:v>
                </c:pt>
                <c:pt idx="1">
                  <c:v>AVONEX 30 mg</c:v>
                </c:pt>
                <c:pt idx="2">
                  <c:v>REBIF 22 mg</c:v>
                </c:pt>
                <c:pt idx="3">
                  <c:v>REBIF 44 mg</c:v>
                </c:pt>
                <c:pt idx="4">
                  <c:v>BETAFERON 250 ug/ml</c:v>
                </c:pt>
                <c:pt idx="5">
                  <c:v>PLEGRIDY 125 ug</c:v>
                </c:pt>
                <c:pt idx="6">
                  <c:v>COPAXONE 20 mg</c:v>
                </c:pt>
                <c:pt idx="7">
                  <c:v>COPAXONE 40 mg</c:v>
                </c:pt>
                <c:pt idx="8">
                  <c:v>VUMERITY 231 mg</c:v>
                </c:pt>
                <c:pt idx="9">
                  <c:v>PONVORY 20 mg</c:v>
                </c:pt>
                <c:pt idx="10">
                  <c:v>ZEPOSIA 0,92 mg</c:v>
                </c:pt>
              </c:strCache>
            </c:strRef>
          </c:cat>
          <c:val>
            <c:numRef>
              <c:f>'Sloupcový graf scénářů'!$D$3:$D$13</c:f>
              <c:numCache>
                <c:formatCode>0.00</c:formatCode>
                <c:ptCount val="11"/>
                <c:pt idx="0">
                  <c:v>0.8508902967322769</c:v>
                </c:pt>
                <c:pt idx="1">
                  <c:v>0.97977218117778997</c:v>
                </c:pt>
                <c:pt idx="2">
                  <c:v>0.63047772016603343</c:v>
                </c:pt>
                <c:pt idx="3">
                  <c:v>1.4792613627494362</c:v>
                </c:pt>
                <c:pt idx="4">
                  <c:v>1.2714555319329057</c:v>
                </c:pt>
                <c:pt idx="5">
                  <c:v>1.6598055836809116</c:v>
                </c:pt>
                <c:pt idx="6">
                  <c:v>0.76514732889495385</c:v>
                </c:pt>
                <c:pt idx="7">
                  <c:v>1.0332158002061378</c:v>
                </c:pt>
                <c:pt idx="8">
                  <c:v>1.0197681067179731</c:v>
                </c:pt>
                <c:pt idx="9">
                  <c:v>1.543491265185142</c:v>
                </c:pt>
                <c:pt idx="10">
                  <c:v>1.0496592139475704</c:v>
                </c:pt>
              </c:numCache>
            </c:numRef>
          </c:val>
          <c:extLst>
            <c:ext xmlns:c16="http://schemas.microsoft.com/office/drawing/2014/chart" uri="{C3380CC4-5D6E-409C-BE32-E72D297353CC}">
              <c16:uniqueId val="{00000001-E691-446A-A599-F6CC2AEB97D9}"/>
            </c:ext>
          </c:extLst>
        </c:ser>
        <c:ser>
          <c:idx val="2"/>
          <c:order val="2"/>
          <c:tx>
            <c:strRef>
              <c:f>'Sloupcový graf scénářů'!$E$2</c:f>
              <c:strCache>
                <c:ptCount val="1"/>
                <c:pt idx="0">
                  <c:v> SCÉNÁŘ 3</c:v>
                </c:pt>
              </c:strCache>
            </c:strRef>
          </c:tx>
          <c:invertIfNegative val="0"/>
          <c:cat>
            <c:strRef>
              <c:f>'Sloupcový graf scénářů'!$B$3:$B$13</c:f>
              <c:strCache>
                <c:ptCount val="11"/>
                <c:pt idx="0">
                  <c:v>AUBAGIO 14 mg</c:v>
                </c:pt>
                <c:pt idx="1">
                  <c:v>AVONEX 30 mg</c:v>
                </c:pt>
                <c:pt idx="2">
                  <c:v>REBIF 22 mg</c:v>
                </c:pt>
                <c:pt idx="3">
                  <c:v>REBIF 44 mg</c:v>
                </c:pt>
                <c:pt idx="4">
                  <c:v>BETAFERON 250 ug/ml</c:v>
                </c:pt>
                <c:pt idx="5">
                  <c:v>PLEGRIDY 125 ug</c:v>
                </c:pt>
                <c:pt idx="6">
                  <c:v>COPAXONE 20 mg</c:v>
                </c:pt>
                <c:pt idx="7">
                  <c:v>COPAXONE 40 mg</c:v>
                </c:pt>
                <c:pt idx="8">
                  <c:v>VUMERITY 231 mg</c:v>
                </c:pt>
                <c:pt idx="9">
                  <c:v>PONVORY 20 mg</c:v>
                </c:pt>
                <c:pt idx="10">
                  <c:v>ZEPOSIA 0,92 mg</c:v>
                </c:pt>
              </c:strCache>
            </c:strRef>
          </c:cat>
          <c:val>
            <c:numRef>
              <c:f>'Sloupcový graf scénářů'!$E$3:$E$13</c:f>
              <c:numCache>
                <c:formatCode>0.00</c:formatCode>
                <c:ptCount val="11"/>
                <c:pt idx="0">
                  <c:v>0.8508902967322769</c:v>
                </c:pt>
                <c:pt idx="1">
                  <c:v>0.97977218117778997</c:v>
                </c:pt>
                <c:pt idx="2">
                  <c:v>0.63047772016603343</c:v>
                </c:pt>
                <c:pt idx="3">
                  <c:v>1.4792613627494362</c:v>
                </c:pt>
                <c:pt idx="4">
                  <c:v>1.2714555319329057</c:v>
                </c:pt>
                <c:pt idx="5">
                  <c:v>1.6598055836809116</c:v>
                </c:pt>
                <c:pt idx="6">
                  <c:v>0.76514732889495385</c:v>
                </c:pt>
                <c:pt idx="7">
                  <c:v>1.0332158002061378</c:v>
                </c:pt>
                <c:pt idx="8">
                  <c:v>1.0197681067179731</c:v>
                </c:pt>
                <c:pt idx="9">
                  <c:v>1.543491265185142</c:v>
                </c:pt>
                <c:pt idx="10">
                  <c:v>1.0496592139475704</c:v>
                </c:pt>
              </c:numCache>
            </c:numRef>
          </c:val>
          <c:extLst>
            <c:ext xmlns:c16="http://schemas.microsoft.com/office/drawing/2014/chart" uri="{C3380CC4-5D6E-409C-BE32-E72D297353CC}">
              <c16:uniqueId val="{00000002-E691-446A-A599-F6CC2AEB97D9}"/>
            </c:ext>
          </c:extLst>
        </c:ser>
        <c:ser>
          <c:idx val="3"/>
          <c:order val="3"/>
          <c:tx>
            <c:strRef>
              <c:f>'Sloupcový graf scénářů'!$F$2</c:f>
              <c:strCache>
                <c:ptCount val="1"/>
                <c:pt idx="0">
                  <c:v> SCÉNÁŘ 4                      (waning pro eff. i NÚ)</c:v>
                </c:pt>
              </c:strCache>
            </c:strRef>
          </c:tx>
          <c:invertIfNegative val="0"/>
          <c:cat>
            <c:strRef>
              <c:f>'Sloupcový graf scénářů'!$B$3:$B$13</c:f>
              <c:strCache>
                <c:ptCount val="11"/>
                <c:pt idx="0">
                  <c:v>AUBAGIO 14 mg</c:v>
                </c:pt>
                <c:pt idx="1">
                  <c:v>AVONEX 30 mg</c:v>
                </c:pt>
                <c:pt idx="2">
                  <c:v>REBIF 22 mg</c:v>
                </c:pt>
                <c:pt idx="3">
                  <c:v>REBIF 44 mg</c:v>
                </c:pt>
                <c:pt idx="4">
                  <c:v>BETAFERON 250 ug/ml</c:v>
                </c:pt>
                <c:pt idx="5">
                  <c:v>PLEGRIDY 125 ug</c:v>
                </c:pt>
                <c:pt idx="6">
                  <c:v>COPAXONE 20 mg</c:v>
                </c:pt>
                <c:pt idx="7">
                  <c:v>COPAXONE 40 mg</c:v>
                </c:pt>
                <c:pt idx="8">
                  <c:v>VUMERITY 231 mg</c:v>
                </c:pt>
                <c:pt idx="9">
                  <c:v>PONVORY 20 mg</c:v>
                </c:pt>
                <c:pt idx="10">
                  <c:v>ZEPOSIA 0,92 mg</c:v>
                </c:pt>
              </c:strCache>
            </c:strRef>
          </c:cat>
          <c:val>
            <c:numRef>
              <c:f>'Sloupcový graf scénářů'!$F$3:$F$13</c:f>
              <c:numCache>
                <c:formatCode>0.00</c:formatCode>
                <c:ptCount val="11"/>
                <c:pt idx="0">
                  <c:v>0.76409948646558445</c:v>
                </c:pt>
                <c:pt idx="1">
                  <c:v>0.91510721722005595</c:v>
                </c:pt>
                <c:pt idx="2">
                  <c:v>0.53590606214112835</c:v>
                </c:pt>
                <c:pt idx="3">
                  <c:v>1.0798607948070886</c:v>
                </c:pt>
                <c:pt idx="4">
                  <c:v>0.96630620426900837</c:v>
                </c:pt>
                <c:pt idx="5">
                  <c:v>1.0423579065516124</c:v>
                </c:pt>
                <c:pt idx="6">
                  <c:v>0.70087495326777771</c:v>
                </c:pt>
                <c:pt idx="7">
                  <c:v>0.76664612375295438</c:v>
                </c:pt>
                <c:pt idx="8">
                  <c:v>1.0197681067179731</c:v>
                </c:pt>
                <c:pt idx="9">
                  <c:v>1.1360095711762646</c:v>
                </c:pt>
                <c:pt idx="10">
                  <c:v>1.1521840674029145</c:v>
                </c:pt>
              </c:numCache>
            </c:numRef>
          </c:val>
          <c:extLst>
            <c:ext xmlns:c16="http://schemas.microsoft.com/office/drawing/2014/chart" uri="{C3380CC4-5D6E-409C-BE32-E72D297353CC}">
              <c16:uniqueId val="{00000003-E691-446A-A599-F6CC2AEB97D9}"/>
            </c:ext>
          </c:extLst>
        </c:ser>
        <c:ser>
          <c:idx val="4"/>
          <c:order val="4"/>
          <c:tx>
            <c:strRef>
              <c:f>'Sloupcový graf scénářů'!$G$2</c:f>
              <c:strCache>
                <c:ptCount val="1"/>
                <c:pt idx="0">
                  <c:v>SCÉNÁŘ 5                        (2letý hor.)</c:v>
                </c:pt>
              </c:strCache>
            </c:strRef>
          </c:tx>
          <c:invertIfNegative val="0"/>
          <c:cat>
            <c:strRef>
              <c:f>'Sloupcový graf scénářů'!$B$3:$B$13</c:f>
              <c:strCache>
                <c:ptCount val="11"/>
                <c:pt idx="0">
                  <c:v>AUBAGIO 14 mg</c:v>
                </c:pt>
                <c:pt idx="1">
                  <c:v>AVONEX 30 mg</c:v>
                </c:pt>
                <c:pt idx="2">
                  <c:v>REBIF 22 mg</c:v>
                </c:pt>
                <c:pt idx="3">
                  <c:v>REBIF 44 mg</c:v>
                </c:pt>
                <c:pt idx="4">
                  <c:v>BETAFERON 250 ug/ml</c:v>
                </c:pt>
                <c:pt idx="5">
                  <c:v>PLEGRIDY 125 ug</c:v>
                </c:pt>
                <c:pt idx="6">
                  <c:v>COPAXONE 20 mg</c:v>
                </c:pt>
                <c:pt idx="7">
                  <c:v>COPAXONE 40 mg</c:v>
                </c:pt>
                <c:pt idx="8">
                  <c:v>VUMERITY 231 mg</c:v>
                </c:pt>
                <c:pt idx="9">
                  <c:v>PONVORY 20 mg</c:v>
                </c:pt>
                <c:pt idx="10">
                  <c:v>ZEPOSIA 0,92 mg</c:v>
                </c:pt>
              </c:strCache>
            </c:strRef>
          </c:cat>
          <c:val>
            <c:numRef>
              <c:f>'Sloupcový graf scénářů'!$G$3:$G$13</c:f>
              <c:numCache>
                <c:formatCode>0.00</c:formatCode>
                <c:ptCount val="11"/>
                <c:pt idx="0">
                  <c:v>0.8508902967322769</c:v>
                </c:pt>
                <c:pt idx="1">
                  <c:v>0.97977218117778997</c:v>
                </c:pt>
                <c:pt idx="2">
                  <c:v>0.63047772016603343</c:v>
                </c:pt>
                <c:pt idx="3">
                  <c:v>1.4792613627494362</c:v>
                </c:pt>
                <c:pt idx="4">
                  <c:v>1.2714555319329057</c:v>
                </c:pt>
                <c:pt idx="5">
                  <c:v>1.6598055836809116</c:v>
                </c:pt>
                <c:pt idx="6">
                  <c:v>0.76514732889495385</c:v>
                </c:pt>
                <c:pt idx="7">
                  <c:v>1.0332158002061378</c:v>
                </c:pt>
                <c:pt idx="8">
                  <c:v>1.0197681067179731</c:v>
                </c:pt>
                <c:pt idx="9">
                  <c:v>1.543491265185142</c:v>
                </c:pt>
                <c:pt idx="10">
                  <c:v>1.0496592139475704</c:v>
                </c:pt>
              </c:numCache>
            </c:numRef>
          </c:val>
          <c:extLst>
            <c:ext xmlns:c16="http://schemas.microsoft.com/office/drawing/2014/chart" uri="{C3380CC4-5D6E-409C-BE32-E72D297353CC}">
              <c16:uniqueId val="{00000004-E691-446A-A599-F6CC2AEB97D9}"/>
            </c:ext>
          </c:extLst>
        </c:ser>
        <c:ser>
          <c:idx val="5"/>
          <c:order val="5"/>
          <c:tx>
            <c:strRef>
              <c:f>'Sloupcový graf scénářů'!$H$2</c:f>
              <c:strCache>
                <c:ptCount val="1"/>
                <c:pt idx="0">
                  <c:v>SCÉNÁŘ 6</c:v>
                </c:pt>
              </c:strCache>
            </c:strRef>
          </c:tx>
          <c:invertIfNegative val="0"/>
          <c:cat>
            <c:strRef>
              <c:f>'Sloupcový graf scénářů'!$B$3:$B$13</c:f>
              <c:strCache>
                <c:ptCount val="11"/>
                <c:pt idx="0">
                  <c:v>AUBAGIO 14 mg</c:v>
                </c:pt>
                <c:pt idx="1">
                  <c:v>AVONEX 30 mg</c:v>
                </c:pt>
                <c:pt idx="2">
                  <c:v>REBIF 22 mg</c:v>
                </c:pt>
                <c:pt idx="3">
                  <c:v>REBIF 44 mg</c:v>
                </c:pt>
                <c:pt idx="4">
                  <c:v>BETAFERON 250 ug/ml</c:v>
                </c:pt>
                <c:pt idx="5">
                  <c:v>PLEGRIDY 125 ug</c:v>
                </c:pt>
                <c:pt idx="6">
                  <c:v>COPAXONE 20 mg</c:v>
                </c:pt>
                <c:pt idx="7">
                  <c:v>COPAXONE 40 mg</c:v>
                </c:pt>
                <c:pt idx="8">
                  <c:v>VUMERITY 231 mg</c:v>
                </c:pt>
                <c:pt idx="9">
                  <c:v>PONVORY 20 mg</c:v>
                </c:pt>
                <c:pt idx="10">
                  <c:v>ZEPOSIA 0,92 mg</c:v>
                </c:pt>
              </c:strCache>
            </c:strRef>
          </c:cat>
          <c:val>
            <c:numRef>
              <c:f>'Sloupcový graf scénářů'!$H$3:$H$13</c:f>
              <c:numCache>
                <c:formatCode>0.00</c:formatCode>
                <c:ptCount val="11"/>
                <c:pt idx="0">
                  <c:v>0.58754713574282413</c:v>
                </c:pt>
                <c:pt idx="1">
                  <c:v>0.60737580570807326</c:v>
                </c:pt>
                <c:pt idx="2">
                  <c:v>0.31488581656268261</c:v>
                </c:pt>
                <c:pt idx="3">
                  <c:v>0.58868285107052831</c:v>
                </c:pt>
                <c:pt idx="4">
                  <c:v>0.55830215192045685</c:v>
                </c:pt>
                <c:pt idx="5">
                  <c:v>0.54446923814178549</c:v>
                </c:pt>
                <c:pt idx="6">
                  <c:v>0.52863429905621562</c:v>
                </c:pt>
                <c:pt idx="7">
                  <c:v>0</c:v>
                </c:pt>
                <c:pt idx="8">
                  <c:v>0</c:v>
                </c:pt>
                <c:pt idx="9">
                  <c:v>0.58970021421279062</c:v>
                </c:pt>
                <c:pt idx="10">
                  <c:v>0</c:v>
                </c:pt>
              </c:numCache>
            </c:numRef>
          </c:val>
          <c:extLst>
            <c:ext xmlns:c16="http://schemas.microsoft.com/office/drawing/2014/chart" uri="{C3380CC4-5D6E-409C-BE32-E72D297353CC}">
              <c16:uniqueId val="{00000005-E691-446A-A599-F6CC2AEB97D9}"/>
            </c:ext>
          </c:extLst>
        </c:ser>
        <c:ser>
          <c:idx val="6"/>
          <c:order val="6"/>
          <c:tx>
            <c:strRef>
              <c:f>'Sloupcový graf scénářů'!$I$2</c:f>
              <c:strCache>
                <c:ptCount val="1"/>
                <c:pt idx="0">
                  <c:v> SCÉNÁŘ 7</c:v>
                </c:pt>
              </c:strCache>
            </c:strRef>
          </c:tx>
          <c:invertIfNegative val="0"/>
          <c:cat>
            <c:strRef>
              <c:f>'Sloupcový graf scénářů'!$B$3:$B$13</c:f>
              <c:strCache>
                <c:ptCount val="11"/>
                <c:pt idx="0">
                  <c:v>AUBAGIO 14 mg</c:v>
                </c:pt>
                <c:pt idx="1">
                  <c:v>AVONEX 30 mg</c:v>
                </c:pt>
                <c:pt idx="2">
                  <c:v>REBIF 22 mg</c:v>
                </c:pt>
                <c:pt idx="3">
                  <c:v>REBIF 44 mg</c:v>
                </c:pt>
                <c:pt idx="4">
                  <c:v>BETAFERON 250 ug/ml</c:v>
                </c:pt>
                <c:pt idx="5">
                  <c:v>PLEGRIDY 125 ug</c:v>
                </c:pt>
                <c:pt idx="6">
                  <c:v>COPAXONE 20 mg</c:v>
                </c:pt>
                <c:pt idx="7">
                  <c:v>COPAXONE 40 mg</c:v>
                </c:pt>
                <c:pt idx="8">
                  <c:v>VUMERITY 231 mg</c:v>
                </c:pt>
                <c:pt idx="9">
                  <c:v>PONVORY 20 mg</c:v>
                </c:pt>
                <c:pt idx="10">
                  <c:v>ZEPOSIA 0,92 mg</c:v>
                </c:pt>
              </c:strCache>
            </c:strRef>
          </c:cat>
          <c:val>
            <c:numRef>
              <c:f>'Sloupcový graf scénářů'!$I$3:$I$13</c:f>
              <c:numCache>
                <c:formatCode>0.00</c:formatCode>
                <c:ptCount val="11"/>
                <c:pt idx="0">
                  <c:v>0.58240076826430298</c:v>
                </c:pt>
                <c:pt idx="1">
                  <c:v>0.54363718231610469</c:v>
                </c:pt>
                <c:pt idx="2">
                  <c:v>0.28235520023523775</c:v>
                </c:pt>
                <c:pt idx="3">
                  <c:v>0.57062313447462287</c:v>
                </c:pt>
                <c:pt idx="4">
                  <c:v>0.58226006527281349</c:v>
                </c:pt>
                <c:pt idx="5">
                  <c:v>0</c:v>
                </c:pt>
                <c:pt idx="6">
                  <c:v>0.50974792525179291</c:v>
                </c:pt>
                <c:pt idx="7">
                  <c:v>0.40183941909595267</c:v>
                </c:pt>
                <c:pt idx="8">
                  <c:v>0</c:v>
                </c:pt>
                <c:pt idx="9">
                  <c:v>0</c:v>
                </c:pt>
                <c:pt idx="10">
                  <c:v>0</c:v>
                </c:pt>
              </c:numCache>
            </c:numRef>
          </c:val>
          <c:extLst>
            <c:ext xmlns:c16="http://schemas.microsoft.com/office/drawing/2014/chart" uri="{C3380CC4-5D6E-409C-BE32-E72D297353CC}">
              <c16:uniqueId val="{00000006-E691-446A-A599-F6CC2AEB97D9}"/>
            </c:ext>
          </c:extLst>
        </c:ser>
        <c:ser>
          <c:idx val="7"/>
          <c:order val="7"/>
          <c:tx>
            <c:strRef>
              <c:f>'Sloupcový graf scénářů'!$J$2</c:f>
              <c:strCache>
                <c:ptCount val="1"/>
                <c:pt idx="0">
                  <c:v>COST-EFFECT                 (jen ARR)</c:v>
                </c:pt>
              </c:strCache>
            </c:strRef>
          </c:tx>
          <c:invertIfNegative val="0"/>
          <c:val>
            <c:numRef>
              <c:f>'Sloupcový graf scénářů'!$J$3:$J$13</c:f>
              <c:numCache>
                <c:formatCode>0.00</c:formatCode>
                <c:ptCount val="11"/>
                <c:pt idx="0">
                  <c:v>0.75461147685544661</c:v>
                </c:pt>
                <c:pt idx="1">
                  <c:v>0.86496500543171517</c:v>
                </c:pt>
                <c:pt idx="2">
                  <c:v>0.49396803521936983</c:v>
                </c:pt>
                <c:pt idx="3">
                  <c:v>0.70928685854908857</c:v>
                </c:pt>
                <c:pt idx="4">
                  <c:v>0.77332363860028774</c:v>
                </c:pt>
                <c:pt idx="5">
                  <c:v>0.71455680887326323</c:v>
                </c:pt>
                <c:pt idx="6">
                  <c:v>0.68056186390615558</c:v>
                </c:pt>
                <c:pt idx="7">
                  <c:v>0.49574740388371707</c:v>
                </c:pt>
                <c:pt idx="8">
                  <c:v>1.0197681067179731</c:v>
                </c:pt>
                <c:pt idx="9">
                  <c:v>0.72526348184791489</c:v>
                </c:pt>
                <c:pt idx="10">
                  <c:v>0.91784154521927097</c:v>
                </c:pt>
              </c:numCache>
            </c:numRef>
          </c:val>
          <c:extLst>
            <c:ext xmlns:c16="http://schemas.microsoft.com/office/drawing/2014/chart" uri="{C3380CC4-5D6E-409C-BE32-E72D297353CC}">
              <c16:uniqueId val="{00000002-3D9D-4F8F-B9E2-08D499C690C3}"/>
            </c:ext>
          </c:extLst>
        </c:ser>
        <c:dLbls>
          <c:showLegendKey val="0"/>
          <c:showVal val="0"/>
          <c:showCatName val="0"/>
          <c:showSerName val="0"/>
          <c:showPercent val="0"/>
          <c:showBubbleSize val="0"/>
        </c:dLbls>
        <c:gapWidth val="150"/>
        <c:axId val="134640768"/>
        <c:axId val="134642304"/>
      </c:barChart>
      <c:catAx>
        <c:axId val="134640768"/>
        <c:scaling>
          <c:orientation val="minMax"/>
        </c:scaling>
        <c:delete val="0"/>
        <c:axPos val="b"/>
        <c:numFmt formatCode="General" sourceLinked="0"/>
        <c:majorTickMark val="out"/>
        <c:minorTickMark val="none"/>
        <c:tickLblPos val="nextTo"/>
        <c:crossAx val="134642304"/>
        <c:crossesAt val="1"/>
        <c:auto val="1"/>
        <c:lblAlgn val="ctr"/>
        <c:lblOffset val="100"/>
        <c:noMultiLvlLbl val="0"/>
      </c:catAx>
      <c:valAx>
        <c:axId val="134642304"/>
        <c:scaling>
          <c:logBase val="2"/>
          <c:orientation val="minMax"/>
          <c:max val="10"/>
          <c:min val="0.1"/>
        </c:scaling>
        <c:delete val="0"/>
        <c:axPos val="l"/>
        <c:majorGridlines/>
        <c:numFmt formatCode="#,##0.00" sourceLinked="0"/>
        <c:majorTickMark val="out"/>
        <c:minorTickMark val="none"/>
        <c:tickLblPos val="nextTo"/>
        <c:crossAx val="134640768"/>
        <c:crossesAt val="1"/>
        <c:crossBetween val="between"/>
        <c:majorUnit val="2.5"/>
      </c:valAx>
    </c:plotArea>
    <c:legend>
      <c:legendPos val="r"/>
      <c:layout>
        <c:manualLayout>
          <c:xMode val="edge"/>
          <c:yMode val="edge"/>
          <c:x val="0.90182110249571135"/>
          <c:y val="0.34220692674007591"/>
          <c:w val="9.5337289333710676E-2"/>
          <c:h val="0.3847092312607298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0385129051774"/>
          <c:y val="3.496212009305405E-2"/>
          <c:w val="0.76684317938405244"/>
          <c:h val="0.94914184391023704"/>
        </c:manualLayout>
      </c:layout>
      <c:barChart>
        <c:barDir val="col"/>
        <c:grouping val="clustered"/>
        <c:varyColors val="0"/>
        <c:ser>
          <c:idx val="8"/>
          <c:order val="0"/>
          <c:tx>
            <c:strRef>
              <c:f>'Sloupcový graf scénářů'!$C$2</c:f>
              <c:strCache>
                <c:ptCount val="1"/>
                <c:pt idx="0">
                  <c:v>SCÉNÁŘ 1</c:v>
                </c:pt>
              </c:strCache>
            </c:strRef>
          </c:tx>
          <c:invertIfNegative val="0"/>
          <c:cat>
            <c:strRef>
              <c:f>'Sloupcový graf scénářů'!$B$15:$B$24</c:f>
              <c:strCache>
                <c:ptCount val="10"/>
                <c:pt idx="0">
                  <c:v>GILENYA 0,5 mg</c:v>
                </c:pt>
                <c:pt idx="1">
                  <c:v>MAYZENT 2 mg</c:v>
                </c:pt>
                <c:pt idx="2">
                  <c:v>TYSABRI 150 mg inj</c:v>
                </c:pt>
                <c:pt idx="3">
                  <c:v>TYSABRI 300 mg inf</c:v>
                </c:pt>
                <c:pt idx="4">
                  <c:v>OCREVUS 300 mg</c:v>
                </c:pt>
                <c:pt idx="5">
                  <c:v>LEMTRADA 12 mg</c:v>
                </c:pt>
                <c:pt idx="6">
                  <c:v>KESIMPTA 20 mg</c:v>
                </c:pt>
                <c:pt idx="7">
                  <c:v>MAVENCLAD 10 mg
pac. s hmt. 80 kg</c:v>
                </c:pt>
                <c:pt idx="8">
                  <c:v>MAVENCLAD 10 mg
pac. s hmt. 40 kg</c:v>
                </c:pt>
                <c:pt idx="9">
                  <c:v>MAVENCLAD 10 mg
pac. s hmt. 110 kg</c:v>
                </c:pt>
              </c:strCache>
            </c:strRef>
          </c:cat>
          <c:val>
            <c:numRef>
              <c:f>'Sloupcový graf scénářů'!$C$15:$C$24</c:f>
              <c:numCache>
                <c:formatCode>0.00</c:formatCode>
                <c:ptCount val="10"/>
                <c:pt idx="0">
                  <c:v>1.0056202451814362</c:v>
                </c:pt>
                <c:pt idx="1">
                  <c:v>1.1637907167523565</c:v>
                </c:pt>
                <c:pt idx="2">
                  <c:v>1.0937729846702406</c:v>
                </c:pt>
                <c:pt idx="3">
                  <c:v>0.79477805625862863</c:v>
                </c:pt>
                <c:pt idx="4">
                  <c:v>0.96089707318437112</c:v>
                </c:pt>
                <c:pt idx="5">
                  <c:v>0.15335945234077411</c:v>
                </c:pt>
                <c:pt idx="6">
                  <c:v>1.0409241623976313</c:v>
                </c:pt>
                <c:pt idx="7">
                  <c:v>0.51622771988422844</c:v>
                </c:pt>
                <c:pt idx="8">
                  <c:v>0.25811385994211422</c:v>
                </c:pt>
                <c:pt idx="9">
                  <c:v>0.71903146698160381</c:v>
                </c:pt>
              </c:numCache>
            </c:numRef>
          </c:val>
          <c:extLst>
            <c:ext xmlns:c16="http://schemas.microsoft.com/office/drawing/2014/chart" uri="{C3380CC4-5D6E-409C-BE32-E72D297353CC}">
              <c16:uniqueId val="{00000000-13A1-43ED-AEAC-A21FFCCAAFB5}"/>
            </c:ext>
          </c:extLst>
        </c:ser>
        <c:ser>
          <c:idx val="9"/>
          <c:order val="1"/>
          <c:tx>
            <c:strRef>
              <c:f>'Sloupcový graf scénářů'!$D$2</c:f>
              <c:strCache>
                <c:ptCount val="1"/>
                <c:pt idx="0">
                  <c:v>SCÉNÁŘ 2                        (u ALE a CLA riz. 5 let)</c:v>
                </c:pt>
              </c:strCache>
            </c:strRef>
          </c:tx>
          <c:invertIfNegative val="0"/>
          <c:cat>
            <c:strRef>
              <c:f>'Sloupcový graf scénářů'!$B$15:$B$24</c:f>
              <c:strCache>
                <c:ptCount val="10"/>
                <c:pt idx="0">
                  <c:v>GILENYA 0,5 mg</c:v>
                </c:pt>
                <c:pt idx="1">
                  <c:v>MAYZENT 2 mg</c:v>
                </c:pt>
                <c:pt idx="2">
                  <c:v>TYSABRI 150 mg inj</c:v>
                </c:pt>
                <c:pt idx="3">
                  <c:v>TYSABRI 300 mg inf</c:v>
                </c:pt>
                <c:pt idx="4">
                  <c:v>OCREVUS 300 mg</c:v>
                </c:pt>
                <c:pt idx="5">
                  <c:v>LEMTRADA 12 mg</c:v>
                </c:pt>
                <c:pt idx="6">
                  <c:v>KESIMPTA 20 mg</c:v>
                </c:pt>
                <c:pt idx="7">
                  <c:v>MAVENCLAD 10 mg
pac. s hmt. 80 kg</c:v>
                </c:pt>
                <c:pt idx="8">
                  <c:v>MAVENCLAD 10 mg
pac. s hmt. 40 kg</c:v>
                </c:pt>
                <c:pt idx="9">
                  <c:v>MAVENCLAD 10 mg
pac. s hmt. 110 kg</c:v>
                </c:pt>
              </c:strCache>
            </c:strRef>
          </c:cat>
          <c:val>
            <c:numRef>
              <c:f>'Sloupcový graf scénářů'!$D$15:$D$24</c:f>
              <c:numCache>
                <c:formatCode>0.00</c:formatCode>
                <c:ptCount val="10"/>
                <c:pt idx="0">
                  <c:v>1.0056202451814362</c:v>
                </c:pt>
                <c:pt idx="1">
                  <c:v>1.1637907167523565</c:v>
                </c:pt>
                <c:pt idx="2">
                  <c:v>1.0937729846702406</c:v>
                </c:pt>
                <c:pt idx="3">
                  <c:v>0.79477805625862863</c:v>
                </c:pt>
                <c:pt idx="4">
                  <c:v>0.96089707318437112</c:v>
                </c:pt>
                <c:pt idx="5">
                  <c:v>0.30671890468154822</c:v>
                </c:pt>
                <c:pt idx="6">
                  <c:v>1.0409241623976313</c:v>
                </c:pt>
                <c:pt idx="7">
                  <c:v>1.2905692997105711</c:v>
                </c:pt>
                <c:pt idx="8">
                  <c:v>0.64528464985528555</c:v>
                </c:pt>
                <c:pt idx="9">
                  <c:v>1.7975786674540095</c:v>
                </c:pt>
              </c:numCache>
            </c:numRef>
          </c:val>
          <c:extLst>
            <c:ext xmlns:c16="http://schemas.microsoft.com/office/drawing/2014/chart" uri="{C3380CC4-5D6E-409C-BE32-E72D297353CC}">
              <c16:uniqueId val="{00000001-13A1-43ED-AEAC-A21FFCCAAFB5}"/>
            </c:ext>
          </c:extLst>
        </c:ser>
        <c:ser>
          <c:idx val="10"/>
          <c:order val="2"/>
          <c:tx>
            <c:strRef>
              <c:f>'Sloupcový graf scénářů'!$E$2</c:f>
              <c:strCache>
                <c:ptCount val="1"/>
                <c:pt idx="0">
                  <c:v> SCÉNÁŘ 3</c:v>
                </c:pt>
              </c:strCache>
            </c:strRef>
          </c:tx>
          <c:invertIfNegative val="0"/>
          <c:cat>
            <c:strRef>
              <c:f>'Sloupcový graf scénářů'!$B$15:$B$24</c:f>
              <c:strCache>
                <c:ptCount val="10"/>
                <c:pt idx="0">
                  <c:v>GILENYA 0,5 mg</c:v>
                </c:pt>
                <c:pt idx="1">
                  <c:v>MAYZENT 2 mg</c:v>
                </c:pt>
                <c:pt idx="2">
                  <c:v>TYSABRI 150 mg inj</c:v>
                </c:pt>
                <c:pt idx="3">
                  <c:v>TYSABRI 300 mg inf</c:v>
                </c:pt>
                <c:pt idx="4">
                  <c:v>OCREVUS 300 mg</c:v>
                </c:pt>
                <c:pt idx="5">
                  <c:v>LEMTRADA 12 mg</c:v>
                </c:pt>
                <c:pt idx="6">
                  <c:v>KESIMPTA 20 mg</c:v>
                </c:pt>
                <c:pt idx="7">
                  <c:v>MAVENCLAD 10 mg
pac. s hmt. 80 kg</c:v>
                </c:pt>
                <c:pt idx="8">
                  <c:v>MAVENCLAD 10 mg
pac. s hmt. 40 kg</c:v>
                </c:pt>
                <c:pt idx="9">
                  <c:v>MAVENCLAD 10 mg
pac. s hmt. 110 kg</c:v>
                </c:pt>
              </c:strCache>
            </c:strRef>
          </c:cat>
          <c:val>
            <c:numRef>
              <c:f>'Sloupcový graf scénářů'!$E$15:$E$24</c:f>
              <c:numCache>
                <c:formatCode>0.00</c:formatCode>
                <c:ptCount val="10"/>
                <c:pt idx="0">
                  <c:v>1.0056202451814362</c:v>
                </c:pt>
                <c:pt idx="1">
                  <c:v>1.1637907167523565</c:v>
                </c:pt>
                <c:pt idx="2">
                  <c:v>1.0937729846702406</c:v>
                </c:pt>
                <c:pt idx="3">
                  <c:v>0.79477805625862863</c:v>
                </c:pt>
                <c:pt idx="4">
                  <c:v>0.96089707318437112</c:v>
                </c:pt>
                <c:pt idx="5">
                  <c:v>0.26189089442097729</c:v>
                </c:pt>
                <c:pt idx="6">
                  <c:v>1.0409241623976313</c:v>
                </c:pt>
                <c:pt idx="7">
                  <c:v>1.1222341736613661</c:v>
                </c:pt>
                <c:pt idx="8">
                  <c:v>0.56111708683068307</c:v>
                </c:pt>
                <c:pt idx="9">
                  <c:v>1.5631118847426171</c:v>
                </c:pt>
              </c:numCache>
            </c:numRef>
          </c:val>
          <c:extLst>
            <c:ext xmlns:c16="http://schemas.microsoft.com/office/drawing/2014/chart" uri="{C3380CC4-5D6E-409C-BE32-E72D297353CC}">
              <c16:uniqueId val="{00000002-13A1-43ED-AEAC-A21FFCCAAFB5}"/>
            </c:ext>
          </c:extLst>
        </c:ser>
        <c:ser>
          <c:idx val="11"/>
          <c:order val="3"/>
          <c:tx>
            <c:strRef>
              <c:f>'Sloupcový graf scénářů'!$F$2</c:f>
              <c:strCache>
                <c:ptCount val="1"/>
                <c:pt idx="0">
                  <c:v> SCÉNÁŘ 4                      (waning pro eff. i NÚ)</c:v>
                </c:pt>
              </c:strCache>
            </c:strRef>
          </c:tx>
          <c:invertIfNegative val="0"/>
          <c:cat>
            <c:strRef>
              <c:f>'Sloupcový graf scénářů'!$B$15:$B$24</c:f>
              <c:strCache>
                <c:ptCount val="10"/>
                <c:pt idx="0">
                  <c:v>GILENYA 0,5 mg</c:v>
                </c:pt>
                <c:pt idx="1">
                  <c:v>MAYZENT 2 mg</c:v>
                </c:pt>
                <c:pt idx="2">
                  <c:v>TYSABRI 150 mg inj</c:v>
                </c:pt>
                <c:pt idx="3">
                  <c:v>TYSABRI 300 mg inf</c:v>
                </c:pt>
                <c:pt idx="4">
                  <c:v>OCREVUS 300 mg</c:v>
                </c:pt>
                <c:pt idx="5">
                  <c:v>LEMTRADA 12 mg</c:v>
                </c:pt>
                <c:pt idx="6">
                  <c:v>KESIMPTA 20 mg</c:v>
                </c:pt>
                <c:pt idx="7">
                  <c:v>MAVENCLAD 10 mg
pac. s hmt. 80 kg</c:v>
                </c:pt>
                <c:pt idx="8">
                  <c:v>MAVENCLAD 10 mg
pac. s hmt. 40 kg</c:v>
                </c:pt>
                <c:pt idx="9">
                  <c:v>MAVENCLAD 10 mg
pac. s hmt. 110 kg</c:v>
                </c:pt>
              </c:strCache>
            </c:strRef>
          </c:cat>
          <c:val>
            <c:numRef>
              <c:f>'Sloupcový graf scénářů'!$F$15:$F$24</c:f>
              <c:numCache>
                <c:formatCode>0.00</c:formatCode>
                <c:ptCount val="10"/>
                <c:pt idx="0">
                  <c:v>1.0307607513109722</c:v>
                </c:pt>
                <c:pt idx="1">
                  <c:v>1.0730150408456727</c:v>
                </c:pt>
                <c:pt idx="2">
                  <c:v>1.1508394012617313</c:v>
                </c:pt>
                <c:pt idx="3">
                  <c:v>0.83624473745473094</c:v>
                </c:pt>
                <c:pt idx="4">
                  <c:v>0.97266315979479201</c:v>
                </c:pt>
                <c:pt idx="5">
                  <c:v>0.41286329238130526</c:v>
                </c:pt>
                <c:pt idx="6">
                  <c:v>0.88478553803798665</c:v>
                </c:pt>
                <c:pt idx="7">
                  <c:v>0.99429947786397044</c:v>
                </c:pt>
                <c:pt idx="8">
                  <c:v>0.49714973893198522</c:v>
                </c:pt>
                <c:pt idx="9">
                  <c:v>1.3849171298819589</c:v>
                </c:pt>
              </c:numCache>
            </c:numRef>
          </c:val>
          <c:extLst>
            <c:ext xmlns:c16="http://schemas.microsoft.com/office/drawing/2014/chart" uri="{C3380CC4-5D6E-409C-BE32-E72D297353CC}">
              <c16:uniqueId val="{00000003-13A1-43ED-AEAC-A21FFCCAAFB5}"/>
            </c:ext>
          </c:extLst>
        </c:ser>
        <c:ser>
          <c:idx val="12"/>
          <c:order val="4"/>
          <c:tx>
            <c:strRef>
              <c:f>'Sloupcový graf scénářů'!$G$2</c:f>
              <c:strCache>
                <c:ptCount val="1"/>
                <c:pt idx="0">
                  <c:v>SCÉNÁŘ 5                        (2letý hor.)</c:v>
                </c:pt>
              </c:strCache>
            </c:strRef>
          </c:tx>
          <c:invertIfNegative val="0"/>
          <c:cat>
            <c:strRef>
              <c:f>'Sloupcový graf scénářů'!$B$15:$B$24</c:f>
              <c:strCache>
                <c:ptCount val="10"/>
                <c:pt idx="0">
                  <c:v>GILENYA 0,5 mg</c:v>
                </c:pt>
                <c:pt idx="1">
                  <c:v>MAYZENT 2 mg</c:v>
                </c:pt>
                <c:pt idx="2">
                  <c:v>TYSABRI 150 mg inj</c:v>
                </c:pt>
                <c:pt idx="3">
                  <c:v>TYSABRI 300 mg inf</c:v>
                </c:pt>
                <c:pt idx="4">
                  <c:v>OCREVUS 300 mg</c:v>
                </c:pt>
                <c:pt idx="5">
                  <c:v>LEMTRADA 12 mg</c:v>
                </c:pt>
                <c:pt idx="6">
                  <c:v>KESIMPTA 20 mg</c:v>
                </c:pt>
                <c:pt idx="7">
                  <c:v>MAVENCLAD 10 mg
pac. s hmt. 80 kg</c:v>
                </c:pt>
                <c:pt idx="8">
                  <c:v>MAVENCLAD 10 mg
pac. s hmt. 40 kg</c:v>
                </c:pt>
                <c:pt idx="9">
                  <c:v>MAVENCLAD 10 mg
pac. s hmt. 110 kg</c:v>
                </c:pt>
              </c:strCache>
            </c:strRef>
          </c:cat>
          <c:val>
            <c:numRef>
              <c:f>'Sloupcový graf scénářů'!$G$15:$G$24</c:f>
              <c:numCache>
                <c:formatCode>0.00</c:formatCode>
                <c:ptCount val="10"/>
                <c:pt idx="0">
                  <c:v>1.0056202451814362</c:v>
                </c:pt>
                <c:pt idx="1">
                  <c:v>1.1637907167523565</c:v>
                </c:pt>
                <c:pt idx="2">
                  <c:v>1.0937729846702406</c:v>
                </c:pt>
                <c:pt idx="3">
                  <c:v>0.79477805625862863</c:v>
                </c:pt>
                <c:pt idx="4">
                  <c:v>0.96089707318437112</c:v>
                </c:pt>
                <c:pt idx="5">
                  <c:v>0.65817459478098883</c:v>
                </c:pt>
                <c:pt idx="6">
                  <c:v>1.0409241623976313</c:v>
                </c:pt>
                <c:pt idx="7">
                  <c:v>2.8055854341534152</c:v>
                </c:pt>
                <c:pt idx="8">
                  <c:v>1.4027927170767076</c:v>
                </c:pt>
                <c:pt idx="9">
                  <c:v>3.9077797118565423</c:v>
                </c:pt>
              </c:numCache>
            </c:numRef>
          </c:val>
          <c:extLst>
            <c:ext xmlns:c16="http://schemas.microsoft.com/office/drawing/2014/chart" uri="{C3380CC4-5D6E-409C-BE32-E72D297353CC}">
              <c16:uniqueId val="{00000004-13A1-43ED-AEAC-A21FFCCAAFB5}"/>
            </c:ext>
          </c:extLst>
        </c:ser>
        <c:ser>
          <c:idx val="13"/>
          <c:order val="5"/>
          <c:tx>
            <c:strRef>
              <c:f>'Sloupcový graf scénářů'!$H$2</c:f>
              <c:strCache>
                <c:ptCount val="1"/>
                <c:pt idx="0">
                  <c:v>SCÉNÁŘ 6</c:v>
                </c:pt>
              </c:strCache>
            </c:strRef>
          </c:tx>
          <c:invertIfNegative val="0"/>
          <c:cat>
            <c:strRef>
              <c:f>'Sloupcový graf scénářů'!$B$15:$B$24</c:f>
              <c:strCache>
                <c:ptCount val="10"/>
                <c:pt idx="0">
                  <c:v>GILENYA 0,5 mg</c:v>
                </c:pt>
                <c:pt idx="1">
                  <c:v>MAYZENT 2 mg</c:v>
                </c:pt>
                <c:pt idx="2">
                  <c:v>TYSABRI 150 mg inj</c:v>
                </c:pt>
                <c:pt idx="3">
                  <c:v>TYSABRI 300 mg inf</c:v>
                </c:pt>
                <c:pt idx="4">
                  <c:v>OCREVUS 300 mg</c:v>
                </c:pt>
                <c:pt idx="5">
                  <c:v>LEMTRADA 12 mg</c:v>
                </c:pt>
                <c:pt idx="6">
                  <c:v>KESIMPTA 20 mg</c:v>
                </c:pt>
                <c:pt idx="7">
                  <c:v>MAVENCLAD 10 mg
pac. s hmt. 80 kg</c:v>
                </c:pt>
                <c:pt idx="8">
                  <c:v>MAVENCLAD 10 mg
pac. s hmt. 40 kg</c:v>
                </c:pt>
                <c:pt idx="9">
                  <c:v>MAVENCLAD 10 mg
pac. s hmt. 110 kg</c:v>
                </c:pt>
              </c:strCache>
            </c:strRef>
          </c:cat>
          <c:val>
            <c:numRef>
              <c:f>'Sloupcový graf scénářů'!$H$15:$H$24</c:f>
              <c:numCache>
                <c:formatCode>0.00</c:formatCode>
                <c:ptCount val="10"/>
                <c:pt idx="0">
                  <c:v>0.96228208708838847</c:v>
                </c:pt>
                <c:pt idx="1">
                  <c:v>0</c:v>
                </c:pt>
                <c:pt idx="2">
                  <c:v>0</c:v>
                </c:pt>
                <c:pt idx="3">
                  <c:v>0.88878406291287504</c:v>
                </c:pt>
                <c:pt idx="4">
                  <c:v>0.90012623965149607</c:v>
                </c:pt>
                <c:pt idx="5">
                  <c:v>0.67914824092067005</c:v>
                </c:pt>
                <c:pt idx="6">
                  <c:v>0.95272671296731393</c:v>
                </c:pt>
                <c:pt idx="7">
                  <c:v>0.81164825094011894</c:v>
                </c:pt>
                <c:pt idx="8">
                  <c:v>0.40582412547005947</c:v>
                </c:pt>
                <c:pt idx="9">
                  <c:v>1.1305100638094514</c:v>
                </c:pt>
              </c:numCache>
            </c:numRef>
          </c:val>
          <c:extLst>
            <c:ext xmlns:c16="http://schemas.microsoft.com/office/drawing/2014/chart" uri="{C3380CC4-5D6E-409C-BE32-E72D297353CC}">
              <c16:uniqueId val="{00000005-13A1-43ED-AEAC-A21FFCCAAFB5}"/>
            </c:ext>
          </c:extLst>
        </c:ser>
        <c:ser>
          <c:idx val="14"/>
          <c:order val="6"/>
          <c:tx>
            <c:strRef>
              <c:f>'Sloupcový graf scénářů'!$I$2</c:f>
              <c:strCache>
                <c:ptCount val="1"/>
                <c:pt idx="0">
                  <c:v> SCÉNÁŘ 7</c:v>
                </c:pt>
              </c:strCache>
            </c:strRef>
          </c:tx>
          <c:invertIfNegative val="0"/>
          <c:cat>
            <c:strRef>
              <c:f>'Sloupcový graf scénářů'!$B$15:$B$24</c:f>
              <c:strCache>
                <c:ptCount val="10"/>
                <c:pt idx="0">
                  <c:v>GILENYA 0,5 mg</c:v>
                </c:pt>
                <c:pt idx="1">
                  <c:v>MAYZENT 2 mg</c:v>
                </c:pt>
                <c:pt idx="2">
                  <c:v>TYSABRI 150 mg inj</c:v>
                </c:pt>
                <c:pt idx="3">
                  <c:v>TYSABRI 300 mg inf</c:v>
                </c:pt>
                <c:pt idx="4">
                  <c:v>OCREVUS 300 mg</c:v>
                </c:pt>
                <c:pt idx="5">
                  <c:v>LEMTRADA 12 mg</c:v>
                </c:pt>
                <c:pt idx="6">
                  <c:v>KESIMPTA 20 mg</c:v>
                </c:pt>
                <c:pt idx="7">
                  <c:v>MAVENCLAD 10 mg
pac. s hmt. 80 kg</c:v>
                </c:pt>
                <c:pt idx="8">
                  <c:v>MAVENCLAD 10 mg
pac. s hmt. 40 kg</c:v>
                </c:pt>
                <c:pt idx="9">
                  <c:v>MAVENCLAD 10 mg
pac. s hmt. 110 kg</c:v>
                </c:pt>
              </c:strCache>
            </c:strRef>
          </c:cat>
          <c:val>
            <c:numRef>
              <c:f>'Sloupcový graf scénářů'!$I$15:$I$24</c:f>
              <c:numCache>
                <c:formatCode>0.00</c:formatCode>
                <c:ptCount val="10"/>
                <c:pt idx="0">
                  <c:v>0.95421999602396745</c:v>
                </c:pt>
                <c:pt idx="1">
                  <c:v>0</c:v>
                </c:pt>
                <c:pt idx="2">
                  <c:v>0</c:v>
                </c:pt>
                <c:pt idx="3">
                  <c:v>0.94380633925303903</c:v>
                </c:pt>
                <c:pt idx="4">
                  <c:v>1.0249721658673256</c:v>
                </c:pt>
                <c:pt idx="5">
                  <c:v>0.73126792709549893</c:v>
                </c:pt>
                <c:pt idx="6">
                  <c:v>1.0546444473108709</c:v>
                </c:pt>
                <c:pt idx="7">
                  <c:v>0.89702499542891134</c:v>
                </c:pt>
                <c:pt idx="8">
                  <c:v>0.44851249771445567</c:v>
                </c:pt>
                <c:pt idx="9">
                  <c:v>1.249427672204555</c:v>
                </c:pt>
              </c:numCache>
            </c:numRef>
          </c:val>
          <c:extLst>
            <c:ext xmlns:c16="http://schemas.microsoft.com/office/drawing/2014/chart" uri="{C3380CC4-5D6E-409C-BE32-E72D297353CC}">
              <c16:uniqueId val="{00000006-13A1-43ED-AEAC-A21FFCCAAFB5}"/>
            </c:ext>
          </c:extLst>
        </c:ser>
        <c:ser>
          <c:idx val="0"/>
          <c:order val="7"/>
          <c:tx>
            <c:strRef>
              <c:f>'Sloupcový graf scénářů'!$J$2</c:f>
              <c:strCache>
                <c:ptCount val="1"/>
                <c:pt idx="0">
                  <c:v>COST-EFFECT                 (jen ARR)</c:v>
                </c:pt>
              </c:strCache>
            </c:strRef>
          </c:tx>
          <c:invertIfNegative val="0"/>
          <c:val>
            <c:numRef>
              <c:f>'Sloupcový graf scénářů'!$J$15:$J$24</c:f>
              <c:numCache>
                <c:formatCode>0.00</c:formatCode>
                <c:ptCount val="10"/>
                <c:pt idx="0">
                  <c:v>0.86315737711406615</c:v>
                </c:pt>
                <c:pt idx="1">
                  <c:v>0.81718707411701941</c:v>
                </c:pt>
                <c:pt idx="2">
                  <c:v>0.85980067664512827</c:v>
                </c:pt>
                <c:pt idx="3">
                  <c:v>0.6247646633546089</c:v>
                </c:pt>
                <c:pt idx="4">
                  <c:v>0.75749085090672041</c:v>
                </c:pt>
                <c:pt idx="5">
                  <c:v>0.56603258072719387</c:v>
                </c:pt>
                <c:pt idx="6">
                  <c:v>0.67381251583775248</c:v>
                </c:pt>
                <c:pt idx="7">
                  <c:v>0.79047481830689847</c:v>
                </c:pt>
                <c:pt idx="8">
                  <c:v>0.39523740915344924</c:v>
                </c:pt>
                <c:pt idx="9">
                  <c:v>1.1010184969274657</c:v>
                </c:pt>
              </c:numCache>
            </c:numRef>
          </c:val>
          <c:extLst>
            <c:ext xmlns:c16="http://schemas.microsoft.com/office/drawing/2014/chart" uri="{C3380CC4-5D6E-409C-BE32-E72D297353CC}">
              <c16:uniqueId val="{00000000-9954-4EE4-B444-BE5CA1286A2E}"/>
            </c:ext>
          </c:extLst>
        </c:ser>
        <c:dLbls>
          <c:showLegendKey val="0"/>
          <c:showVal val="0"/>
          <c:showCatName val="0"/>
          <c:showSerName val="0"/>
          <c:showPercent val="0"/>
          <c:showBubbleSize val="0"/>
        </c:dLbls>
        <c:gapWidth val="150"/>
        <c:axId val="122258176"/>
        <c:axId val="122259712"/>
      </c:barChart>
      <c:catAx>
        <c:axId val="122258176"/>
        <c:scaling>
          <c:orientation val="minMax"/>
        </c:scaling>
        <c:delete val="0"/>
        <c:axPos val="b"/>
        <c:numFmt formatCode="General" sourceLinked="0"/>
        <c:majorTickMark val="out"/>
        <c:minorTickMark val="none"/>
        <c:tickLblPos val="nextTo"/>
        <c:crossAx val="122259712"/>
        <c:crossesAt val="1"/>
        <c:auto val="1"/>
        <c:lblAlgn val="ctr"/>
        <c:lblOffset val="100"/>
        <c:noMultiLvlLbl val="0"/>
      </c:catAx>
      <c:valAx>
        <c:axId val="122259712"/>
        <c:scaling>
          <c:logBase val="2"/>
          <c:orientation val="minMax"/>
          <c:max val="10"/>
          <c:min val="0.1"/>
        </c:scaling>
        <c:delete val="0"/>
        <c:axPos val="l"/>
        <c:majorGridlines/>
        <c:numFmt formatCode="0.00" sourceLinked="1"/>
        <c:majorTickMark val="out"/>
        <c:minorTickMark val="none"/>
        <c:tickLblPos val="nextTo"/>
        <c:crossAx val="122258176"/>
        <c:crossesAt val="1"/>
        <c:crossBetween val="between"/>
        <c:majorUnit val="2.5"/>
      </c:valAx>
    </c:plotArea>
    <c:legend>
      <c:legendPos val="r"/>
      <c:layout>
        <c:manualLayout>
          <c:xMode val="edge"/>
          <c:yMode val="edge"/>
          <c:x val="0.89350553091787821"/>
          <c:y val="0.28995570766605078"/>
          <c:w val="0.10074716355251441"/>
          <c:h val="0.4778117905329397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10</xdr:col>
      <xdr:colOff>182172</xdr:colOff>
      <xdr:row>1</xdr:row>
      <xdr:rowOff>11906</xdr:rowOff>
    </xdr:from>
    <xdr:to>
      <xdr:col>32</xdr:col>
      <xdr:colOff>416718</xdr:colOff>
      <xdr:row>17</xdr:row>
      <xdr:rowOff>196704</xdr:rowOff>
    </xdr:to>
    <xdr:graphicFrame macro="">
      <xdr:nvGraphicFramePr>
        <xdr:cNvPr id="2" name="Graf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112359</xdr:colOff>
      <xdr:row>19</xdr:row>
      <xdr:rowOff>53629</xdr:rowOff>
    </xdr:from>
    <xdr:to>
      <xdr:col>32</xdr:col>
      <xdr:colOff>488156</xdr:colOff>
      <xdr:row>42</xdr:row>
      <xdr:rowOff>23814</xdr:rowOff>
    </xdr:to>
    <xdr:graphicFrame macro="">
      <xdr:nvGraphicFramePr>
        <xdr:cNvPr id="4" name="Graf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309562</xdr:colOff>
      <xdr:row>30</xdr:row>
      <xdr:rowOff>47625</xdr:rowOff>
    </xdr:from>
    <xdr:to>
      <xdr:col>30</xdr:col>
      <xdr:colOff>83344</xdr:colOff>
      <xdr:row>30</xdr:row>
      <xdr:rowOff>95250</xdr:rowOff>
    </xdr:to>
    <xdr:cxnSp macro="">
      <xdr:nvCxnSpPr>
        <xdr:cNvPr id="6" name="Přímá spojovací čára 5">
          <a:extLst>
            <a:ext uri="{FF2B5EF4-FFF2-40B4-BE49-F238E27FC236}">
              <a16:creationId xmlns:a16="http://schemas.microsoft.com/office/drawing/2014/main" id="{00000000-0008-0000-0100-000006000000}"/>
            </a:ext>
          </a:extLst>
        </xdr:cNvPr>
        <xdr:cNvCxnSpPr/>
      </xdr:nvCxnSpPr>
      <xdr:spPr>
        <a:xfrm>
          <a:off x="11060906" y="9584531"/>
          <a:ext cx="10703719" cy="47625"/>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27</xdr:row>
      <xdr:rowOff>71437</xdr:rowOff>
    </xdr:from>
    <xdr:to>
      <xdr:col>30</xdr:col>
      <xdr:colOff>71438</xdr:colOff>
      <xdr:row>27</xdr:row>
      <xdr:rowOff>71438</xdr:rowOff>
    </xdr:to>
    <xdr:cxnSp macro="">
      <xdr:nvCxnSpPr>
        <xdr:cNvPr id="10" name="Přímá spojovací čára 9">
          <a:extLst>
            <a:ext uri="{FF2B5EF4-FFF2-40B4-BE49-F238E27FC236}">
              <a16:creationId xmlns:a16="http://schemas.microsoft.com/office/drawing/2014/main" id="{00000000-0008-0000-0100-00000A000000}"/>
            </a:ext>
          </a:extLst>
        </xdr:cNvPr>
        <xdr:cNvCxnSpPr/>
      </xdr:nvCxnSpPr>
      <xdr:spPr>
        <a:xfrm flipV="1">
          <a:off x="11084719" y="9036843"/>
          <a:ext cx="10668000" cy="1"/>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23813</xdr:colOff>
      <xdr:row>27</xdr:row>
      <xdr:rowOff>71438</xdr:rowOff>
    </xdr:from>
    <xdr:to>
      <xdr:col>30</xdr:col>
      <xdr:colOff>35719</xdr:colOff>
      <xdr:row>30</xdr:row>
      <xdr:rowOff>59532</xdr:rowOff>
    </xdr:to>
    <xdr:cxnSp macro="">
      <xdr:nvCxnSpPr>
        <xdr:cNvPr id="14" name="Přímá spojovací šipka 13">
          <a:extLst>
            <a:ext uri="{FF2B5EF4-FFF2-40B4-BE49-F238E27FC236}">
              <a16:creationId xmlns:a16="http://schemas.microsoft.com/office/drawing/2014/main" id="{00000000-0008-0000-0100-00000E000000}"/>
            </a:ext>
          </a:extLst>
        </xdr:cNvPr>
        <xdr:cNvCxnSpPr/>
      </xdr:nvCxnSpPr>
      <xdr:spPr>
        <a:xfrm>
          <a:off x="21705094" y="9036844"/>
          <a:ext cx="11906" cy="559594"/>
        </a:xfrm>
        <a:prstGeom prst="straightConnector1">
          <a:avLst/>
        </a:prstGeom>
        <a:ln w="2540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464344</xdr:colOff>
      <xdr:row>20</xdr:row>
      <xdr:rowOff>285750</xdr:rowOff>
    </xdr:from>
    <xdr:to>
      <xdr:col>29</xdr:col>
      <xdr:colOff>59532</xdr:colOff>
      <xdr:row>22</xdr:row>
      <xdr:rowOff>107156</xdr:rowOff>
    </xdr:to>
    <xdr:sp macro="" textlink="">
      <xdr:nvSpPr>
        <xdr:cNvPr id="16" name="TextovéPole 15">
          <a:extLst>
            <a:ext uri="{FF2B5EF4-FFF2-40B4-BE49-F238E27FC236}">
              <a16:creationId xmlns:a16="http://schemas.microsoft.com/office/drawing/2014/main" id="{00000000-0008-0000-0100-000010000000}"/>
            </a:ext>
          </a:extLst>
        </xdr:cNvPr>
        <xdr:cNvSpPr txBox="1"/>
      </xdr:nvSpPr>
      <xdr:spPr>
        <a:xfrm>
          <a:off x="11822907" y="7131844"/>
          <a:ext cx="9310688" cy="559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a:t>(přerušované</a:t>
          </a:r>
          <a:r>
            <a:rPr lang="cs-CZ" sz="1100" baseline="0"/>
            <a:t> čáry značí průměrnou diferenci mezních hodnot ze všech přípravků od  jejich průměrů  (+/- 28% ) z nákladové utility  scénáře 6  vztažené  k   DMF)</a:t>
          </a:r>
        </a:p>
        <a:p>
          <a:pPr marL="0" marR="0" lvl="0" indent="0" defTabSz="914400" eaLnBrk="1" fontAlgn="auto" latinLnBrk="0" hangingPunct="1">
            <a:lnSpc>
              <a:spcPct val="100000"/>
            </a:lnSpc>
            <a:spcBef>
              <a:spcPts val="0"/>
            </a:spcBef>
            <a:spcAft>
              <a:spcPts val="0"/>
            </a:spcAft>
            <a:buClrTx/>
            <a:buSzTx/>
            <a:buFontTx/>
            <a:buNone/>
            <a:tabLst/>
            <a:defRPr/>
          </a:pPr>
          <a:r>
            <a:rPr lang="cs-CZ" sz="1100" baseline="0">
              <a:solidFill>
                <a:schemeClr val="dk1"/>
              </a:solidFill>
              <a:effectLst/>
              <a:latin typeface="+mn-lt"/>
              <a:ea typeface="+mn-ea"/>
              <a:cs typeface="+mn-cs"/>
            </a:rPr>
            <a:t>                                 - </a:t>
          </a:r>
          <a:r>
            <a:rPr lang="cs-CZ" sz="1100" u="sng" baseline="0">
              <a:solidFill>
                <a:schemeClr val="dk1"/>
              </a:solidFill>
              <a:effectLst/>
              <a:latin typeface="+mn-lt"/>
              <a:ea typeface="+mn-ea"/>
              <a:cs typeface="+mn-cs"/>
            </a:rPr>
            <a:t>všechny scénáře jsou z 5ti letého časového horizontu zprůměrovány na 1 rok, kromě scénáře č. 5, který je z 2 letého!</a:t>
          </a:r>
          <a:endParaRPr lang="cs-CZ">
            <a:effectLst/>
          </a:endParaRPr>
        </a:p>
        <a:p>
          <a:endParaRPr lang="cs-CZ" sz="1100"/>
        </a:p>
      </xdr:txBody>
    </xdr:sp>
    <xdr:clientData/>
  </xdr:twoCellAnchor>
  <xdr:twoCellAnchor>
    <xdr:from>
      <xdr:col>10</xdr:col>
      <xdr:colOff>202407</xdr:colOff>
      <xdr:row>8</xdr:row>
      <xdr:rowOff>71438</xdr:rowOff>
    </xdr:from>
    <xdr:to>
      <xdr:col>11</xdr:col>
      <xdr:colOff>107156</xdr:colOff>
      <xdr:row>14</xdr:row>
      <xdr:rowOff>0</xdr:rowOff>
    </xdr:to>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9739313" y="2917032"/>
          <a:ext cx="511968" cy="1928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pPr algn="ctr"/>
          <a:r>
            <a:rPr lang="cs-CZ" sz="1000" b="1">
              <a:solidFill>
                <a:schemeClr val="tx1"/>
              </a:solidFill>
            </a:rPr>
            <a:t>nákladově efektivnější/ akcetabil.</a:t>
          </a:r>
        </a:p>
        <a:p>
          <a:pPr algn="ctr"/>
          <a:r>
            <a:rPr lang="cs-CZ" sz="1000" b="1">
              <a:solidFill>
                <a:schemeClr val="tx1"/>
              </a:solidFill>
            </a:rPr>
            <a:t>/utilitnější než TECFIDERA (DMF)</a:t>
          </a:r>
        </a:p>
      </xdr:txBody>
    </xdr:sp>
    <xdr:clientData/>
  </xdr:twoCellAnchor>
  <xdr:twoCellAnchor>
    <xdr:from>
      <xdr:col>11</xdr:col>
      <xdr:colOff>59531</xdr:colOff>
      <xdr:row>8</xdr:row>
      <xdr:rowOff>250031</xdr:rowOff>
    </xdr:from>
    <xdr:to>
      <xdr:col>11</xdr:col>
      <xdr:colOff>130968</xdr:colOff>
      <xdr:row>10</xdr:row>
      <xdr:rowOff>95250</xdr:rowOff>
    </xdr:to>
    <xdr:sp macro="" textlink="">
      <xdr:nvSpPr>
        <xdr:cNvPr id="5" name="Šipka: dolů 4">
          <a:extLst>
            <a:ext uri="{FF2B5EF4-FFF2-40B4-BE49-F238E27FC236}">
              <a16:creationId xmlns:a16="http://schemas.microsoft.com/office/drawing/2014/main" id="{00000000-0008-0000-0100-000005000000}"/>
            </a:ext>
          </a:extLst>
        </xdr:cNvPr>
        <xdr:cNvSpPr/>
      </xdr:nvSpPr>
      <xdr:spPr>
        <a:xfrm>
          <a:off x="10203656" y="3095625"/>
          <a:ext cx="71437" cy="51196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11</xdr:col>
      <xdr:colOff>11906</xdr:colOff>
      <xdr:row>29</xdr:row>
      <xdr:rowOff>59532</xdr:rowOff>
    </xdr:from>
    <xdr:to>
      <xdr:col>11</xdr:col>
      <xdr:colOff>59530</xdr:colOff>
      <xdr:row>32</xdr:row>
      <xdr:rowOff>1</xdr:rowOff>
    </xdr:to>
    <xdr:sp macro="" textlink="">
      <xdr:nvSpPr>
        <xdr:cNvPr id="15" name="Šipka: dolů 14">
          <a:extLst>
            <a:ext uri="{FF2B5EF4-FFF2-40B4-BE49-F238E27FC236}">
              <a16:creationId xmlns:a16="http://schemas.microsoft.com/office/drawing/2014/main" id="{00000000-0008-0000-0100-00000F000000}"/>
            </a:ext>
          </a:extLst>
        </xdr:cNvPr>
        <xdr:cNvSpPr/>
      </xdr:nvSpPr>
      <xdr:spPr>
        <a:xfrm>
          <a:off x="10156031" y="9405938"/>
          <a:ext cx="47624" cy="51196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12</xdr:col>
      <xdr:colOff>440529</xdr:colOff>
      <xdr:row>7</xdr:row>
      <xdr:rowOff>238125</xdr:rowOff>
    </xdr:from>
    <xdr:to>
      <xdr:col>14</xdr:col>
      <xdr:colOff>238123</xdr:colOff>
      <xdr:row>10</xdr:row>
      <xdr:rowOff>232821</xdr:rowOff>
    </xdr:to>
    <xdr:sp macro="" textlink="">
      <xdr:nvSpPr>
        <xdr:cNvPr id="17" name="Ovál 16">
          <a:extLst>
            <a:ext uri="{FF2B5EF4-FFF2-40B4-BE49-F238E27FC236}">
              <a16:creationId xmlns:a16="http://schemas.microsoft.com/office/drawing/2014/main" id="{00000000-0008-0000-0100-000011000000}"/>
            </a:ext>
          </a:extLst>
        </xdr:cNvPr>
        <xdr:cNvSpPr/>
      </xdr:nvSpPr>
      <xdr:spPr>
        <a:xfrm flipH="1">
          <a:off x="11191873" y="2750344"/>
          <a:ext cx="1012031" cy="994821"/>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cs-CZ"/>
        </a:p>
      </xdr:txBody>
    </xdr:sp>
    <xdr:clientData/>
  </xdr:twoCellAnchor>
  <xdr:twoCellAnchor>
    <xdr:from>
      <xdr:col>24</xdr:col>
      <xdr:colOff>452435</xdr:colOff>
      <xdr:row>22</xdr:row>
      <xdr:rowOff>392906</xdr:rowOff>
    </xdr:from>
    <xdr:to>
      <xdr:col>28</xdr:col>
      <xdr:colOff>119062</xdr:colOff>
      <xdr:row>39</xdr:row>
      <xdr:rowOff>47624</xdr:rowOff>
    </xdr:to>
    <xdr:sp macro="" textlink="">
      <xdr:nvSpPr>
        <xdr:cNvPr id="18" name="Ovál 17">
          <a:extLst>
            <a:ext uri="{FF2B5EF4-FFF2-40B4-BE49-F238E27FC236}">
              <a16:creationId xmlns:a16="http://schemas.microsoft.com/office/drawing/2014/main" id="{00000000-0008-0000-0100-000012000000}"/>
            </a:ext>
          </a:extLst>
        </xdr:cNvPr>
        <xdr:cNvSpPr/>
      </xdr:nvSpPr>
      <xdr:spPr>
        <a:xfrm flipH="1">
          <a:off x="18490404" y="7977187"/>
          <a:ext cx="2095502" cy="3321843"/>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cs-CZ"/>
        </a:p>
      </xdr:txBody>
    </xdr:sp>
    <xdr:clientData/>
  </xdr:twoCellAnchor>
  <xdr:twoCellAnchor>
    <xdr:from>
      <xdr:col>20</xdr:col>
      <xdr:colOff>500060</xdr:colOff>
      <xdr:row>27</xdr:row>
      <xdr:rowOff>119063</xdr:rowOff>
    </xdr:from>
    <xdr:to>
      <xdr:col>23</xdr:col>
      <xdr:colOff>297655</xdr:colOff>
      <xdr:row>40</xdr:row>
      <xdr:rowOff>47625</xdr:rowOff>
    </xdr:to>
    <xdr:sp macro="" textlink="">
      <xdr:nvSpPr>
        <xdr:cNvPr id="19" name="Ovál 18">
          <a:extLst>
            <a:ext uri="{FF2B5EF4-FFF2-40B4-BE49-F238E27FC236}">
              <a16:creationId xmlns:a16="http://schemas.microsoft.com/office/drawing/2014/main" id="{00000000-0008-0000-0100-000013000000}"/>
            </a:ext>
          </a:extLst>
        </xdr:cNvPr>
        <xdr:cNvSpPr/>
      </xdr:nvSpPr>
      <xdr:spPr>
        <a:xfrm flipH="1">
          <a:off x="16109154" y="9084469"/>
          <a:ext cx="1619251" cy="2405062"/>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cs-CZ"/>
        </a:p>
      </xdr:txBody>
    </xdr:sp>
    <xdr:clientData/>
  </xdr:twoCellAnchor>
  <xdr:twoCellAnchor>
    <xdr:from>
      <xdr:col>26</xdr:col>
      <xdr:colOff>523873</xdr:colOff>
      <xdr:row>6</xdr:row>
      <xdr:rowOff>35718</xdr:rowOff>
    </xdr:from>
    <xdr:to>
      <xdr:col>28</xdr:col>
      <xdr:colOff>273843</xdr:colOff>
      <xdr:row>10</xdr:row>
      <xdr:rowOff>202406</xdr:rowOff>
    </xdr:to>
    <xdr:sp macro="" textlink="">
      <xdr:nvSpPr>
        <xdr:cNvPr id="20" name="Ovál 19">
          <a:extLst>
            <a:ext uri="{FF2B5EF4-FFF2-40B4-BE49-F238E27FC236}">
              <a16:creationId xmlns:a16="http://schemas.microsoft.com/office/drawing/2014/main" id="{00000000-0008-0000-0100-000014000000}"/>
            </a:ext>
          </a:extLst>
        </xdr:cNvPr>
        <xdr:cNvSpPr/>
      </xdr:nvSpPr>
      <xdr:spPr>
        <a:xfrm flipH="1">
          <a:off x="19776279" y="2214562"/>
          <a:ext cx="964408" cy="1500188"/>
        </a:xfrm>
        <a:prstGeom prst="ellipse">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cs-CZ"/>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0.04651</cdr:x>
      <cdr:y>0.43674</cdr:y>
    </cdr:from>
    <cdr:to>
      <cdr:x>0.10884</cdr:x>
      <cdr:y>0.54943</cdr:y>
    </cdr:to>
    <cdr:sp macro="" textlink="">
      <cdr:nvSpPr>
        <cdr:cNvPr id="3" name="TextovéPole 2"/>
        <cdr:cNvSpPr txBox="1"/>
      </cdr:nvSpPr>
      <cdr:spPr>
        <a:xfrm xmlns:a="http://schemas.openxmlformats.org/drawingml/2006/main">
          <a:off x="618395" y="2602664"/>
          <a:ext cx="828722" cy="6715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1100" b="1"/>
            <a:t>     </a:t>
          </a:r>
          <a:r>
            <a:rPr lang="cs-CZ" sz="1000" b="1"/>
            <a:t>RR  1,00 </a:t>
          </a:r>
        </a:p>
        <a:p xmlns:a="http://schemas.openxmlformats.org/drawingml/2006/main">
          <a:r>
            <a:rPr lang="cs-CZ" sz="1000" b="1"/>
            <a:t>     pro DMF ----</a:t>
          </a:r>
        </a:p>
        <a:p xmlns:a="http://schemas.openxmlformats.org/drawingml/2006/main">
          <a:r>
            <a:rPr lang="cs-CZ" sz="1000" b="1"/>
            <a:t> jako kompar.</a:t>
          </a:r>
          <a:endParaRPr lang="cs-CZ" sz="1100"/>
        </a:p>
      </cdr:txBody>
    </cdr:sp>
  </cdr:relSizeAnchor>
  <cdr:relSizeAnchor xmlns:cdr="http://schemas.openxmlformats.org/drawingml/2006/chartDrawing">
    <cdr:from>
      <cdr:x>0.11077</cdr:x>
      <cdr:y>0.43954</cdr:y>
    </cdr:from>
    <cdr:to>
      <cdr:x>0.89402</cdr:x>
      <cdr:y>0.44354</cdr:y>
    </cdr:to>
    <cdr:cxnSp macro="">
      <cdr:nvCxnSpPr>
        <cdr:cNvPr id="6" name="Přímá spojovací čára 5">
          <a:extLst xmlns:a="http://schemas.openxmlformats.org/drawingml/2006/main">
            <a:ext uri="{FF2B5EF4-FFF2-40B4-BE49-F238E27FC236}">
              <a16:creationId xmlns:a16="http://schemas.microsoft.com/office/drawing/2014/main" id="{3C97E087-6BB7-487D-A274-78422B87DFDF}"/>
            </a:ext>
          </a:extLst>
        </cdr:cNvPr>
        <cdr:cNvCxnSpPr/>
      </cdr:nvCxnSpPr>
      <cdr:spPr>
        <a:xfrm xmlns:a="http://schemas.openxmlformats.org/drawingml/2006/main" flipV="1">
          <a:off x="1505769" y="2619375"/>
          <a:ext cx="10646934" cy="23812"/>
        </a:xfrm>
        <a:prstGeom xmlns:a="http://schemas.openxmlformats.org/drawingml/2006/main" prst="line">
          <a:avLst/>
        </a:prstGeom>
        <a:noFill xmlns:a="http://schemas.openxmlformats.org/drawingml/2006/main"/>
        <a:ln xmlns:a="http://schemas.openxmlformats.org/drawingml/2006/main" w="19050" cap="flat" cmpd="sng" algn="ctr">
          <a:solidFill>
            <a:srgbClr val="4F81BD">
              <a:shade val="95000"/>
              <a:satMod val="105000"/>
            </a:srgbClr>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0.10988</cdr:x>
      <cdr:y>0.54943</cdr:y>
    </cdr:from>
    <cdr:to>
      <cdr:x>0.89752</cdr:x>
      <cdr:y>0.55143</cdr:y>
    </cdr:to>
    <cdr:cxnSp macro="">
      <cdr:nvCxnSpPr>
        <cdr:cNvPr id="7" name="Přímá spojovací čára 6">
          <a:extLst xmlns:a="http://schemas.openxmlformats.org/drawingml/2006/main">
            <a:ext uri="{FF2B5EF4-FFF2-40B4-BE49-F238E27FC236}">
              <a16:creationId xmlns:a16="http://schemas.microsoft.com/office/drawing/2014/main" id="{EBDCD171-4033-43F5-9FB0-0DC5EE3AC855}"/>
            </a:ext>
          </a:extLst>
        </cdr:cNvPr>
        <cdr:cNvCxnSpPr/>
      </cdr:nvCxnSpPr>
      <cdr:spPr>
        <a:xfrm xmlns:a="http://schemas.openxmlformats.org/drawingml/2006/main" flipV="1">
          <a:off x="1493597" y="3274218"/>
          <a:ext cx="10706731" cy="11907"/>
        </a:xfrm>
        <a:prstGeom xmlns:a="http://schemas.openxmlformats.org/drawingml/2006/main" prst="line">
          <a:avLst/>
        </a:prstGeom>
        <a:noFill xmlns:a="http://schemas.openxmlformats.org/drawingml/2006/main"/>
        <a:ln xmlns:a="http://schemas.openxmlformats.org/drawingml/2006/main" w="19050" cap="flat" cmpd="sng" algn="ctr">
          <a:solidFill>
            <a:srgbClr val="4F81BD">
              <a:shade val="95000"/>
              <a:satMod val="105000"/>
            </a:srgbClr>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0.89225</cdr:x>
      <cdr:y>0.43468</cdr:y>
    </cdr:from>
    <cdr:to>
      <cdr:x>0.89314</cdr:x>
      <cdr:y>0.55291</cdr:y>
    </cdr:to>
    <cdr:cxnSp macro="">
      <cdr:nvCxnSpPr>
        <cdr:cNvPr id="9" name="Přímá spojovací šipka 8">
          <a:extLst xmlns:a="http://schemas.openxmlformats.org/drawingml/2006/main">
            <a:ext uri="{FF2B5EF4-FFF2-40B4-BE49-F238E27FC236}">
              <a16:creationId xmlns:a16="http://schemas.microsoft.com/office/drawing/2014/main" id="{307D6409-41A8-4EA9-8578-C1A63DA42726}"/>
            </a:ext>
          </a:extLst>
        </cdr:cNvPr>
        <cdr:cNvCxnSpPr/>
      </cdr:nvCxnSpPr>
      <cdr:spPr>
        <a:xfrm xmlns:a="http://schemas.openxmlformats.org/drawingml/2006/main">
          <a:off x="12128680" y="2590389"/>
          <a:ext cx="12099" cy="704572"/>
        </a:xfrm>
        <a:prstGeom xmlns:a="http://schemas.openxmlformats.org/drawingml/2006/main" prst="straightConnector1">
          <a:avLst/>
        </a:prstGeom>
        <a:noFill xmlns:a="http://schemas.openxmlformats.org/drawingml/2006/main"/>
        <a:ln xmlns:a="http://schemas.openxmlformats.org/drawingml/2006/main" w="25400" cap="flat" cmpd="sng" algn="ctr">
          <a:solidFill>
            <a:srgbClr val="4F81BD">
              <a:shade val="95000"/>
              <a:satMod val="105000"/>
            </a:srgbClr>
          </a:solidFill>
          <a:prstDash val="solid"/>
          <a:headEnd type="arrow"/>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0.18895</cdr:x>
      <cdr:y>0.08975</cdr:y>
    </cdr:from>
    <cdr:to>
      <cdr:x>0.88922</cdr:x>
      <cdr:y>0.16018</cdr:y>
    </cdr:to>
    <cdr:sp macro="" textlink="">
      <cdr:nvSpPr>
        <cdr:cNvPr id="10" name="TextovéPole 15"/>
        <cdr:cNvSpPr txBox="1"/>
      </cdr:nvSpPr>
      <cdr:spPr>
        <a:xfrm xmlns:a="http://schemas.openxmlformats.org/drawingml/2006/main">
          <a:off x="2512279" y="534834"/>
          <a:ext cx="9310582" cy="41971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cs-CZ" sz="1100"/>
            <a:t>(přerušované</a:t>
          </a:r>
          <a:r>
            <a:rPr lang="cs-CZ" sz="1100" baseline="0"/>
            <a:t> čáry značí průměrnou diferenci mezních hodnot ze všech přípravků od  jejich průměrů  (+/- 28% ) z nákladové utility  scénáře 6  vztažené  k   DMF) </a:t>
          </a:r>
        </a:p>
        <a:p xmlns:a="http://schemas.openxmlformats.org/drawingml/2006/main">
          <a:r>
            <a:rPr lang="cs-CZ" sz="1100" baseline="0"/>
            <a:t>                                 - </a:t>
          </a:r>
          <a:r>
            <a:rPr lang="cs-CZ" sz="1100" u="sng" baseline="0"/>
            <a:t>všechny scénáře jsou z 5ti letého časového horizontu zprůměrovány na 1 rok, kromě scénáře č. 5, který je z 2 letého!</a:t>
          </a:r>
          <a:endParaRPr lang="cs-CZ" sz="1100" u="sng"/>
        </a:p>
      </cdr:txBody>
    </cdr:sp>
  </cdr:relSizeAnchor>
  <cdr:relSizeAnchor xmlns:cdr="http://schemas.openxmlformats.org/drawingml/2006/chartDrawing">
    <cdr:from>
      <cdr:x>0.07316</cdr:x>
      <cdr:y>0.05048</cdr:y>
    </cdr:from>
    <cdr:to>
      <cdr:x>0.95842</cdr:x>
      <cdr:y>0.11041</cdr:y>
    </cdr:to>
    <cdr:sp macro="" textlink="">
      <cdr:nvSpPr>
        <cdr:cNvPr id="8" name="TextovéPole 1">
          <a:extLst xmlns:a="http://schemas.openxmlformats.org/drawingml/2006/main">
            <a:ext uri="{FF2B5EF4-FFF2-40B4-BE49-F238E27FC236}">
              <a16:creationId xmlns:a16="http://schemas.microsoft.com/office/drawing/2014/main" id="{B89996CE-FBEC-4C59-908F-ED9B349A8D82}"/>
            </a:ext>
          </a:extLst>
        </cdr:cNvPr>
        <cdr:cNvSpPr txBox="1"/>
      </cdr:nvSpPr>
      <cdr:spPr>
        <a:xfrm xmlns:a="http://schemas.openxmlformats.org/drawingml/2006/main">
          <a:off x="972734" y="300832"/>
          <a:ext cx="11770129" cy="3571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spcAft>
              <a:spcPts val="600"/>
            </a:spcAft>
          </a:pPr>
          <a:r>
            <a:rPr lang="cs-CZ" sz="1400" b="1"/>
            <a:t>RR pro nákladovou efektivitu</a:t>
          </a:r>
          <a:r>
            <a:rPr lang="cs-CZ" sz="1400" b="1" baseline="0"/>
            <a:t> vs akceptabilitu</a:t>
          </a:r>
          <a:r>
            <a:rPr lang="cs-CZ" sz="1400" b="1"/>
            <a:t> (scénáře 1-5)/ nákladovou utilitu (scénáře 6-7) vůči  TECFIDEŘE (DMF),  cena vč. aplik. a profylaxe u i.v., s.c. hospital.</a:t>
          </a:r>
          <a:r>
            <a:rPr lang="cs-CZ" sz="1400" b="1" baseline="30000"/>
            <a:t>15</a:t>
          </a:r>
          <a:r>
            <a:rPr lang="cs-CZ" sz="1400" b="1"/>
            <a:t>                                                       </a:t>
          </a:r>
        </a:p>
      </cdr:txBody>
    </cdr:sp>
  </cdr:relSizeAnchor>
  <cdr:relSizeAnchor xmlns:cdr="http://schemas.openxmlformats.org/drawingml/2006/chartDrawing">
    <cdr:from>
      <cdr:x>0.52752</cdr:x>
      <cdr:y>0.45553</cdr:y>
    </cdr:from>
    <cdr:to>
      <cdr:x>0.60497</cdr:x>
      <cdr:y>0.65332</cdr:y>
    </cdr:to>
    <cdr:sp macro="" textlink="">
      <cdr:nvSpPr>
        <cdr:cNvPr id="13" name="Ovál 12">
          <a:extLst xmlns:a="http://schemas.openxmlformats.org/drawingml/2006/main">
            <a:ext uri="{FF2B5EF4-FFF2-40B4-BE49-F238E27FC236}">
              <a16:creationId xmlns:a16="http://schemas.microsoft.com/office/drawing/2014/main" id="{1563EA87-702E-476D-A61D-88F819CF2843}"/>
            </a:ext>
          </a:extLst>
        </cdr:cNvPr>
        <cdr:cNvSpPr/>
      </cdr:nvSpPr>
      <cdr:spPr>
        <a:xfrm xmlns:a="http://schemas.openxmlformats.org/drawingml/2006/main" flipH="1">
          <a:off x="7170737" y="2714625"/>
          <a:ext cx="1052903" cy="1178718"/>
        </a:xfrm>
        <a:prstGeom xmlns:a="http://schemas.openxmlformats.org/drawingml/2006/main" prst="ellipse">
          <a:avLst/>
        </a:prstGeom>
        <a:noFill xmlns:a="http://schemas.openxmlformats.org/drawingml/2006/main"/>
        <a:ln xmlns:a="http://schemas.openxmlformats.org/drawingml/2006/main" w="28575">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userShapes>
</file>

<file path=xl/drawings/drawing3.xml><?xml version="1.0" encoding="utf-8"?>
<c:userShapes xmlns:c="http://schemas.openxmlformats.org/drawingml/2006/chart">
  <cdr:relSizeAnchor xmlns:cdr="http://schemas.openxmlformats.org/drawingml/2006/chartDrawing">
    <cdr:from>
      <cdr:x>0.0431</cdr:x>
      <cdr:y>0.44961</cdr:y>
    </cdr:from>
    <cdr:to>
      <cdr:x>0.10551</cdr:x>
      <cdr:y>0.56933</cdr:y>
    </cdr:to>
    <cdr:sp macro="" textlink="">
      <cdr:nvSpPr>
        <cdr:cNvPr id="2" name="TextovéPole 1"/>
        <cdr:cNvSpPr txBox="1"/>
      </cdr:nvSpPr>
      <cdr:spPr>
        <a:xfrm xmlns:a="http://schemas.openxmlformats.org/drawingml/2006/main">
          <a:off x="571499" y="2374106"/>
          <a:ext cx="827454" cy="6321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cs-CZ" sz="1100" b="1"/>
            <a:t>     </a:t>
          </a:r>
          <a:r>
            <a:rPr lang="cs-CZ" sz="1000" b="1"/>
            <a:t>RR  1,00 </a:t>
          </a:r>
        </a:p>
        <a:p xmlns:a="http://schemas.openxmlformats.org/drawingml/2006/main">
          <a:r>
            <a:rPr lang="cs-CZ" sz="1000" b="1"/>
            <a:t>     pro DMF ------</a:t>
          </a:r>
        </a:p>
        <a:p xmlns:a="http://schemas.openxmlformats.org/drawingml/2006/main">
          <a:r>
            <a:rPr lang="cs-CZ" sz="1000" b="1"/>
            <a:t> jako kompar.</a:t>
          </a:r>
          <a:endParaRPr lang="cs-CZ" sz="1100" b="1"/>
        </a:p>
      </cdr:txBody>
    </cdr:sp>
  </cdr:relSizeAnchor>
  <cdr:relSizeAnchor xmlns:cdr="http://schemas.openxmlformats.org/drawingml/2006/chartDrawing">
    <cdr:from>
      <cdr:x>0</cdr:x>
      <cdr:y>0</cdr:y>
    </cdr:from>
    <cdr:to>
      <cdr:x>0.00181</cdr:x>
      <cdr:y>0.00438</cdr:y>
    </cdr:to>
    <cdr:pic>
      <cdr:nvPicPr>
        <cdr:cNvPr id="3" name="chart">
          <a:extLst xmlns:a="http://schemas.openxmlformats.org/drawingml/2006/main">
            <a:ext uri="{FF2B5EF4-FFF2-40B4-BE49-F238E27FC236}">
              <a16:creationId xmlns:a16="http://schemas.microsoft.com/office/drawing/2014/main" id="{2E2AD909-255E-4707-9886-B6BFDF87B87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0.21107</cdr:x>
      <cdr:y>0.06042</cdr:y>
    </cdr:from>
    <cdr:to>
      <cdr:x>0.82254</cdr:x>
      <cdr:y>0.12688</cdr:y>
    </cdr:to>
    <cdr:sp macro="" textlink="">
      <cdr:nvSpPr>
        <cdr:cNvPr id="4" name="TextovéPole 1"/>
        <cdr:cNvSpPr txBox="1"/>
      </cdr:nvSpPr>
      <cdr:spPr>
        <a:xfrm xmlns:a="http://schemas.openxmlformats.org/drawingml/2006/main">
          <a:off x="2852298" y="336175"/>
          <a:ext cx="8262936" cy="36978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cs-CZ" sz="1400" b="1"/>
        </a:p>
      </cdr:txBody>
    </cdr:sp>
  </cdr:relSizeAnchor>
  <cdr:relSizeAnchor xmlns:cdr="http://schemas.openxmlformats.org/drawingml/2006/chartDrawing">
    <cdr:from>
      <cdr:x>0.05798</cdr:x>
      <cdr:y>0.06262</cdr:y>
    </cdr:from>
    <cdr:to>
      <cdr:x>0.96139</cdr:x>
      <cdr:y>0.13026</cdr:y>
    </cdr:to>
    <cdr:sp macro="" textlink="">
      <cdr:nvSpPr>
        <cdr:cNvPr id="5" name="TextovéPole 1"/>
        <cdr:cNvSpPr txBox="1"/>
      </cdr:nvSpPr>
      <cdr:spPr>
        <a:xfrm xmlns:a="http://schemas.openxmlformats.org/drawingml/2006/main">
          <a:off x="768704" y="330655"/>
          <a:ext cx="11977688" cy="3571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spcAft>
              <a:spcPts val="600"/>
            </a:spcAft>
          </a:pPr>
          <a:r>
            <a:rPr lang="cs-CZ" sz="1400" b="1"/>
            <a:t>RR pro nákladovou efektivitu</a:t>
          </a:r>
          <a:r>
            <a:rPr lang="cs-CZ" sz="1400" b="1" baseline="0"/>
            <a:t> vs akceptabilitu</a:t>
          </a:r>
          <a:r>
            <a:rPr lang="cs-CZ" sz="1400" b="1"/>
            <a:t> (scénáře 1-5)/ nákladovou utilitu (scénáře 6-7) vůči TECFIDEŘE (DMF),  cena vč. aplik. a profylaxe u i.v., s.c. hospital.</a:t>
          </a:r>
          <a:r>
            <a:rPr lang="cs-CZ" sz="1400" b="1" baseline="30000"/>
            <a:t>15</a:t>
          </a:r>
          <a:r>
            <a:rPr lang="cs-CZ" sz="1400" b="1"/>
            <a:t>                                                       </a:t>
          </a:r>
        </a:p>
      </cdr:txBody>
    </cdr:sp>
  </cdr:relSizeAnchor>
  <cdr:relSizeAnchor xmlns:cdr="http://schemas.openxmlformats.org/drawingml/2006/chartDrawing">
    <cdr:from>
      <cdr:x>0.00173</cdr:x>
      <cdr:y>0.49891</cdr:y>
    </cdr:from>
    <cdr:to>
      <cdr:x>0.03901</cdr:x>
      <cdr:y>0.86419</cdr:y>
    </cdr:to>
    <cdr:sp macro="" textlink="">
      <cdr:nvSpPr>
        <cdr:cNvPr id="13" name="TextovéPole 2">
          <a:extLst xmlns:a="http://schemas.openxmlformats.org/drawingml/2006/main">
            <a:ext uri="{FF2B5EF4-FFF2-40B4-BE49-F238E27FC236}">
              <a16:creationId xmlns:a16="http://schemas.microsoft.com/office/drawing/2014/main" id="{7611DACD-679C-4B17-859C-572931F643BF}"/>
            </a:ext>
          </a:extLst>
        </cdr:cNvPr>
        <cdr:cNvSpPr txBox="1"/>
      </cdr:nvSpPr>
      <cdr:spPr>
        <a:xfrm xmlns:a="http://schemas.openxmlformats.org/drawingml/2006/main">
          <a:off x="23813" y="2634456"/>
          <a:ext cx="511968" cy="19288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cs-CZ" sz="1000" b="1">
              <a:solidFill>
                <a:schemeClr val="tx1"/>
              </a:solidFill>
            </a:rPr>
            <a:t>nákladově efektivnější/ akcetabil.</a:t>
          </a:r>
        </a:p>
        <a:p xmlns:a="http://schemas.openxmlformats.org/drawingml/2006/main">
          <a:pPr algn="ctr"/>
          <a:r>
            <a:rPr lang="cs-CZ" sz="1000" b="1">
              <a:solidFill>
                <a:schemeClr val="tx1"/>
              </a:solidFill>
            </a:rPr>
            <a:t>/utilitnější než TECFIDERA (DMF)</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152400</xdr:rowOff>
    </xdr:from>
    <xdr:to>
      <xdr:col>12</xdr:col>
      <xdr:colOff>390525</xdr:colOff>
      <xdr:row>22</xdr:row>
      <xdr:rowOff>142875</xdr:rowOff>
    </xdr:to>
    <xdr:pic>
      <xdr:nvPicPr>
        <xdr:cNvPr id="4098" name="Picture 2">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0" y="152400"/>
          <a:ext cx="7419975" cy="41814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495300</xdr:colOff>
      <xdr:row>26</xdr:row>
      <xdr:rowOff>0</xdr:rowOff>
    </xdr:to>
    <xdr:pic>
      <xdr:nvPicPr>
        <xdr:cNvPr id="5122" name="Picture 2">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981700" cy="479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7</xdr:col>
      <xdr:colOff>571500</xdr:colOff>
      <xdr:row>12</xdr:row>
      <xdr:rowOff>85725</xdr:rowOff>
    </xdr:to>
    <xdr:pic>
      <xdr:nvPicPr>
        <xdr:cNvPr id="6146" name="Picture 2">
          <a:extLst>
            <a:ext uri="{FF2B5EF4-FFF2-40B4-BE49-F238E27FC236}">
              <a16:creationId xmlns:a16="http://schemas.microsoft.com/office/drawing/2014/main" id="{00000000-0008-0000-0400-000002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76200"/>
          <a:ext cx="4800600" cy="2295525"/>
        </a:xfrm>
        <a:prstGeom prst="rect">
          <a:avLst/>
        </a:prstGeom>
        <a:noFill/>
      </xdr:spPr>
    </xdr:pic>
    <xdr:clientData/>
  </xdr:twoCellAnchor>
  <xdr:twoCellAnchor editAs="oneCell">
    <xdr:from>
      <xdr:col>0</xdr:col>
      <xdr:colOff>142875</xdr:colOff>
      <xdr:row>12</xdr:row>
      <xdr:rowOff>57150</xdr:rowOff>
    </xdr:from>
    <xdr:to>
      <xdr:col>7</xdr:col>
      <xdr:colOff>561975</xdr:colOff>
      <xdr:row>17</xdr:row>
      <xdr:rowOff>123825</xdr:rowOff>
    </xdr:to>
    <xdr:pic>
      <xdr:nvPicPr>
        <xdr:cNvPr id="6148" name="Picture 4">
          <a:extLst>
            <a:ext uri="{FF2B5EF4-FFF2-40B4-BE49-F238E27FC236}">
              <a16:creationId xmlns:a16="http://schemas.microsoft.com/office/drawing/2014/main" id="{00000000-0008-0000-0400-000004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875" y="2343150"/>
          <a:ext cx="4686300" cy="1019175"/>
        </a:xfrm>
        <a:prstGeom prst="rect">
          <a:avLst/>
        </a:prstGeom>
        <a:noFill/>
      </xdr:spPr>
    </xdr:pic>
    <xdr:clientData/>
  </xdr:twoCellAnchor>
  <xdr:twoCellAnchor editAs="oneCell">
    <xdr:from>
      <xdr:col>7</xdr:col>
      <xdr:colOff>561975</xdr:colOff>
      <xdr:row>0</xdr:row>
      <xdr:rowOff>85725</xdr:rowOff>
    </xdr:from>
    <xdr:to>
      <xdr:col>15</xdr:col>
      <xdr:colOff>390525</xdr:colOff>
      <xdr:row>29</xdr:row>
      <xdr:rowOff>57150</xdr:rowOff>
    </xdr:to>
    <xdr:pic>
      <xdr:nvPicPr>
        <xdr:cNvPr id="6150" name="Picture 6">
          <a:extLst>
            <a:ext uri="{FF2B5EF4-FFF2-40B4-BE49-F238E27FC236}">
              <a16:creationId xmlns:a16="http://schemas.microsoft.com/office/drawing/2014/main" id="{00000000-0008-0000-0400-0000061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29175" y="85725"/>
          <a:ext cx="4705350" cy="5276850"/>
        </a:xfrm>
        <a:prstGeom prst="rect">
          <a:avLst/>
        </a:prstGeom>
        <a:noFill/>
      </xdr:spPr>
    </xdr:pic>
    <xdr:clientData/>
  </xdr:twoCellAnchor>
  <xdr:twoCellAnchor editAs="oneCell">
    <xdr:from>
      <xdr:col>8</xdr:col>
      <xdr:colOff>9525</xdr:colOff>
      <xdr:row>28</xdr:row>
      <xdr:rowOff>38100</xdr:rowOff>
    </xdr:from>
    <xdr:to>
      <xdr:col>15</xdr:col>
      <xdr:colOff>323850</xdr:colOff>
      <xdr:row>51</xdr:row>
      <xdr:rowOff>95250</xdr:rowOff>
    </xdr:to>
    <xdr:pic>
      <xdr:nvPicPr>
        <xdr:cNvPr id="6152" name="Picture 8">
          <a:extLst>
            <a:ext uri="{FF2B5EF4-FFF2-40B4-BE49-F238E27FC236}">
              <a16:creationId xmlns:a16="http://schemas.microsoft.com/office/drawing/2014/main" id="{00000000-0008-0000-0400-00000818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886325" y="5372100"/>
          <a:ext cx="4581525" cy="4438650"/>
        </a:xfrm>
        <a:prstGeom prst="rect">
          <a:avLst/>
        </a:prstGeom>
        <a:noFill/>
      </xdr:spPr>
    </xdr:pic>
    <xdr:clientData/>
  </xdr:twoCellAnchor>
  <xdr:twoCellAnchor editAs="oneCell">
    <xdr:from>
      <xdr:col>0</xdr:col>
      <xdr:colOff>47625</xdr:colOff>
      <xdr:row>20</xdr:row>
      <xdr:rowOff>161925</xdr:rowOff>
    </xdr:from>
    <xdr:to>
      <xdr:col>8</xdr:col>
      <xdr:colOff>0</xdr:colOff>
      <xdr:row>30</xdr:row>
      <xdr:rowOff>133350</xdr:rowOff>
    </xdr:to>
    <xdr:pic>
      <xdr:nvPicPr>
        <xdr:cNvPr id="6154" name="Picture 10">
          <a:extLst>
            <a:ext uri="{FF2B5EF4-FFF2-40B4-BE49-F238E27FC236}">
              <a16:creationId xmlns:a16="http://schemas.microsoft.com/office/drawing/2014/main" id="{00000000-0008-0000-0400-00000A18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7625" y="3971925"/>
          <a:ext cx="4829175" cy="1876425"/>
        </a:xfrm>
        <a:prstGeom prst="rect">
          <a:avLst/>
        </a:prstGeom>
        <a:noFill/>
      </xdr:spPr>
    </xdr:pic>
    <xdr:clientData/>
  </xdr:twoCellAnchor>
  <xdr:twoCellAnchor editAs="oneCell">
    <xdr:from>
      <xdr:col>0</xdr:col>
      <xdr:colOff>123825</xdr:colOff>
      <xdr:row>30</xdr:row>
      <xdr:rowOff>104775</xdr:rowOff>
    </xdr:from>
    <xdr:to>
      <xdr:col>7</xdr:col>
      <xdr:colOff>514350</xdr:colOff>
      <xdr:row>59</xdr:row>
      <xdr:rowOff>19050</xdr:rowOff>
    </xdr:to>
    <xdr:pic>
      <xdr:nvPicPr>
        <xdr:cNvPr id="6156" name="Picture 12">
          <a:extLst>
            <a:ext uri="{FF2B5EF4-FFF2-40B4-BE49-F238E27FC236}">
              <a16:creationId xmlns:a16="http://schemas.microsoft.com/office/drawing/2014/main" id="{00000000-0008-0000-0400-00000C18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23825" y="5819775"/>
          <a:ext cx="4657725" cy="5334000"/>
        </a:xfrm>
        <a:prstGeom prst="rect">
          <a:avLst/>
        </a:prstGeom>
        <a:noFill/>
      </xdr:spPr>
    </xdr:pic>
    <xdr:clientData/>
  </xdr:twoCellAnchor>
  <xdr:twoCellAnchor editAs="oneCell">
    <xdr:from>
      <xdr:col>15</xdr:col>
      <xdr:colOff>419100</xdr:colOff>
      <xdr:row>1</xdr:row>
      <xdr:rowOff>9525</xdr:rowOff>
    </xdr:from>
    <xdr:to>
      <xdr:col>23</xdr:col>
      <xdr:colOff>190500</xdr:colOff>
      <xdr:row>8</xdr:row>
      <xdr:rowOff>19050</xdr:rowOff>
    </xdr:to>
    <xdr:pic>
      <xdr:nvPicPr>
        <xdr:cNvPr id="6158" name="Picture 14">
          <a:extLst>
            <a:ext uri="{FF2B5EF4-FFF2-40B4-BE49-F238E27FC236}">
              <a16:creationId xmlns:a16="http://schemas.microsoft.com/office/drawing/2014/main" id="{00000000-0008-0000-0400-00000E18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563100" y="200025"/>
          <a:ext cx="4648200" cy="13430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104775</xdr:colOff>
      <xdr:row>25</xdr:row>
      <xdr:rowOff>114300</xdr:rowOff>
    </xdr:to>
    <xdr:pic>
      <xdr:nvPicPr>
        <xdr:cNvPr id="7170" name="Picture 2">
          <a:extLst>
            <a:ext uri="{FF2B5EF4-FFF2-40B4-BE49-F238E27FC236}">
              <a16:creationId xmlns:a16="http://schemas.microsoft.com/office/drawing/2014/main" id="{00000000-0008-0000-0500-000002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467975" cy="4876800"/>
        </a:xfrm>
        <a:prstGeom prst="rect">
          <a:avLst/>
        </a:prstGeom>
        <a:noFill/>
      </xdr:spPr>
    </xdr:pic>
    <xdr:clientData/>
  </xdr:twoCellAnchor>
  <xdr:twoCellAnchor editAs="oneCell">
    <xdr:from>
      <xdr:col>0</xdr:col>
      <xdr:colOff>247650</xdr:colOff>
      <xdr:row>25</xdr:row>
      <xdr:rowOff>104775</xdr:rowOff>
    </xdr:from>
    <xdr:to>
      <xdr:col>17</xdr:col>
      <xdr:colOff>276225</xdr:colOff>
      <xdr:row>37</xdr:row>
      <xdr:rowOff>95250</xdr:rowOff>
    </xdr:to>
    <xdr:pic>
      <xdr:nvPicPr>
        <xdr:cNvPr id="7172" name="Picture 4">
          <a:extLst>
            <a:ext uri="{FF2B5EF4-FFF2-40B4-BE49-F238E27FC236}">
              <a16:creationId xmlns:a16="http://schemas.microsoft.com/office/drawing/2014/main" id="{00000000-0008-0000-0500-0000041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650" y="4867275"/>
          <a:ext cx="10391775" cy="2276475"/>
        </a:xfrm>
        <a:prstGeom prst="rect">
          <a:avLst/>
        </a:prstGeom>
        <a:noFill/>
      </xdr:spPr>
    </xdr:pic>
    <xdr:clientData/>
  </xdr:twoCellAnchor>
  <xdr:twoCellAnchor editAs="oneCell">
    <xdr:from>
      <xdr:col>17</xdr:col>
      <xdr:colOff>28575</xdr:colOff>
      <xdr:row>0</xdr:row>
      <xdr:rowOff>114300</xdr:rowOff>
    </xdr:from>
    <xdr:to>
      <xdr:col>29</xdr:col>
      <xdr:colOff>95250</xdr:colOff>
      <xdr:row>15</xdr:row>
      <xdr:rowOff>188064</xdr:rowOff>
    </xdr:to>
    <xdr:pic>
      <xdr:nvPicPr>
        <xdr:cNvPr id="7174" name="Picture 6">
          <a:extLst>
            <a:ext uri="{FF2B5EF4-FFF2-40B4-BE49-F238E27FC236}">
              <a16:creationId xmlns:a16="http://schemas.microsoft.com/office/drawing/2014/main" id="{00000000-0008-0000-0500-0000061C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391775" y="114300"/>
          <a:ext cx="7381875" cy="2931264"/>
        </a:xfrm>
        <a:prstGeom prst="rect">
          <a:avLst/>
        </a:prstGeom>
        <a:noFill/>
      </xdr:spPr>
    </xdr:pic>
    <xdr:clientData/>
  </xdr:twoCellAnchor>
  <xdr:twoCellAnchor editAs="oneCell">
    <xdr:from>
      <xdr:col>17</xdr:col>
      <xdr:colOff>9525</xdr:colOff>
      <xdr:row>15</xdr:row>
      <xdr:rowOff>161926</xdr:rowOff>
    </xdr:from>
    <xdr:to>
      <xdr:col>29</xdr:col>
      <xdr:colOff>156798</xdr:colOff>
      <xdr:row>30</xdr:row>
      <xdr:rowOff>28576</xdr:rowOff>
    </xdr:to>
    <xdr:pic>
      <xdr:nvPicPr>
        <xdr:cNvPr id="7176" name="Picture 8">
          <a:extLst>
            <a:ext uri="{FF2B5EF4-FFF2-40B4-BE49-F238E27FC236}">
              <a16:creationId xmlns:a16="http://schemas.microsoft.com/office/drawing/2014/main" id="{00000000-0008-0000-0500-0000081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372725" y="3019426"/>
          <a:ext cx="7462473" cy="2724150"/>
        </a:xfrm>
        <a:prstGeom prst="rect">
          <a:avLst/>
        </a:prstGeom>
        <a:noFill/>
      </xdr:spPr>
    </xdr:pic>
    <xdr:clientData/>
  </xdr:twoCellAnchor>
  <xdr:twoCellAnchor editAs="oneCell">
    <xdr:from>
      <xdr:col>17</xdr:col>
      <xdr:colOff>9526</xdr:colOff>
      <xdr:row>29</xdr:row>
      <xdr:rowOff>171451</xdr:rowOff>
    </xdr:from>
    <xdr:to>
      <xdr:col>29</xdr:col>
      <xdr:colOff>114300</xdr:colOff>
      <xdr:row>43</xdr:row>
      <xdr:rowOff>133350</xdr:rowOff>
    </xdr:to>
    <xdr:pic>
      <xdr:nvPicPr>
        <xdr:cNvPr id="7178" name="Picture 10">
          <a:extLst>
            <a:ext uri="{FF2B5EF4-FFF2-40B4-BE49-F238E27FC236}">
              <a16:creationId xmlns:a16="http://schemas.microsoft.com/office/drawing/2014/main" id="{00000000-0008-0000-0500-00000A1C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372726" y="5695951"/>
          <a:ext cx="7419974" cy="2543174"/>
        </a:xfrm>
        <a:prstGeom prst="rect">
          <a:avLst/>
        </a:prstGeom>
        <a:noFill/>
      </xdr:spPr>
    </xdr:pic>
    <xdr:clientData/>
  </xdr:twoCellAnchor>
  <xdr:twoCellAnchor editAs="oneCell">
    <xdr:from>
      <xdr:col>17</xdr:col>
      <xdr:colOff>0</xdr:colOff>
      <xdr:row>43</xdr:row>
      <xdr:rowOff>133350</xdr:rowOff>
    </xdr:from>
    <xdr:to>
      <xdr:col>29</xdr:col>
      <xdr:colOff>238125</xdr:colOff>
      <xdr:row>58</xdr:row>
      <xdr:rowOff>28575</xdr:rowOff>
    </xdr:to>
    <xdr:pic>
      <xdr:nvPicPr>
        <xdr:cNvPr id="7180" name="Picture 12">
          <a:extLst>
            <a:ext uri="{FF2B5EF4-FFF2-40B4-BE49-F238E27FC236}">
              <a16:creationId xmlns:a16="http://schemas.microsoft.com/office/drawing/2014/main" id="{00000000-0008-0000-0500-00000C1C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363200" y="8239125"/>
          <a:ext cx="7553325" cy="2752725"/>
        </a:xfrm>
        <a:prstGeom prst="rect">
          <a:avLst/>
        </a:prstGeom>
        <a:noFill/>
      </xdr:spPr>
    </xdr:pic>
    <xdr:clientData/>
  </xdr:twoCellAnchor>
  <xdr:twoCellAnchor editAs="oneCell">
    <xdr:from>
      <xdr:col>17</xdr:col>
      <xdr:colOff>76200</xdr:colOff>
      <xdr:row>58</xdr:row>
      <xdr:rowOff>38100</xdr:rowOff>
    </xdr:from>
    <xdr:to>
      <xdr:col>29</xdr:col>
      <xdr:colOff>314325</xdr:colOff>
      <xdr:row>64</xdr:row>
      <xdr:rowOff>38100</xdr:rowOff>
    </xdr:to>
    <xdr:pic>
      <xdr:nvPicPr>
        <xdr:cNvPr id="7182" name="Picture 14">
          <a:extLst>
            <a:ext uri="{FF2B5EF4-FFF2-40B4-BE49-F238E27FC236}">
              <a16:creationId xmlns:a16="http://schemas.microsoft.com/office/drawing/2014/main" id="{00000000-0008-0000-0500-00000E1C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0439400" y="11001375"/>
          <a:ext cx="7553325" cy="11430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MD%20pro%20RRMS%20pro%20forest%20pl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A ARR 5 let "/>
      <sheetName val="CEA CDP 5 let"/>
      <sheetName val="CUA QALY dle ICER 2017 5 let"/>
      <sheetName val="CEA eff.front. ARR 5 let "/>
      <sheetName val="CEA (2.linie) ICER ARR 5 "/>
      <sheetName val="CEA (1.linie) ICER ARR 5 "/>
      <sheetName val="List x"/>
      <sheetName val="Obrázky"/>
    </sheetNames>
    <sheetDataSet>
      <sheetData sheetId="0">
        <row r="4">
          <cell r="K4">
            <v>0.75461147685544661</v>
          </cell>
        </row>
        <row r="5">
          <cell r="K5">
            <v>0.86496500543171517</v>
          </cell>
        </row>
        <row r="6">
          <cell r="K6">
            <v>0.49396803521936983</v>
          </cell>
        </row>
        <row r="7">
          <cell r="K7">
            <v>0.70928685854908857</v>
          </cell>
        </row>
        <row r="8">
          <cell r="K8">
            <v>0.77332363860028774</v>
          </cell>
        </row>
        <row r="9">
          <cell r="K9">
            <v>0.71455680887326323</v>
          </cell>
        </row>
        <row r="10">
          <cell r="K10">
            <v>0.68056186390615558</v>
          </cell>
        </row>
        <row r="11">
          <cell r="K11">
            <v>0.49574740388371707</v>
          </cell>
        </row>
        <row r="12">
          <cell r="K12">
            <v>1</v>
          </cell>
        </row>
        <row r="13">
          <cell r="K13">
            <v>0.86315737711406615</v>
          </cell>
        </row>
        <row r="14">
          <cell r="K14">
            <v>0.81718707411701941</v>
          </cell>
        </row>
        <row r="15">
          <cell r="K15">
            <v>1.0197681067179731</v>
          </cell>
        </row>
        <row r="16">
          <cell r="K16">
            <v>0.91784154521927097</v>
          </cell>
        </row>
        <row r="17">
          <cell r="K17">
            <v>0.85980067664512827</v>
          </cell>
        </row>
        <row r="18">
          <cell r="K18">
            <v>0.72526348184791489</v>
          </cell>
        </row>
        <row r="19">
          <cell r="K19">
            <v>0.6247646633546089</v>
          </cell>
        </row>
        <row r="20">
          <cell r="K20">
            <v>0.75749085090672041</v>
          </cell>
        </row>
        <row r="21">
          <cell r="K21">
            <v>0.56603258072719387</v>
          </cell>
        </row>
        <row r="22">
          <cell r="K22">
            <v>0.79047481830689847</v>
          </cell>
        </row>
        <row r="23">
          <cell r="K23">
            <v>0.39523740915344924</v>
          </cell>
        </row>
        <row r="24">
          <cell r="K24">
            <v>1.1010184969274657</v>
          </cell>
        </row>
        <row r="25">
          <cell r="K25">
            <v>0.67381251583775248</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0"/>
  <sheetViews>
    <sheetView tabSelected="1" zoomScale="70" zoomScaleNormal="70" workbookViewId="0">
      <pane xSplit="3" ySplit="2" topLeftCell="K18" activePane="bottomRight" state="frozen"/>
      <selection pane="topRight" activeCell="D1" sqref="D1"/>
      <selection pane="bottomLeft" activeCell="A3" sqref="A3"/>
      <selection pane="bottomRight" activeCell="G18" sqref="G18:G25"/>
    </sheetView>
  </sheetViews>
  <sheetFormatPr defaultRowHeight="15" x14ac:dyDescent="0.25"/>
  <cols>
    <col min="1" max="1" width="32.7109375" customWidth="1"/>
    <col min="2" max="2" width="12.7109375" customWidth="1"/>
    <col min="3" max="3" width="20.140625" customWidth="1"/>
    <col min="4" max="5" width="10.7109375" customWidth="1"/>
    <col min="6" max="6" width="19.7109375" customWidth="1"/>
    <col min="7" max="7" width="14" customWidth="1"/>
    <col min="8" max="8" width="63.5703125" customWidth="1"/>
    <col min="9" max="9" width="35" customWidth="1"/>
    <col min="10" max="10" width="20.28515625" customWidth="1"/>
    <col min="11" max="11" width="21.140625" customWidth="1"/>
    <col min="12" max="12" width="19.5703125" customWidth="1"/>
    <col min="13" max="13" width="15.28515625" customWidth="1"/>
    <col min="14" max="14" width="17.5703125" customWidth="1"/>
    <col min="15" max="15" width="18" customWidth="1"/>
    <col min="16" max="16" width="17.42578125" customWidth="1"/>
    <col min="17" max="17" width="17.7109375" customWidth="1"/>
    <col min="18" max="18" width="17.85546875" customWidth="1"/>
    <col min="19" max="19" width="21.28515625" customWidth="1"/>
    <col min="20" max="20" width="17.85546875" customWidth="1"/>
    <col min="21" max="21" width="18" customWidth="1"/>
    <col min="22" max="22" width="17.7109375" customWidth="1"/>
    <col min="23" max="23" width="17.42578125" customWidth="1"/>
    <col min="24" max="24" width="19" customWidth="1"/>
    <col min="25" max="27" width="16.140625" customWidth="1"/>
    <col min="28" max="28" width="15.42578125" customWidth="1"/>
    <col min="29" max="29" width="15" customWidth="1"/>
    <col min="30" max="31" width="15.140625" customWidth="1"/>
    <col min="32" max="32" width="16.140625" customWidth="1"/>
    <col min="33" max="33" width="17.42578125" customWidth="1"/>
    <col min="34" max="34" width="15.28515625" customWidth="1"/>
    <col min="35" max="35" width="15" customWidth="1"/>
    <col min="36" max="36" width="19" customWidth="1"/>
    <col min="37" max="37" width="18.140625" customWidth="1"/>
    <col min="38" max="38" width="17.28515625" customWidth="1"/>
    <col min="39" max="39" width="14.28515625" customWidth="1"/>
    <col min="40" max="40" width="24.85546875" customWidth="1"/>
    <col min="41" max="41" width="25.140625" customWidth="1"/>
    <col min="43" max="43" width="11" bestFit="1" customWidth="1"/>
  </cols>
  <sheetData>
    <row r="1" spans="1:43" ht="15.75" thickBot="1" x14ac:dyDescent="0.3"/>
    <row r="2" spans="1:43" ht="93.6" customHeight="1" x14ac:dyDescent="0.25">
      <c r="A2" s="28" t="s">
        <v>4</v>
      </c>
      <c r="B2" s="29" t="s">
        <v>2</v>
      </c>
      <c r="C2" s="30" t="s">
        <v>0</v>
      </c>
      <c r="D2" s="31" t="s">
        <v>1</v>
      </c>
      <c r="E2" s="32" t="s">
        <v>3</v>
      </c>
      <c r="F2" s="32" t="s">
        <v>108</v>
      </c>
      <c r="G2" s="92" t="s">
        <v>118</v>
      </c>
      <c r="H2" s="91" t="s">
        <v>202</v>
      </c>
      <c r="I2" s="34" t="s">
        <v>29</v>
      </c>
      <c r="J2" s="35" t="s">
        <v>129</v>
      </c>
      <c r="K2" s="36" t="s">
        <v>172</v>
      </c>
      <c r="L2" s="36" t="s">
        <v>173</v>
      </c>
      <c r="M2" s="58" t="s">
        <v>110</v>
      </c>
      <c r="N2" s="58" t="s">
        <v>111</v>
      </c>
      <c r="O2" s="47" t="s">
        <v>166</v>
      </c>
      <c r="P2" s="47" t="s">
        <v>168</v>
      </c>
      <c r="Q2" s="49" t="s">
        <v>179</v>
      </c>
      <c r="R2" s="49" t="s">
        <v>180</v>
      </c>
      <c r="S2" s="51" t="s">
        <v>182</v>
      </c>
      <c r="T2" s="57" t="s">
        <v>76</v>
      </c>
      <c r="U2" s="63" t="s">
        <v>210</v>
      </c>
      <c r="V2" s="63" t="s">
        <v>75</v>
      </c>
      <c r="W2" s="67" t="s">
        <v>61</v>
      </c>
      <c r="X2" s="68" t="s">
        <v>69</v>
      </c>
      <c r="Y2" s="69" t="s">
        <v>65</v>
      </c>
      <c r="Z2" s="61" t="s">
        <v>66</v>
      </c>
      <c r="AA2" s="62" t="s">
        <v>62</v>
      </c>
      <c r="AB2" s="62" t="s">
        <v>63</v>
      </c>
      <c r="AC2" s="62" t="s">
        <v>72</v>
      </c>
      <c r="AD2" s="62" t="s">
        <v>73</v>
      </c>
      <c r="AE2" s="62" t="s">
        <v>74</v>
      </c>
      <c r="AF2" s="62" t="s">
        <v>70</v>
      </c>
      <c r="AG2" s="62" t="s">
        <v>71</v>
      </c>
      <c r="AH2" s="70" t="s">
        <v>77</v>
      </c>
      <c r="AI2" s="62" t="s">
        <v>97</v>
      </c>
      <c r="AQ2" s="1"/>
    </row>
    <row r="3" spans="1:43" ht="36.75" customHeight="1" x14ac:dyDescent="0.25">
      <c r="A3" s="44" t="s">
        <v>31</v>
      </c>
      <c r="B3" s="18" t="s">
        <v>14</v>
      </c>
      <c r="C3" s="18" t="s">
        <v>13</v>
      </c>
      <c r="D3" s="81" t="s">
        <v>6</v>
      </c>
      <c r="E3" s="23" t="s">
        <v>12</v>
      </c>
      <c r="F3" s="82" t="s">
        <v>102</v>
      </c>
      <c r="G3" s="113" t="s">
        <v>119</v>
      </c>
      <c r="H3" s="110" t="s">
        <v>113</v>
      </c>
      <c r="I3" s="88" t="s">
        <v>30</v>
      </c>
      <c r="J3" s="33">
        <f>12724.71*(1-(AH3*0.01))</f>
        <v>12247.533374999999</v>
      </c>
      <c r="K3" s="41">
        <f>13.04*J3</f>
        <v>159707.83520999999</v>
      </c>
      <c r="L3" s="41">
        <f>K3</f>
        <v>159707.83520999999</v>
      </c>
      <c r="M3" s="50">
        <f>K3/K12</f>
        <v>0.55086637810447603</v>
      </c>
      <c r="N3" s="50">
        <f>L3/L12</f>
        <v>0.55086637810447603</v>
      </c>
      <c r="O3" s="50">
        <f>1/0.73</f>
        <v>1.3698630136986301</v>
      </c>
      <c r="P3" s="66">
        <f>O3</f>
        <v>1.3698630136986301</v>
      </c>
      <c r="Q3" s="50">
        <f>1/0.83</f>
        <v>1.2048192771084338</v>
      </c>
      <c r="R3" s="66">
        <f>Q3</f>
        <v>1.2048192771084338</v>
      </c>
      <c r="S3" s="50">
        <f>1/0.83</f>
        <v>1.2048192771084338</v>
      </c>
      <c r="T3" s="50">
        <f>(((2*S3)+3)/5)</f>
        <v>1.0819277108433734</v>
      </c>
      <c r="U3" s="50">
        <f>8.41/8.97</f>
        <v>0.93756967670011138</v>
      </c>
      <c r="V3" s="50">
        <f>5.59/5.91</f>
        <v>0.94585448392554983</v>
      </c>
      <c r="W3" s="59">
        <f>((1/O3)+(1/Q3))/(2*S3)</f>
        <v>0.64739999999999998</v>
      </c>
      <c r="X3" s="59">
        <f t="shared" ref="X3:X20" si="0">W3</f>
        <v>0.64739999999999998</v>
      </c>
      <c r="Y3" s="59">
        <f>((1/P3)+(1/R3))/(2*S3)</f>
        <v>0.64739999999999998</v>
      </c>
      <c r="Z3" s="59">
        <f>((1/P3)+(1/R3))/(2*T3)</f>
        <v>0.72093541202672617</v>
      </c>
      <c r="AA3" s="60">
        <f>M3/W3</f>
        <v>0.8508902967322769</v>
      </c>
      <c r="AB3" s="60">
        <f>M3/X3</f>
        <v>0.8508902967322769</v>
      </c>
      <c r="AC3" s="60">
        <f>M3/Y3</f>
        <v>0.8508902967322769</v>
      </c>
      <c r="AD3" s="60">
        <f>M3/Z3</f>
        <v>0.76409948646558445</v>
      </c>
      <c r="AE3" s="60">
        <f>N3/X3</f>
        <v>0.8508902967322769</v>
      </c>
      <c r="AF3" s="60">
        <f>M3/U3</f>
        <v>0.58754713574282413</v>
      </c>
      <c r="AG3" s="60">
        <f>M3/V3</f>
        <v>0.58240076826430298</v>
      </c>
      <c r="AH3" s="71">
        <v>3.75</v>
      </c>
      <c r="AI3" s="60">
        <f>(AB3+AC3+AD3)/3</f>
        <v>0.82196002664337942</v>
      </c>
      <c r="AQ3" s="2"/>
    </row>
    <row r="4" spans="1:43" ht="38.25" customHeight="1" x14ac:dyDescent="0.25">
      <c r="A4" s="44" t="s">
        <v>32</v>
      </c>
      <c r="B4" s="18" t="s">
        <v>15</v>
      </c>
      <c r="C4" s="18" t="s">
        <v>16</v>
      </c>
      <c r="D4" s="81" t="s">
        <v>17</v>
      </c>
      <c r="E4" s="23" t="s">
        <v>18</v>
      </c>
      <c r="F4" s="82" t="s">
        <v>106</v>
      </c>
      <c r="G4" s="114"/>
      <c r="H4" s="111"/>
      <c r="I4" s="103" t="s">
        <v>204</v>
      </c>
      <c r="J4" s="33">
        <f>12550.73*(1-(AH4*0.01))</f>
        <v>11923.193499999999</v>
      </c>
      <c r="K4" s="41">
        <f>13.04*J4</f>
        <v>155478.44323999999</v>
      </c>
      <c r="L4" s="41">
        <f>K4</f>
        <v>155478.44323999999</v>
      </c>
      <c r="M4" s="50">
        <f>K4/K12</f>
        <v>0.53627830336766336</v>
      </c>
      <c r="N4" s="50">
        <f>L4/L12</f>
        <v>0.53627830336766336</v>
      </c>
      <c r="O4" s="50">
        <f>1/0.62</f>
        <v>1.6129032258064517</v>
      </c>
      <c r="P4" s="66">
        <f t="shared" ref="P4:P25" si="1">O4</f>
        <v>1.6129032258064517</v>
      </c>
      <c r="Q4" s="50">
        <f>1/0.61</f>
        <v>1.639344262295082</v>
      </c>
      <c r="R4" s="66">
        <f t="shared" ref="R4:R25" si="2">Q4</f>
        <v>1.639344262295082</v>
      </c>
      <c r="S4" s="50">
        <f>1/0.89</f>
        <v>1.1235955056179776</v>
      </c>
      <c r="T4" s="50">
        <f>(((2*S4)+3)/5)</f>
        <v>1.0494382022471911</v>
      </c>
      <c r="U4" s="50">
        <f>7.92/8.97</f>
        <v>0.882943143812709</v>
      </c>
      <c r="V4" s="50">
        <f>5.83/5.91</f>
        <v>0.98646362098138751</v>
      </c>
      <c r="W4" s="59">
        <f>((1/O4)+(1/Q4))/(2*S4)</f>
        <v>0.54735</v>
      </c>
      <c r="X4" s="50">
        <f t="shared" si="0"/>
        <v>0.54735</v>
      </c>
      <c r="Y4" s="59">
        <f t="shared" ref="Y4:Y24" si="3">((1/P4)+(1/R4))/(2*S4)</f>
        <v>0.54735</v>
      </c>
      <c r="Z4" s="59">
        <f t="shared" ref="Z4:Z24" si="4">((1/P4)+(1/R4))/(2*T4)</f>
        <v>0.58602783725910057</v>
      </c>
      <c r="AA4" s="60">
        <f>M4/W4</f>
        <v>0.97977218117778997</v>
      </c>
      <c r="AB4" s="60">
        <f>M4/X4</f>
        <v>0.97977218117778997</v>
      </c>
      <c r="AC4" s="60">
        <f t="shared" ref="AC4:AC24" si="5">M4/Y4</f>
        <v>0.97977218117778997</v>
      </c>
      <c r="AD4" s="60">
        <f t="shared" ref="AD4:AD24" si="6">M4/Z4</f>
        <v>0.91510721722005595</v>
      </c>
      <c r="AE4" s="60">
        <f t="shared" ref="AE4:AE20" si="7">M4/X4</f>
        <v>0.97977218117778997</v>
      </c>
      <c r="AF4" s="60">
        <f>M4/U4</f>
        <v>0.60737580570807326</v>
      </c>
      <c r="AG4" s="60">
        <f t="shared" ref="AG4:AG24" si="8">M4/V4</f>
        <v>0.54363718231610469</v>
      </c>
      <c r="AH4" s="71">
        <v>5</v>
      </c>
      <c r="AI4" s="60">
        <f t="shared" ref="AI4:AI25" si="9">(AB4+AC4+AD4)/3</f>
        <v>0.9582171931918787</v>
      </c>
      <c r="AQ4" s="2"/>
    </row>
    <row r="5" spans="1:43" ht="37.5" customHeight="1" x14ac:dyDescent="0.25">
      <c r="A5" s="44" t="s">
        <v>34</v>
      </c>
      <c r="B5" s="18" t="s">
        <v>20</v>
      </c>
      <c r="C5" s="18" t="s">
        <v>16</v>
      </c>
      <c r="D5" s="81" t="s">
        <v>10</v>
      </c>
      <c r="E5" s="23" t="s">
        <v>18</v>
      </c>
      <c r="F5" s="82" t="s">
        <v>106</v>
      </c>
      <c r="G5" s="114"/>
      <c r="H5" s="111"/>
      <c r="I5" s="108" t="s">
        <v>205</v>
      </c>
      <c r="J5" s="55">
        <v>6150.2</v>
      </c>
      <c r="K5" s="41">
        <f>J5*13.04</f>
        <v>80198.607999999993</v>
      </c>
      <c r="L5" s="41">
        <f t="shared" ref="L5:L18" si="10">K5</f>
        <v>80198.607999999993</v>
      </c>
      <c r="M5" s="50">
        <f>K5/K12</f>
        <v>0.27662209972284713</v>
      </c>
      <c r="N5" s="50">
        <f>L5/L12</f>
        <v>0.27662209972284713</v>
      </c>
      <c r="O5" s="50">
        <f>1/0.56</f>
        <v>1.7857142857142856</v>
      </c>
      <c r="P5" s="66">
        <f t="shared" si="1"/>
        <v>1.7857142857142856</v>
      </c>
      <c r="Q5" s="50">
        <f>1/0.61</f>
        <v>1.639344262295082</v>
      </c>
      <c r="R5" s="66">
        <f t="shared" si="2"/>
        <v>1.639344262295082</v>
      </c>
      <c r="S5" s="50">
        <f>1/0.75</f>
        <v>1.3333333333333333</v>
      </c>
      <c r="T5" s="50">
        <f t="shared" ref="T5:T25" si="11">(((2*S5)+3)/5)</f>
        <v>1.1333333333333333</v>
      </c>
      <c r="U5" s="50">
        <f>7.88/8.97</f>
        <v>0.87848383500557403</v>
      </c>
      <c r="V5" s="50">
        <f>5.79/5.91</f>
        <v>0.97969543147208116</v>
      </c>
      <c r="W5" s="59">
        <f>((1/O5)+(1/Q5))/(2*S5)</f>
        <v>0.43874999999999997</v>
      </c>
      <c r="X5" s="50">
        <f t="shared" si="0"/>
        <v>0.43874999999999997</v>
      </c>
      <c r="Y5" s="59">
        <f t="shared" si="3"/>
        <v>0.43874999999999997</v>
      </c>
      <c r="Z5" s="59">
        <f t="shared" si="4"/>
        <v>0.51617647058823524</v>
      </c>
      <c r="AA5" s="60">
        <f>M5/W5</f>
        <v>0.63047772016603343</v>
      </c>
      <c r="AB5" s="60">
        <f>M5/X5</f>
        <v>0.63047772016603343</v>
      </c>
      <c r="AC5" s="60">
        <f t="shared" si="5"/>
        <v>0.63047772016603343</v>
      </c>
      <c r="AD5" s="60">
        <f t="shared" si="6"/>
        <v>0.53590606214112835</v>
      </c>
      <c r="AE5" s="60">
        <f t="shared" si="7"/>
        <v>0.63047772016603343</v>
      </c>
      <c r="AF5" s="60">
        <f>M5/U5</f>
        <v>0.31488581656268261</v>
      </c>
      <c r="AG5" s="60">
        <f t="shared" si="8"/>
        <v>0.28235520023523775</v>
      </c>
      <c r="AH5" s="71"/>
      <c r="AI5" s="60">
        <f t="shared" si="9"/>
        <v>0.59895383415773173</v>
      </c>
      <c r="AQ5" s="2"/>
    </row>
    <row r="6" spans="1:43" ht="33.75" customHeight="1" x14ac:dyDescent="0.25">
      <c r="A6" s="44" t="s">
        <v>33</v>
      </c>
      <c r="B6" s="18" t="s">
        <v>20</v>
      </c>
      <c r="C6" s="18" t="s">
        <v>16</v>
      </c>
      <c r="D6" s="81" t="s">
        <v>10</v>
      </c>
      <c r="E6" s="23" t="s">
        <v>18</v>
      </c>
      <c r="F6" s="82" t="s">
        <v>106</v>
      </c>
      <c r="G6" s="114"/>
      <c r="H6" s="111"/>
      <c r="I6" s="108"/>
      <c r="J6" s="33">
        <v>12300.39</v>
      </c>
      <c r="K6" s="41">
        <f>J6*13.04</f>
        <v>160397.08559999999</v>
      </c>
      <c r="L6" s="41">
        <f t="shared" si="10"/>
        <v>160397.08559999999</v>
      </c>
      <c r="M6" s="50">
        <f>K6/K12</f>
        <v>0.55324374966828915</v>
      </c>
      <c r="N6" s="50">
        <f>L6/L12</f>
        <v>0.55324374966828915</v>
      </c>
      <c r="O6" s="50">
        <f>1/0.78</f>
        <v>1.2820512820512819</v>
      </c>
      <c r="P6" s="66">
        <f t="shared" si="1"/>
        <v>1.2820512820512819</v>
      </c>
      <c r="Q6" s="50">
        <f>1/0.58</f>
        <v>1.7241379310344829</v>
      </c>
      <c r="R6" s="66">
        <f t="shared" si="2"/>
        <v>1.7241379310344829</v>
      </c>
      <c r="S6" s="50">
        <f>1/0.55</f>
        <v>1.8181818181818181</v>
      </c>
      <c r="T6" s="50">
        <f t="shared" si="11"/>
        <v>1.3272727272727274</v>
      </c>
      <c r="U6" s="50">
        <f>8.43/8.97</f>
        <v>0.93979933110367886</v>
      </c>
      <c r="V6" s="50">
        <f>5.73/5.91</f>
        <v>0.96954314720812185</v>
      </c>
      <c r="W6" s="59">
        <f>((1/O6)+(1/Q6))/(2*S6)</f>
        <v>0.374</v>
      </c>
      <c r="X6" s="50">
        <f t="shared" si="0"/>
        <v>0.374</v>
      </c>
      <c r="Y6" s="59">
        <f t="shared" si="3"/>
        <v>0.374</v>
      </c>
      <c r="Z6" s="59">
        <f t="shared" si="4"/>
        <v>0.51232876712328757</v>
      </c>
      <c r="AA6" s="60">
        <f>M6/W6</f>
        <v>1.4792613627494362</v>
      </c>
      <c r="AB6" s="60">
        <f>M6/X6</f>
        <v>1.4792613627494362</v>
      </c>
      <c r="AC6" s="60">
        <f t="shared" si="5"/>
        <v>1.4792613627494362</v>
      </c>
      <c r="AD6" s="60">
        <f t="shared" si="6"/>
        <v>1.0798607948070886</v>
      </c>
      <c r="AE6" s="60">
        <f t="shared" si="7"/>
        <v>1.4792613627494362</v>
      </c>
      <c r="AF6" s="60">
        <f>M6/U6</f>
        <v>0.58868285107052831</v>
      </c>
      <c r="AG6" s="60">
        <f t="shared" si="8"/>
        <v>0.57062313447462287</v>
      </c>
      <c r="AH6" s="71"/>
      <c r="AI6" s="60">
        <f t="shared" si="9"/>
        <v>1.3461278401019872</v>
      </c>
      <c r="AQ6" s="2"/>
    </row>
    <row r="7" spans="1:43" ht="38.25" customHeight="1" x14ac:dyDescent="0.25">
      <c r="A7" s="44" t="s">
        <v>112</v>
      </c>
      <c r="B7" s="18" t="s">
        <v>21</v>
      </c>
      <c r="C7" s="18" t="s">
        <v>22</v>
      </c>
      <c r="D7" s="81" t="s">
        <v>10</v>
      </c>
      <c r="E7" s="23" t="s">
        <v>23</v>
      </c>
      <c r="F7" s="82" t="s">
        <v>106</v>
      </c>
      <c r="G7" s="114"/>
      <c r="H7" s="111"/>
      <c r="I7" s="103" t="s">
        <v>206</v>
      </c>
      <c r="J7" s="37">
        <v>13448.49</v>
      </c>
      <c r="K7" s="41">
        <f>12.17*J7</f>
        <v>163668.12330000001</v>
      </c>
      <c r="L7" s="41">
        <f t="shared" si="10"/>
        <v>163668.12330000001</v>
      </c>
      <c r="M7" s="50">
        <f>K7/K12</f>
        <v>0.56452625617821006</v>
      </c>
      <c r="N7" s="50">
        <f>L7/L12</f>
        <v>0.56452625617821006</v>
      </c>
      <c r="O7" s="50">
        <f>1/0.73</f>
        <v>1.3698630136986301</v>
      </c>
      <c r="P7" s="66">
        <f t="shared" si="1"/>
        <v>1.3698630136986301</v>
      </c>
      <c r="Q7" s="50">
        <f>1/0.75</f>
        <v>1.3333333333333333</v>
      </c>
      <c r="R7" s="66">
        <f t="shared" si="2"/>
        <v>1.3333333333333333</v>
      </c>
      <c r="S7" s="50">
        <f>1/0.6</f>
        <v>1.6666666666666667</v>
      </c>
      <c r="T7" s="50">
        <f t="shared" si="11"/>
        <v>1.2666666666666668</v>
      </c>
      <c r="U7" s="50">
        <f>9.07/8.97</f>
        <v>1.0111482720178373</v>
      </c>
      <c r="V7" s="50">
        <f>5.73/5.91</f>
        <v>0.96954314720812185</v>
      </c>
      <c r="W7" s="59">
        <f>((1/O7)+(1/Q7))/(2*S7)</f>
        <v>0.44399999999999995</v>
      </c>
      <c r="X7" s="50">
        <f t="shared" si="0"/>
        <v>0.44399999999999995</v>
      </c>
      <c r="Y7" s="59">
        <f t="shared" si="3"/>
        <v>0.44399999999999995</v>
      </c>
      <c r="Z7" s="59">
        <f t="shared" si="4"/>
        <v>0.5842105263157894</v>
      </c>
      <c r="AA7" s="60">
        <f>M7/W7</f>
        <v>1.2714555319329057</v>
      </c>
      <c r="AB7" s="60">
        <f>M7/X7</f>
        <v>1.2714555319329057</v>
      </c>
      <c r="AC7" s="60">
        <f t="shared" si="5"/>
        <v>1.2714555319329057</v>
      </c>
      <c r="AD7" s="60">
        <f t="shared" si="6"/>
        <v>0.96630620426900837</v>
      </c>
      <c r="AE7" s="60">
        <f t="shared" si="7"/>
        <v>1.2714555319329057</v>
      </c>
      <c r="AF7" s="60">
        <f>M7/U7</f>
        <v>0.55830215192045685</v>
      </c>
      <c r="AG7" s="60">
        <f t="shared" si="8"/>
        <v>0.58226006527281349</v>
      </c>
      <c r="AH7" s="71"/>
      <c r="AI7" s="60">
        <f t="shared" si="9"/>
        <v>1.1697390893782733</v>
      </c>
      <c r="AQ7" s="2"/>
    </row>
    <row r="8" spans="1:43" ht="38.25" hidden="1" customHeight="1" x14ac:dyDescent="0.25">
      <c r="A8" s="45" t="s">
        <v>41</v>
      </c>
      <c r="B8" s="38" t="s">
        <v>21</v>
      </c>
      <c r="C8" s="38" t="s">
        <v>22</v>
      </c>
      <c r="D8" s="83" t="s">
        <v>10</v>
      </c>
      <c r="E8" s="106" t="s">
        <v>23</v>
      </c>
      <c r="F8" s="84" t="s">
        <v>19</v>
      </c>
      <c r="G8" s="114"/>
      <c r="H8" s="111"/>
      <c r="I8" s="39" t="s">
        <v>207</v>
      </c>
      <c r="J8" s="40" t="s">
        <v>40</v>
      </c>
      <c r="K8" s="42" t="s">
        <v>40</v>
      </c>
      <c r="L8" s="41" t="str">
        <f t="shared" si="10"/>
        <v>není na trhu</v>
      </c>
      <c r="M8" s="50" t="s">
        <v>55</v>
      </c>
      <c r="N8" s="50" t="s">
        <v>55</v>
      </c>
      <c r="O8" s="50" t="s">
        <v>55</v>
      </c>
      <c r="P8" s="66" t="str">
        <f t="shared" si="1"/>
        <v>-</v>
      </c>
      <c r="Q8" s="50" t="s">
        <v>55</v>
      </c>
      <c r="R8" s="66" t="str">
        <f t="shared" si="2"/>
        <v>-</v>
      </c>
      <c r="S8" s="50" t="s">
        <v>55</v>
      </c>
      <c r="T8" s="50"/>
      <c r="U8" s="50"/>
      <c r="V8" s="50"/>
      <c r="W8" s="59" t="s">
        <v>55</v>
      </c>
      <c r="X8" s="50" t="str">
        <f t="shared" si="0"/>
        <v>-</v>
      </c>
      <c r="Y8" s="50" t="str">
        <f>X8</f>
        <v>-</v>
      </c>
      <c r="Z8" s="50" t="str">
        <f>Y8</f>
        <v>-</v>
      </c>
      <c r="AA8" s="60" t="s">
        <v>55</v>
      </c>
      <c r="AB8" s="60" t="s">
        <v>55</v>
      </c>
      <c r="AC8" s="60" t="s">
        <v>55</v>
      </c>
      <c r="AD8" s="60" t="s">
        <v>55</v>
      </c>
      <c r="AE8" s="60" t="s">
        <v>55</v>
      </c>
      <c r="AF8" s="60" t="s">
        <v>55</v>
      </c>
      <c r="AG8" s="60" t="s">
        <v>55</v>
      </c>
      <c r="AH8" s="71"/>
      <c r="AI8" s="60" t="s">
        <v>55</v>
      </c>
      <c r="AQ8" s="2"/>
    </row>
    <row r="9" spans="1:43" ht="35.25" customHeight="1" x14ac:dyDescent="0.25">
      <c r="A9" s="46" t="s">
        <v>35</v>
      </c>
      <c r="B9" s="18" t="s">
        <v>15</v>
      </c>
      <c r="C9" s="18" t="s">
        <v>24</v>
      </c>
      <c r="D9" s="81" t="s">
        <v>10</v>
      </c>
      <c r="E9" s="23" t="s">
        <v>25</v>
      </c>
      <c r="F9" s="82" t="s">
        <v>106</v>
      </c>
      <c r="G9" s="114"/>
      <c r="H9" s="111"/>
      <c r="I9" s="103" t="s">
        <v>208</v>
      </c>
      <c r="J9" s="33">
        <v>12550.65</v>
      </c>
      <c r="K9" s="41">
        <f>13.04*J9</f>
        <v>163660.476</v>
      </c>
      <c r="L9" s="41">
        <f t="shared" si="10"/>
        <v>163660.476</v>
      </c>
      <c r="M9" s="50">
        <f>K9/K12</f>
        <v>0.56449987900987797</v>
      </c>
      <c r="N9" s="50">
        <f>L9/L12</f>
        <v>0.56449987900987797</v>
      </c>
      <c r="O9" s="50">
        <f>1/0.79</f>
        <v>1.2658227848101264</v>
      </c>
      <c r="P9" s="66">
        <f t="shared" si="1"/>
        <v>1.2658227848101264</v>
      </c>
      <c r="Q9" s="50">
        <f>1/1</f>
        <v>1</v>
      </c>
      <c r="R9" s="66">
        <f t="shared" si="2"/>
        <v>1</v>
      </c>
      <c r="S9" s="50">
        <f>1/0.38</f>
        <v>2.6315789473684212</v>
      </c>
      <c r="T9" s="50">
        <f t="shared" si="11"/>
        <v>1.6526315789473685</v>
      </c>
      <c r="U9" s="50">
        <f>9.3/8.97</f>
        <v>1.0367892976588629</v>
      </c>
      <c r="V9" s="50" t="s">
        <v>68</v>
      </c>
      <c r="W9" s="59">
        <f t="shared" ref="W9:W20" si="12">((1/O9)+(1/Q9))/(2*S9)</f>
        <v>0.34009999999999996</v>
      </c>
      <c r="X9" s="50">
        <f t="shared" si="0"/>
        <v>0.34009999999999996</v>
      </c>
      <c r="Y9" s="59">
        <f t="shared" si="3"/>
        <v>0.34009999999999996</v>
      </c>
      <c r="Z9" s="59">
        <f t="shared" si="4"/>
        <v>0.54156050955414015</v>
      </c>
      <c r="AA9" s="60">
        <f t="shared" ref="AA9:AA24" si="13">M9/W9</f>
        <v>1.6598055836809116</v>
      </c>
      <c r="AB9" s="60">
        <f t="shared" ref="AB9:AB24" si="14">M9/X9</f>
        <v>1.6598055836809116</v>
      </c>
      <c r="AC9" s="60">
        <f t="shared" si="5"/>
        <v>1.6598055836809116</v>
      </c>
      <c r="AD9" s="60">
        <f t="shared" si="6"/>
        <v>1.0423579065516124</v>
      </c>
      <c r="AE9" s="60">
        <f t="shared" si="7"/>
        <v>1.6598055836809116</v>
      </c>
      <c r="AF9" s="60">
        <f>M9/U9</f>
        <v>0.54446923814178549</v>
      </c>
      <c r="AG9" s="60" t="s">
        <v>55</v>
      </c>
      <c r="AH9" s="71"/>
      <c r="AI9" s="60">
        <f t="shared" si="9"/>
        <v>1.4539896913044785</v>
      </c>
      <c r="AQ9" s="2"/>
    </row>
    <row r="10" spans="1:43" ht="36" customHeight="1" x14ac:dyDescent="0.25">
      <c r="A10" s="44" t="s">
        <v>36</v>
      </c>
      <c r="B10" s="18" t="s">
        <v>28</v>
      </c>
      <c r="C10" s="18" t="s">
        <v>27</v>
      </c>
      <c r="D10" s="81" t="s">
        <v>10</v>
      </c>
      <c r="E10" s="23" t="s">
        <v>26</v>
      </c>
      <c r="F10" s="82" t="s">
        <v>105</v>
      </c>
      <c r="G10" s="114"/>
      <c r="H10" s="111"/>
      <c r="I10" s="103" t="s">
        <v>38</v>
      </c>
      <c r="J10" s="33">
        <f>12551.92*(1-(AH10*0.01))</f>
        <v>11045.6896</v>
      </c>
      <c r="K10" s="41">
        <f>13.04*J10</f>
        <v>144035.792384</v>
      </c>
      <c r="L10" s="41">
        <f t="shared" si="10"/>
        <v>144035.792384</v>
      </c>
      <c r="M10" s="50">
        <f>K10/K12</f>
        <v>0.49681016065149358</v>
      </c>
      <c r="N10" s="50">
        <f>L10/L12</f>
        <v>0.49681016065149358</v>
      </c>
      <c r="O10" s="50">
        <f>1/0.73</f>
        <v>1.3698630136986301</v>
      </c>
      <c r="P10" s="66">
        <f t="shared" si="1"/>
        <v>1.3698630136986301</v>
      </c>
      <c r="Q10" s="50">
        <f>1/0.78</f>
        <v>1.2820512820512819</v>
      </c>
      <c r="R10" s="66">
        <f t="shared" si="2"/>
        <v>1.2820512820512819</v>
      </c>
      <c r="S10" s="50">
        <f>1/0.86</f>
        <v>1.1627906976744187</v>
      </c>
      <c r="T10" s="50">
        <f t="shared" si="11"/>
        <v>1.0651162790697675</v>
      </c>
      <c r="U10" s="50">
        <f>8.43/8.97</f>
        <v>0.93979933110367886</v>
      </c>
      <c r="V10" s="50">
        <f>5.76/5.91</f>
        <v>0.97461928934010145</v>
      </c>
      <c r="W10" s="59">
        <f t="shared" si="12"/>
        <v>0.6493000000000001</v>
      </c>
      <c r="X10" s="50">
        <f t="shared" si="0"/>
        <v>0.6493000000000001</v>
      </c>
      <c r="Y10" s="59">
        <f t="shared" si="3"/>
        <v>0.6493000000000001</v>
      </c>
      <c r="Z10" s="59">
        <f t="shared" si="4"/>
        <v>0.70884279475982537</v>
      </c>
      <c r="AA10" s="60">
        <f t="shared" si="13"/>
        <v>0.76514732889495385</v>
      </c>
      <c r="AB10" s="60">
        <f t="shared" si="14"/>
        <v>0.76514732889495385</v>
      </c>
      <c r="AC10" s="60">
        <f t="shared" si="5"/>
        <v>0.76514732889495385</v>
      </c>
      <c r="AD10" s="60">
        <f t="shared" si="6"/>
        <v>0.70087495326777771</v>
      </c>
      <c r="AE10" s="60">
        <f t="shared" si="7"/>
        <v>0.76514732889495385</v>
      </c>
      <c r="AF10" s="60">
        <f>M10/U10</f>
        <v>0.52863429905621562</v>
      </c>
      <c r="AG10" s="60">
        <f t="shared" si="8"/>
        <v>0.50974792525179291</v>
      </c>
      <c r="AH10" s="71">
        <v>12</v>
      </c>
      <c r="AI10" s="60">
        <f t="shared" si="9"/>
        <v>0.74372320368589506</v>
      </c>
      <c r="AQ10" s="2"/>
    </row>
    <row r="11" spans="1:43" ht="37.5" customHeight="1" x14ac:dyDescent="0.25">
      <c r="A11" s="44" t="s">
        <v>37</v>
      </c>
      <c r="B11" s="18" t="s">
        <v>28</v>
      </c>
      <c r="C11" s="18" t="s">
        <v>27</v>
      </c>
      <c r="D11" s="81" t="s">
        <v>10</v>
      </c>
      <c r="E11" s="23" t="s">
        <v>26</v>
      </c>
      <c r="F11" s="82" t="s">
        <v>105</v>
      </c>
      <c r="G11" s="115"/>
      <c r="H11" s="112"/>
      <c r="I11" s="103" t="s">
        <v>39</v>
      </c>
      <c r="J11" s="33">
        <f>12724.68*(1-(AH11*0.01))</f>
        <v>11197.7184</v>
      </c>
      <c r="K11" s="41">
        <f>10.14*J11</f>
        <v>113544.86457600001</v>
      </c>
      <c r="L11" s="41">
        <f t="shared" si="10"/>
        <v>113544.86457600001</v>
      </c>
      <c r="M11" s="50">
        <f>K11/K12</f>
        <v>0.39164044906813655</v>
      </c>
      <c r="N11" s="50">
        <f>L11/L12</f>
        <v>0.39164044906813655</v>
      </c>
      <c r="O11" s="50">
        <f>1/0.79</f>
        <v>1.2658227848101264</v>
      </c>
      <c r="P11" s="66">
        <f t="shared" si="1"/>
        <v>1.2658227848101264</v>
      </c>
      <c r="Q11" s="102">
        <f>1/0.54</f>
        <v>1.8518518518518516</v>
      </c>
      <c r="R11" s="102">
        <f>Q11</f>
        <v>1.8518518518518516</v>
      </c>
      <c r="S11" s="50">
        <f>1/0.57</f>
        <v>1.7543859649122808</v>
      </c>
      <c r="T11" s="50">
        <f t="shared" si="11"/>
        <v>1.3017543859649123</v>
      </c>
      <c r="U11" s="50" t="s">
        <v>55</v>
      </c>
      <c r="V11" s="50">
        <f>5.76/5.91</f>
        <v>0.97461928934010145</v>
      </c>
      <c r="W11" s="59">
        <f t="shared" si="12"/>
        <v>0.37905</v>
      </c>
      <c r="X11" s="50">
        <f t="shared" si="0"/>
        <v>0.37905</v>
      </c>
      <c r="Y11" s="59">
        <f t="shared" si="3"/>
        <v>0.37905</v>
      </c>
      <c r="Z11" s="59">
        <f t="shared" si="4"/>
        <v>0.51084905660377355</v>
      </c>
      <c r="AA11" s="60">
        <f t="shared" si="13"/>
        <v>1.0332158002061378</v>
      </c>
      <c r="AB11" s="60">
        <f t="shared" si="14"/>
        <v>1.0332158002061378</v>
      </c>
      <c r="AC11" s="60">
        <f t="shared" si="5"/>
        <v>1.0332158002061378</v>
      </c>
      <c r="AD11" s="60">
        <f t="shared" si="6"/>
        <v>0.76664612375295438</v>
      </c>
      <c r="AE11" s="60">
        <f t="shared" si="7"/>
        <v>1.0332158002061378</v>
      </c>
      <c r="AF11" s="60" t="s">
        <v>55</v>
      </c>
      <c r="AG11" s="60">
        <f t="shared" si="8"/>
        <v>0.40183941909595267</v>
      </c>
      <c r="AH11" s="71">
        <v>12</v>
      </c>
      <c r="AI11" s="60">
        <f t="shared" si="9"/>
        <v>0.94435924138840999</v>
      </c>
      <c r="AQ11" s="2"/>
    </row>
    <row r="12" spans="1:43" ht="35.25" customHeight="1" x14ac:dyDescent="0.25">
      <c r="A12" s="44" t="s">
        <v>148</v>
      </c>
      <c r="B12" s="18" t="s">
        <v>42</v>
      </c>
      <c r="C12" s="18" t="s">
        <v>94</v>
      </c>
      <c r="D12" s="81" t="s">
        <v>6</v>
      </c>
      <c r="E12" s="23" t="s">
        <v>142</v>
      </c>
      <c r="F12" s="85" t="s">
        <v>107</v>
      </c>
      <c r="G12" s="119" t="s">
        <v>120</v>
      </c>
      <c r="H12" s="89" t="s">
        <v>122</v>
      </c>
      <c r="I12" s="103" t="s">
        <v>140</v>
      </c>
      <c r="J12" s="33">
        <v>22233.22</v>
      </c>
      <c r="K12" s="52">
        <f>J12*13.04</f>
        <v>289921.1888</v>
      </c>
      <c r="L12" s="52">
        <f t="shared" si="10"/>
        <v>289921.1888</v>
      </c>
      <c r="M12" s="53">
        <v>1</v>
      </c>
      <c r="N12" s="53">
        <f>L12/L12</f>
        <v>1</v>
      </c>
      <c r="O12" s="53">
        <v>1</v>
      </c>
      <c r="P12" s="100">
        <f t="shared" si="1"/>
        <v>1</v>
      </c>
      <c r="Q12" s="53">
        <v>1</v>
      </c>
      <c r="R12" s="101">
        <f t="shared" si="2"/>
        <v>1</v>
      </c>
      <c r="S12" s="53">
        <v>1</v>
      </c>
      <c r="T12" s="53">
        <f t="shared" si="11"/>
        <v>1</v>
      </c>
      <c r="U12" s="53">
        <v>1</v>
      </c>
      <c r="V12" s="53">
        <v>1</v>
      </c>
      <c r="W12" s="64">
        <f t="shared" si="12"/>
        <v>1</v>
      </c>
      <c r="X12" s="53">
        <f t="shared" si="0"/>
        <v>1</v>
      </c>
      <c r="Y12" s="64">
        <f t="shared" si="3"/>
        <v>1</v>
      </c>
      <c r="Z12" s="64">
        <v>1</v>
      </c>
      <c r="AA12" s="65">
        <f t="shared" si="13"/>
        <v>1</v>
      </c>
      <c r="AB12" s="65">
        <f t="shared" si="14"/>
        <v>1</v>
      </c>
      <c r="AC12" s="65">
        <f t="shared" si="5"/>
        <v>1</v>
      </c>
      <c r="AD12" s="65">
        <f t="shared" si="6"/>
        <v>1</v>
      </c>
      <c r="AE12" s="65">
        <f t="shared" si="7"/>
        <v>1</v>
      </c>
      <c r="AF12" s="65">
        <f t="shared" ref="AF12:AF24" si="15">M12/U12</f>
        <v>1</v>
      </c>
      <c r="AG12" s="65">
        <f t="shared" si="8"/>
        <v>1</v>
      </c>
      <c r="AH12" s="71"/>
      <c r="AI12" s="60">
        <f t="shared" si="9"/>
        <v>1</v>
      </c>
      <c r="AQ12" s="2"/>
    </row>
    <row r="13" spans="1:43" ht="36" customHeight="1" x14ac:dyDescent="0.25">
      <c r="A13" s="44" t="s">
        <v>149</v>
      </c>
      <c r="B13" s="18" t="s">
        <v>42</v>
      </c>
      <c r="C13" s="18" t="s">
        <v>141</v>
      </c>
      <c r="D13" s="81" t="s">
        <v>6</v>
      </c>
      <c r="E13" s="23" t="s">
        <v>143</v>
      </c>
      <c r="F13" s="85" t="s">
        <v>107</v>
      </c>
      <c r="G13" s="120"/>
      <c r="H13" s="89" t="s">
        <v>122</v>
      </c>
      <c r="I13" s="103" t="s">
        <v>144</v>
      </c>
      <c r="J13" s="33">
        <v>24293.54</v>
      </c>
      <c r="K13" s="41">
        <f>J13*12.17</f>
        <v>295652.38180000003</v>
      </c>
      <c r="L13" s="41">
        <f>J13*12.17</f>
        <v>295652.38180000003</v>
      </c>
      <c r="M13" s="50">
        <f>K13/K12</f>
        <v>1.0197681067179731</v>
      </c>
      <c r="N13" s="50">
        <f>L13/L12</f>
        <v>1.0197681067179731</v>
      </c>
      <c r="O13" s="50">
        <v>1</v>
      </c>
      <c r="P13" s="66">
        <f t="shared" si="1"/>
        <v>1</v>
      </c>
      <c r="Q13" s="50">
        <v>1</v>
      </c>
      <c r="R13" s="66">
        <f t="shared" si="2"/>
        <v>1</v>
      </c>
      <c r="S13" s="50">
        <v>1</v>
      </c>
      <c r="T13" s="50">
        <f t="shared" ref="T13:T17" si="16">(((2*S13)+3)/5)</f>
        <v>1</v>
      </c>
      <c r="U13" s="50"/>
      <c r="V13" s="50"/>
      <c r="W13" s="59">
        <f t="shared" ref="W13:W15" si="17">((1/O13)+(1/Q13))/(2*S13)</f>
        <v>1</v>
      </c>
      <c r="X13" s="50">
        <f t="shared" ref="X13:X15" si="18">W13</f>
        <v>1</v>
      </c>
      <c r="Y13" s="59">
        <f t="shared" ref="Y13:Y15" si="19">((1/P13)+(1/R13))/(2*S13)</f>
        <v>1</v>
      </c>
      <c r="Z13" s="59">
        <v>1</v>
      </c>
      <c r="AA13" s="60">
        <f t="shared" ref="AA13:AA15" si="20">M13/W13</f>
        <v>1.0197681067179731</v>
      </c>
      <c r="AB13" s="60">
        <f t="shared" ref="AB13:AB15" si="21">M13/X13</f>
        <v>1.0197681067179731</v>
      </c>
      <c r="AC13" s="60">
        <f t="shared" ref="AC13:AC15" si="22">M13/Y13</f>
        <v>1.0197681067179731</v>
      </c>
      <c r="AD13" s="60">
        <f t="shared" ref="AD13:AD15" si="23">M13/Z13</f>
        <v>1.0197681067179731</v>
      </c>
      <c r="AE13" s="60">
        <f t="shared" ref="AE13:AE15" si="24">M13/X13</f>
        <v>1.0197681067179731</v>
      </c>
      <c r="AF13" s="60" t="s">
        <v>55</v>
      </c>
      <c r="AG13" s="60" t="s">
        <v>55</v>
      </c>
      <c r="AH13" s="71"/>
      <c r="AI13" s="60"/>
      <c r="AQ13" s="2"/>
    </row>
    <row r="14" spans="1:43" ht="33" customHeight="1" x14ac:dyDescent="0.25">
      <c r="A14" s="44" t="s">
        <v>125</v>
      </c>
      <c r="B14" s="18" t="s">
        <v>126</v>
      </c>
      <c r="C14" s="18" t="s">
        <v>127</v>
      </c>
      <c r="D14" s="81" t="s">
        <v>6</v>
      </c>
      <c r="E14" s="23" t="s">
        <v>145</v>
      </c>
      <c r="F14" s="85" t="s">
        <v>103</v>
      </c>
      <c r="G14" s="120"/>
      <c r="H14" s="93" t="s">
        <v>124</v>
      </c>
      <c r="I14" s="103" t="s">
        <v>128</v>
      </c>
      <c r="J14" s="33">
        <v>13971.34</v>
      </c>
      <c r="K14" s="41">
        <f>((64.68*J14)+11004.97)/5</f>
        <v>182934.24824000002</v>
      </c>
      <c r="L14" s="41">
        <f>((25.57*J14)+11004.97)/2</f>
        <v>184126.06689999998</v>
      </c>
      <c r="M14" s="50">
        <f>K14/K12</f>
        <v>0.63097922920768601</v>
      </c>
      <c r="N14" s="50">
        <f>L14/L12</f>
        <v>0.63509006589724626</v>
      </c>
      <c r="O14" s="50">
        <f>1/0.87</f>
        <v>1.1494252873563218</v>
      </c>
      <c r="P14" s="66">
        <f t="shared" si="1"/>
        <v>1.1494252873563218</v>
      </c>
      <c r="Q14" s="50">
        <f>1/0.59</f>
        <v>1.6949152542372883</v>
      </c>
      <c r="R14" s="66">
        <f t="shared" si="2"/>
        <v>1.6949152542372883</v>
      </c>
      <c r="S14" s="50">
        <f>1/0.56</f>
        <v>1.7857142857142856</v>
      </c>
      <c r="T14" s="50">
        <f t="shared" si="16"/>
        <v>1.3142857142857143</v>
      </c>
      <c r="U14" s="50">
        <v>1.07</v>
      </c>
      <c r="V14" s="50"/>
      <c r="W14" s="59">
        <f t="shared" si="17"/>
        <v>0.4088</v>
      </c>
      <c r="X14" s="50">
        <f t="shared" si="18"/>
        <v>0.4088</v>
      </c>
      <c r="Y14" s="59">
        <f t="shared" si="19"/>
        <v>0.4088</v>
      </c>
      <c r="Z14" s="59">
        <f t="shared" ref="Z14:Z15" si="25">((1/P14)+(1/R14))/(2*T14)</f>
        <v>0.55543478260869561</v>
      </c>
      <c r="AA14" s="60">
        <f t="shared" si="20"/>
        <v>1.543491265185142</v>
      </c>
      <c r="AB14" s="60">
        <f t="shared" si="21"/>
        <v>1.543491265185142</v>
      </c>
      <c r="AC14" s="60">
        <f t="shared" si="22"/>
        <v>1.543491265185142</v>
      </c>
      <c r="AD14" s="60">
        <f t="shared" si="23"/>
        <v>1.1360095711762646</v>
      </c>
      <c r="AE14" s="60">
        <f t="shared" si="24"/>
        <v>1.543491265185142</v>
      </c>
      <c r="AF14" s="60">
        <f t="shared" si="15"/>
        <v>0.58970021421279062</v>
      </c>
      <c r="AG14" s="60" t="s">
        <v>55</v>
      </c>
      <c r="AH14" s="71"/>
      <c r="AI14" s="60">
        <f>(AB14+AC14+AD14)/3</f>
        <v>1.4076640338488495</v>
      </c>
      <c r="AQ14" s="2"/>
    </row>
    <row r="15" spans="1:43" ht="40.5" customHeight="1" x14ac:dyDescent="0.25">
      <c r="A15" s="44" t="s">
        <v>150</v>
      </c>
      <c r="B15" s="18" t="s">
        <v>161</v>
      </c>
      <c r="C15" s="18" t="s">
        <v>5</v>
      </c>
      <c r="D15" s="23" t="s">
        <v>6</v>
      </c>
      <c r="E15" s="23" t="s">
        <v>7</v>
      </c>
      <c r="F15" s="85" t="s">
        <v>103</v>
      </c>
      <c r="G15" s="120"/>
      <c r="H15" s="99" t="s">
        <v>164</v>
      </c>
      <c r="I15" s="103" t="s">
        <v>162</v>
      </c>
      <c r="J15" s="33">
        <v>22673.97</v>
      </c>
      <c r="K15" s="41">
        <f>J15*13.04</f>
        <v>295668.56880000001</v>
      </c>
      <c r="L15" s="41">
        <f>J15*13.04</f>
        <v>295668.56880000001</v>
      </c>
      <c r="M15" s="50">
        <f>K15/K12</f>
        <v>1.0198239391325232</v>
      </c>
      <c r="N15" s="50">
        <f>L15/L12</f>
        <v>1.0198239391325232</v>
      </c>
      <c r="O15" s="50">
        <v>0.9</v>
      </c>
      <c r="P15" s="66">
        <f t="shared" si="1"/>
        <v>0.9</v>
      </c>
      <c r="Q15" s="50">
        <f>1/0.56</f>
        <v>1.7857142857142856</v>
      </c>
      <c r="R15" s="66">
        <f t="shared" si="2"/>
        <v>1.7857142857142856</v>
      </c>
      <c r="S15" s="50">
        <v>0.86</v>
      </c>
      <c r="T15" s="50">
        <f t="shared" si="16"/>
        <v>0.94399999999999995</v>
      </c>
      <c r="U15" s="50"/>
      <c r="V15" s="50"/>
      <c r="W15" s="59">
        <f t="shared" si="17"/>
        <v>0.9715762273901809</v>
      </c>
      <c r="X15" s="50">
        <f t="shared" si="18"/>
        <v>0.9715762273901809</v>
      </c>
      <c r="Y15" s="59">
        <f t="shared" si="19"/>
        <v>0.9715762273901809</v>
      </c>
      <c r="Z15" s="59">
        <f t="shared" si="25"/>
        <v>0.88512241054613949</v>
      </c>
      <c r="AA15" s="60">
        <f t="shared" si="20"/>
        <v>1.0496592139475704</v>
      </c>
      <c r="AB15" s="60">
        <f t="shared" si="21"/>
        <v>1.0496592139475704</v>
      </c>
      <c r="AC15" s="60">
        <f t="shared" si="22"/>
        <v>1.0496592139475704</v>
      </c>
      <c r="AD15" s="60">
        <f t="shared" si="23"/>
        <v>1.1521840674029145</v>
      </c>
      <c r="AE15" s="60">
        <f t="shared" si="24"/>
        <v>1.0496592139475704</v>
      </c>
      <c r="AF15" s="60" t="s">
        <v>55</v>
      </c>
      <c r="AG15" s="60" t="s">
        <v>55</v>
      </c>
      <c r="AH15" s="71"/>
      <c r="AI15" s="60"/>
      <c r="AQ15" s="2"/>
    </row>
    <row r="16" spans="1:43" ht="31.5" customHeight="1" x14ac:dyDescent="0.25">
      <c r="A16" s="97" t="s">
        <v>151</v>
      </c>
      <c r="B16" s="18" t="s">
        <v>8</v>
      </c>
      <c r="C16" s="18" t="s">
        <v>43</v>
      </c>
      <c r="D16" s="81" t="s">
        <v>6</v>
      </c>
      <c r="E16" s="23" t="s">
        <v>44</v>
      </c>
      <c r="F16" s="85" t="s">
        <v>103</v>
      </c>
      <c r="G16" s="120"/>
      <c r="H16" s="96" t="s">
        <v>114</v>
      </c>
      <c r="I16" s="103" t="s">
        <v>45</v>
      </c>
      <c r="J16" s="33">
        <f>21538.46*(1-(AH16*0.01))</f>
        <v>21323.075399999998</v>
      </c>
      <c r="K16" s="41">
        <f>13.04*J16</f>
        <v>278052.90321599995</v>
      </c>
      <c r="L16" s="41">
        <f t="shared" si="10"/>
        <v>278052.90321599995</v>
      </c>
      <c r="M16" s="50">
        <f>K16/K12</f>
        <v>0.95906375234896235</v>
      </c>
      <c r="N16" s="50">
        <f>L16/L12</f>
        <v>0.95906375234896235</v>
      </c>
      <c r="O16" s="50">
        <v>0.9</v>
      </c>
      <c r="P16" s="66">
        <f t="shared" si="1"/>
        <v>0.9</v>
      </c>
      <c r="Q16" s="50">
        <f>1/0.72</f>
        <v>1.3888888888888888</v>
      </c>
      <c r="R16" s="66">
        <f t="shared" si="2"/>
        <v>1.3888888888888888</v>
      </c>
      <c r="S16" s="50">
        <v>0.96</v>
      </c>
      <c r="T16" s="50">
        <f t="shared" si="11"/>
        <v>0.98399999999999999</v>
      </c>
      <c r="U16" s="50">
        <f>8.94/8.97</f>
        <v>0.99665551839464872</v>
      </c>
      <c r="V16" s="50">
        <f>5.94/5.91</f>
        <v>1.0050761421319798</v>
      </c>
      <c r="W16" s="59">
        <f t="shared" si="12"/>
        <v>0.95370370370370372</v>
      </c>
      <c r="X16" s="50">
        <f t="shared" si="0"/>
        <v>0.95370370370370372</v>
      </c>
      <c r="Y16" s="59">
        <f t="shared" si="3"/>
        <v>0.95370370370370372</v>
      </c>
      <c r="Z16" s="59">
        <f t="shared" si="4"/>
        <v>0.93044263775971092</v>
      </c>
      <c r="AA16" s="60">
        <f t="shared" si="13"/>
        <v>1.0056202451814362</v>
      </c>
      <c r="AB16" s="60">
        <f t="shared" si="14"/>
        <v>1.0056202451814362</v>
      </c>
      <c r="AC16" s="60">
        <f t="shared" si="5"/>
        <v>1.0056202451814362</v>
      </c>
      <c r="AD16" s="60">
        <f t="shared" si="6"/>
        <v>1.0307607513109722</v>
      </c>
      <c r="AE16" s="60">
        <f t="shared" si="7"/>
        <v>1.0056202451814362</v>
      </c>
      <c r="AF16" s="60">
        <f t="shared" si="15"/>
        <v>0.96228208708838847</v>
      </c>
      <c r="AG16" s="60">
        <f t="shared" si="8"/>
        <v>0.95421999602396745</v>
      </c>
      <c r="AH16" s="71">
        <v>1</v>
      </c>
      <c r="AI16" s="60">
        <f t="shared" si="9"/>
        <v>1.0140004138912815</v>
      </c>
      <c r="AQ16" s="2"/>
    </row>
    <row r="17" spans="1:43" ht="39.75" customHeight="1" x14ac:dyDescent="0.25">
      <c r="A17" s="97" t="s">
        <v>152</v>
      </c>
      <c r="B17" s="18" t="s">
        <v>8</v>
      </c>
      <c r="C17" s="18" t="s">
        <v>147</v>
      </c>
      <c r="D17" s="81" t="s">
        <v>6</v>
      </c>
      <c r="E17" s="23" t="s">
        <v>146</v>
      </c>
      <c r="F17" s="85" t="s">
        <v>103</v>
      </c>
      <c r="G17" s="121"/>
      <c r="H17" s="98" t="s">
        <v>163</v>
      </c>
      <c r="I17" s="24" t="s">
        <v>209</v>
      </c>
      <c r="J17" s="33">
        <v>21890</v>
      </c>
      <c r="K17" s="41">
        <f>13.04*J17</f>
        <v>285445.59999999998</v>
      </c>
      <c r="L17" s="41">
        <f t="shared" ref="L17" si="26">K17</f>
        <v>285445.59999999998</v>
      </c>
      <c r="M17" s="50">
        <f>K17/K12</f>
        <v>0.98456273990002341</v>
      </c>
      <c r="N17" s="50">
        <f>L17/L12</f>
        <v>0.98456273990002341</v>
      </c>
      <c r="O17" s="50">
        <v>0.83</v>
      </c>
      <c r="P17" s="66">
        <f t="shared" si="1"/>
        <v>0.83</v>
      </c>
      <c r="Q17" s="50">
        <f>1/0.74</f>
        <v>1.3513513513513513</v>
      </c>
      <c r="R17" s="66">
        <f t="shared" si="2"/>
        <v>1.3513513513513513</v>
      </c>
      <c r="S17" s="50">
        <f>1/0.87</f>
        <v>1.1494252873563218</v>
      </c>
      <c r="T17" s="50">
        <f t="shared" si="16"/>
        <v>1.0597701149425287</v>
      </c>
      <c r="U17" s="50"/>
      <c r="V17" s="50"/>
      <c r="W17" s="59">
        <f t="shared" ref="W17" si="27">((1/O17)+(1/Q17))/(2*S17)</f>
        <v>0.84599638554216872</v>
      </c>
      <c r="X17" s="50">
        <f t="shared" ref="X17" si="28">W17</f>
        <v>0.84599638554216872</v>
      </c>
      <c r="Y17" s="59">
        <f t="shared" ref="Y17" si="29">((1/P17)+(1/R17))/(2*S17)</f>
        <v>0.84599638554216872</v>
      </c>
      <c r="Z17" s="59">
        <f t="shared" ref="Z17" si="30">((1/P17)+(1/R17))/(2*T17)</f>
        <v>0.91756657867914182</v>
      </c>
      <c r="AA17" s="60">
        <f t="shared" ref="AA17" si="31">M17/W17</f>
        <v>1.1637907167523565</v>
      </c>
      <c r="AB17" s="60">
        <f t="shared" ref="AB17" si="32">M17/X17</f>
        <v>1.1637907167523565</v>
      </c>
      <c r="AC17" s="60">
        <f t="shared" ref="AC17" si="33">M17/Y17</f>
        <v>1.1637907167523565</v>
      </c>
      <c r="AD17" s="60">
        <f t="shared" ref="AD17" si="34">M17/Z17</f>
        <v>1.0730150408456727</v>
      </c>
      <c r="AE17" s="60">
        <f t="shared" ref="AE17" si="35">M17/X17</f>
        <v>1.1637907167523565</v>
      </c>
      <c r="AF17" s="60" t="s">
        <v>55</v>
      </c>
      <c r="AG17" s="60" t="s">
        <v>55</v>
      </c>
      <c r="AH17" s="71"/>
      <c r="AI17" s="60"/>
      <c r="AQ17" s="2"/>
    </row>
    <row r="18" spans="1:43" ht="39.75" customHeight="1" x14ac:dyDescent="0.25">
      <c r="A18" s="97" t="s">
        <v>153</v>
      </c>
      <c r="B18" s="87" t="s">
        <v>42</v>
      </c>
      <c r="C18" s="18" t="s">
        <v>132</v>
      </c>
      <c r="D18" s="81" t="s">
        <v>10</v>
      </c>
      <c r="E18" s="23" t="s">
        <v>47</v>
      </c>
      <c r="F18" s="82" t="s">
        <v>99</v>
      </c>
      <c r="G18" s="116" t="s">
        <v>121</v>
      </c>
      <c r="H18" s="89" t="s">
        <v>115</v>
      </c>
      <c r="I18" s="95" t="s">
        <v>138</v>
      </c>
      <c r="J18" s="33">
        <v>29893.599999999999</v>
      </c>
      <c r="K18" s="41">
        <f>13.04*(J18+(26.08*36))</f>
        <v>402055.53919999994</v>
      </c>
      <c r="L18" s="41">
        <f t="shared" si="10"/>
        <v>402055.53919999994</v>
      </c>
      <c r="M18" s="50">
        <f>K18/K12</f>
        <v>1.3867752849114972</v>
      </c>
      <c r="N18" s="50">
        <f>L18/L12</f>
        <v>1.3867752849114972</v>
      </c>
      <c r="O18" s="102">
        <v>0.62</v>
      </c>
      <c r="P18" s="102">
        <f>O18</f>
        <v>0.62</v>
      </c>
      <c r="Q18" s="102">
        <f>1/0.72</f>
        <v>1.3888888888888888</v>
      </c>
      <c r="R18" s="102">
        <f>Q18</f>
        <v>1.3888888888888888</v>
      </c>
      <c r="S18" s="50">
        <v>0.92</v>
      </c>
      <c r="T18" s="50">
        <f>(((2*S18)+3)/5)</f>
        <v>0.96799999999999997</v>
      </c>
      <c r="U18" s="50"/>
      <c r="V18" s="50"/>
      <c r="W18" s="59">
        <f t="shared" si="12"/>
        <v>1.2678821879382889</v>
      </c>
      <c r="X18" s="50">
        <f t="shared" si="0"/>
        <v>1.2678821879382889</v>
      </c>
      <c r="Y18" s="59">
        <f t="shared" si="3"/>
        <v>1.2678821879382889</v>
      </c>
      <c r="Z18" s="59">
        <f t="shared" si="4"/>
        <v>1.2050119968008532</v>
      </c>
      <c r="AA18" s="60">
        <f t="shared" si="13"/>
        <v>1.0937729846702406</v>
      </c>
      <c r="AB18" s="60">
        <f t="shared" si="14"/>
        <v>1.0937729846702406</v>
      </c>
      <c r="AC18" s="60">
        <f t="shared" si="5"/>
        <v>1.0937729846702406</v>
      </c>
      <c r="AD18" s="60">
        <f t="shared" si="6"/>
        <v>1.1508394012617313</v>
      </c>
      <c r="AE18" s="60">
        <f t="shared" si="7"/>
        <v>1.0937729846702406</v>
      </c>
      <c r="AF18" s="60" t="s">
        <v>55</v>
      </c>
      <c r="AG18" s="60" t="s">
        <v>55</v>
      </c>
      <c r="AH18" s="71"/>
      <c r="AI18" s="60">
        <f t="shared" si="9"/>
        <v>1.112795123534071</v>
      </c>
      <c r="AQ18" s="2"/>
    </row>
    <row r="19" spans="1:43" ht="42" customHeight="1" x14ac:dyDescent="0.25">
      <c r="A19" s="97" t="s">
        <v>154</v>
      </c>
      <c r="B19" s="87" t="s">
        <v>42</v>
      </c>
      <c r="C19" s="18" t="s">
        <v>133</v>
      </c>
      <c r="D19" s="81" t="s">
        <v>134</v>
      </c>
      <c r="E19" s="23" t="s">
        <v>47</v>
      </c>
      <c r="F19" s="82" t="s">
        <v>99</v>
      </c>
      <c r="G19" s="117"/>
      <c r="H19" s="89" t="s">
        <v>115</v>
      </c>
      <c r="I19" s="94" t="s">
        <v>170</v>
      </c>
      <c r="J19" s="33">
        <v>29944.21</v>
      </c>
      <c r="K19" s="41">
        <f>(48*(J19+(148+(2*170))))/5</f>
        <v>292149.21600000001</v>
      </c>
      <c r="L19" s="41">
        <f>(22*(J19+(148+(2*170))))/2</f>
        <v>334754.31</v>
      </c>
      <c r="M19" s="50">
        <f>K19/K12</f>
        <v>1.0076849408945305</v>
      </c>
      <c r="N19" s="50">
        <f>L19/L12</f>
        <v>1.1546389947749827</v>
      </c>
      <c r="O19" s="50">
        <v>0.62</v>
      </c>
      <c r="P19" s="66">
        <f t="shared" si="1"/>
        <v>0.62</v>
      </c>
      <c r="Q19" s="50">
        <f>1/0.72</f>
        <v>1.3888888888888888</v>
      </c>
      <c r="R19" s="66">
        <f t="shared" si="2"/>
        <v>1.3888888888888888</v>
      </c>
      <c r="S19" s="50">
        <v>0.92</v>
      </c>
      <c r="T19" s="50">
        <f t="shared" ref="T19" si="36">(((2*S19)+3)/5)</f>
        <v>0.96799999999999997</v>
      </c>
      <c r="U19" s="50">
        <f>10.17/8.97</f>
        <v>1.1337792642140467</v>
      </c>
      <c r="V19" s="50">
        <f>6.31/5.91</f>
        <v>1.0676818950930624</v>
      </c>
      <c r="W19" s="59">
        <f t="shared" ref="W19" si="37">((1/O19)+(1/Q19))/(2*S19)</f>
        <v>1.2678821879382889</v>
      </c>
      <c r="X19" s="50">
        <f t="shared" ref="X19" si="38">W19</f>
        <v>1.2678821879382889</v>
      </c>
      <c r="Y19" s="59">
        <f t="shared" ref="Y19" si="39">((1/P19)+(1/R19))/(2*S19)</f>
        <v>1.2678821879382889</v>
      </c>
      <c r="Z19" s="59">
        <f t="shared" ref="Z19" si="40">((1/P19)+(1/R19))/(2*T19)</f>
        <v>1.2050119968008532</v>
      </c>
      <c r="AA19" s="60">
        <f t="shared" ref="AA19" si="41">M19/W19</f>
        <v>0.79477805625862863</v>
      </c>
      <c r="AB19" s="60">
        <f t="shared" ref="AB19" si="42">M19/X19</f>
        <v>0.79477805625862863</v>
      </c>
      <c r="AC19" s="60">
        <f t="shared" ref="AC19" si="43">M19/Y19</f>
        <v>0.79477805625862863</v>
      </c>
      <c r="AD19" s="60">
        <f t="shared" ref="AD19" si="44">M19/Z19</f>
        <v>0.83624473745473094</v>
      </c>
      <c r="AE19" s="60">
        <f t="shared" ref="AE19" si="45">M19/X19</f>
        <v>0.79477805625862863</v>
      </c>
      <c r="AF19" s="60">
        <f t="shared" ref="AF19" si="46">M19/U19</f>
        <v>0.88878406291287504</v>
      </c>
      <c r="AG19" s="60">
        <f t="shared" ref="AG19" si="47">M19/V19</f>
        <v>0.94380633925303903</v>
      </c>
      <c r="AH19" s="71"/>
      <c r="AI19" s="60">
        <f t="shared" ref="AI19" si="48">(AB19+AC19+AD19)/3</f>
        <v>0.80860028332399603</v>
      </c>
      <c r="AQ19" s="2"/>
    </row>
    <row r="20" spans="1:43" ht="42" customHeight="1" x14ac:dyDescent="0.25">
      <c r="A20" s="44" t="s">
        <v>155</v>
      </c>
      <c r="B20" s="87" t="s">
        <v>50</v>
      </c>
      <c r="C20" s="18" t="s">
        <v>48</v>
      </c>
      <c r="D20" s="81" t="s">
        <v>46</v>
      </c>
      <c r="E20" s="23" t="s">
        <v>49</v>
      </c>
      <c r="F20" s="82" t="s">
        <v>100</v>
      </c>
      <c r="G20" s="117"/>
      <c r="H20" s="89" t="s">
        <v>123</v>
      </c>
      <c r="I20" s="103" t="s">
        <v>171</v>
      </c>
      <c r="J20" s="33">
        <v>79207.899999999994</v>
      </c>
      <c r="K20" s="41">
        <f>(4*J20)+(((11*(148+(3*170)))/5))</f>
        <v>318279.19999999995</v>
      </c>
      <c r="L20" s="41">
        <f>(4*J20)+(((5*(148+(3*170)))/2))</f>
        <v>318476.59999999998</v>
      </c>
      <c r="M20" s="50">
        <f>K20/K12</f>
        <v>1.0978128274010441</v>
      </c>
      <c r="N20" s="50">
        <f>L20/L12</f>
        <v>1.0984937020926011</v>
      </c>
      <c r="O20" s="50">
        <v>0.69</v>
      </c>
      <c r="P20" s="66">
        <f t="shared" si="1"/>
        <v>0.69</v>
      </c>
      <c r="Q20" s="50">
        <f>1/0.79</f>
        <v>1.2658227848101264</v>
      </c>
      <c r="R20" s="66">
        <f t="shared" si="2"/>
        <v>1.2658227848101264</v>
      </c>
      <c r="S20" s="50">
        <v>0.98</v>
      </c>
      <c r="T20" s="50">
        <f t="shared" si="11"/>
        <v>0.99199999999999999</v>
      </c>
      <c r="U20" s="50">
        <f>10.94/8.97</f>
        <v>1.2196209587513933</v>
      </c>
      <c r="V20" s="50">
        <f>6.33/5.91</f>
        <v>1.0710659898477157</v>
      </c>
      <c r="W20" s="59">
        <f t="shared" si="12"/>
        <v>1.1424874297545107</v>
      </c>
      <c r="X20" s="50">
        <f t="shared" si="0"/>
        <v>1.1424874297545107</v>
      </c>
      <c r="Y20" s="59">
        <f t="shared" si="3"/>
        <v>1.1424874297545107</v>
      </c>
      <c r="Z20" s="59">
        <f t="shared" si="4"/>
        <v>1.1286670172978028</v>
      </c>
      <c r="AA20" s="60">
        <f t="shared" si="13"/>
        <v>0.96089707318437112</v>
      </c>
      <c r="AB20" s="60">
        <f t="shared" si="14"/>
        <v>0.96089707318437112</v>
      </c>
      <c r="AC20" s="60">
        <f t="shared" si="5"/>
        <v>0.96089707318437112</v>
      </c>
      <c r="AD20" s="60">
        <f t="shared" si="6"/>
        <v>0.97266315979479201</v>
      </c>
      <c r="AE20" s="60">
        <f t="shared" si="7"/>
        <v>0.96089707318437112</v>
      </c>
      <c r="AF20" s="60">
        <f t="shared" si="15"/>
        <v>0.90012623965149607</v>
      </c>
      <c r="AG20" s="60">
        <f t="shared" si="8"/>
        <v>1.0249721658673256</v>
      </c>
      <c r="AH20" s="71"/>
      <c r="AI20" s="60">
        <f t="shared" si="9"/>
        <v>0.96481910205451138</v>
      </c>
      <c r="AQ20" s="2"/>
    </row>
    <row r="21" spans="1:43" ht="75.75" customHeight="1" x14ac:dyDescent="0.25">
      <c r="A21" s="97" t="s">
        <v>156</v>
      </c>
      <c r="B21" s="18" t="s">
        <v>14</v>
      </c>
      <c r="C21" s="18" t="s">
        <v>51</v>
      </c>
      <c r="D21" s="81" t="s">
        <v>46</v>
      </c>
      <c r="E21" s="23" t="s">
        <v>52</v>
      </c>
      <c r="F21" s="82" t="s">
        <v>101</v>
      </c>
      <c r="G21" s="117"/>
      <c r="H21" s="90" t="s">
        <v>116</v>
      </c>
      <c r="I21" s="24" t="s">
        <v>177</v>
      </c>
      <c r="J21" s="33">
        <f>151645.41*(1-(AH21*0.01))</f>
        <v>145958.70712500002</v>
      </c>
      <c r="K21" s="41">
        <f>((((J21*5)+(5*(148+(3*170))))+((J21*3)+(3*(148+(3*170))))+((J21*3*0.44)+(3*0.44*(148+(3*170))))+(((2*(64+(0.44*31)))/25)*172.69)))/5</f>
        <v>273508.06450660003</v>
      </c>
      <c r="L21" s="41">
        <f>((((J21*5)+(5*(148+(3*170))))+((J21*3)+(3*(148+(3*170)))))+(((2*64)/25)*172.69))/2</f>
        <v>586908.91490000009</v>
      </c>
      <c r="M21" s="50">
        <f>K21/K12</f>
        <v>0.94338763454532315</v>
      </c>
      <c r="N21" s="50">
        <f>L21/L12</f>
        <v>2.0243739939438332</v>
      </c>
      <c r="O21" s="50">
        <v>0.6</v>
      </c>
      <c r="P21" s="66">
        <f t="shared" si="1"/>
        <v>0.6</v>
      </c>
      <c r="Q21" s="102">
        <v>0.68</v>
      </c>
      <c r="R21" s="102">
        <f>Q21</f>
        <v>0.68</v>
      </c>
      <c r="S21" s="50">
        <v>0.51</v>
      </c>
      <c r="T21" s="50">
        <f t="shared" si="11"/>
        <v>0.80399999999999994</v>
      </c>
      <c r="U21" s="50">
        <f>12.46/8.97</f>
        <v>1.3890746934225195</v>
      </c>
      <c r="V21" s="50">
        <f>6.51/5.91</f>
        <v>1.1015228426395938</v>
      </c>
      <c r="W21" s="50">
        <f>((1/O21)+(1/Q21))/(2*S21*0.5)</f>
        <v>6.1514801999231059</v>
      </c>
      <c r="X21" s="50">
        <f>((1/O21)+(1/Q21))/(2*S21)</f>
        <v>3.075740099961553</v>
      </c>
      <c r="Y21" s="59">
        <f t="shared" si="3"/>
        <v>3.075740099961553</v>
      </c>
      <c r="Z21" s="59">
        <f t="shared" si="4"/>
        <v>1.9510291678860601</v>
      </c>
      <c r="AA21" s="60">
        <f t="shared" si="13"/>
        <v>0.15335945234077411</v>
      </c>
      <c r="AB21" s="60">
        <f t="shared" si="14"/>
        <v>0.30671890468154822</v>
      </c>
      <c r="AC21" s="60">
        <f>((J21*5)+(J21*3))/5/Y21/K12</f>
        <v>0.26189089442097729</v>
      </c>
      <c r="AD21" s="60">
        <f>((J21*5)+(J21*3))/5/Z21/K12</f>
        <v>0.41286329238130526</v>
      </c>
      <c r="AE21" s="60">
        <f>N21/X21</f>
        <v>0.65817459478098883</v>
      </c>
      <c r="AF21" s="60">
        <f t="shared" si="15"/>
        <v>0.67914824092067005</v>
      </c>
      <c r="AG21" s="60">
        <f>((J21*5)+(J21*3))/5/V21/K12</f>
        <v>0.73126792709549893</v>
      </c>
      <c r="AH21" s="71">
        <v>3.75</v>
      </c>
      <c r="AI21" s="60">
        <f t="shared" si="9"/>
        <v>0.32715769716127691</v>
      </c>
      <c r="AQ21" s="2"/>
    </row>
    <row r="22" spans="1:43" ht="36.75" customHeight="1" x14ac:dyDescent="0.25">
      <c r="A22" s="44" t="s">
        <v>157</v>
      </c>
      <c r="B22" s="88" t="s">
        <v>165</v>
      </c>
      <c r="C22" s="18" t="s">
        <v>98</v>
      </c>
      <c r="D22" s="86" t="s">
        <v>6</v>
      </c>
      <c r="E22" s="107" t="s">
        <v>54</v>
      </c>
      <c r="F22" s="85" t="s">
        <v>104</v>
      </c>
      <c r="G22" s="117"/>
      <c r="H22" s="109" t="s">
        <v>117</v>
      </c>
      <c r="I22" s="24" t="s">
        <v>135</v>
      </c>
      <c r="J22" s="33">
        <v>48719.26</v>
      </c>
      <c r="K22" s="41">
        <f>(J22*28)/5</f>
        <v>272827.85600000003</v>
      </c>
      <c r="L22" s="41">
        <f>(J22*28)/2</f>
        <v>682069.64</v>
      </c>
      <c r="M22" s="50">
        <f>K22/K12</f>
        <v>0.94104145036535536</v>
      </c>
      <c r="N22" s="50">
        <f>L22/L12</f>
        <v>2.3526036259133885</v>
      </c>
      <c r="O22" s="50">
        <v>0.84</v>
      </c>
      <c r="P22" s="66">
        <f t="shared" si="1"/>
        <v>0.84</v>
      </c>
      <c r="Q22" s="50">
        <f>1/0.88</f>
        <v>1.1363636363636365</v>
      </c>
      <c r="R22" s="66">
        <f t="shared" si="2"/>
        <v>1.1363636363636365</v>
      </c>
      <c r="S22" s="50">
        <f>1/0.81</f>
        <v>1.2345679012345678</v>
      </c>
      <c r="T22" s="50">
        <f t="shared" si="11"/>
        <v>1.0938271604938272</v>
      </c>
      <c r="U22" s="50">
        <f>10.4/8.97</f>
        <v>1.1594202898550725</v>
      </c>
      <c r="V22" s="50">
        <f>6.2/5.91</f>
        <v>1.0490693739424704</v>
      </c>
      <c r="W22" s="50">
        <f>((1/(O22*1.15))+(1/(Q22*1.15)))/(2*S22*0.4)</f>
        <v>1.8229192546583852</v>
      </c>
      <c r="X22" s="50">
        <f>((1/(O22*1.15))+(1/(Q22*1.15)))/(2*S22)</f>
        <v>0.72916770186335411</v>
      </c>
      <c r="Y22" s="59">
        <f t="shared" si="3"/>
        <v>0.83854285714285726</v>
      </c>
      <c r="Z22" s="59">
        <f t="shared" si="4"/>
        <v>0.94643663334408257</v>
      </c>
      <c r="AA22" s="60">
        <f t="shared" si="13"/>
        <v>0.51622771988422844</v>
      </c>
      <c r="AB22" s="60">
        <f t="shared" si="14"/>
        <v>1.2905692997105711</v>
      </c>
      <c r="AC22" s="60">
        <f t="shared" si="5"/>
        <v>1.1222341736613661</v>
      </c>
      <c r="AD22" s="60">
        <f t="shared" si="6"/>
        <v>0.99429947786397044</v>
      </c>
      <c r="AE22" s="60">
        <f>N22/(((1/(O22))+(1/(Q22)))/(2*S22))</f>
        <v>2.8055854341534152</v>
      </c>
      <c r="AF22" s="60">
        <f t="shared" si="15"/>
        <v>0.81164825094011894</v>
      </c>
      <c r="AG22" s="60">
        <f t="shared" si="8"/>
        <v>0.89702499542891134</v>
      </c>
      <c r="AH22" s="71"/>
      <c r="AI22" s="60">
        <f t="shared" si="9"/>
        <v>1.1357009837453027</v>
      </c>
      <c r="AQ22" s="2"/>
    </row>
    <row r="23" spans="1:43" ht="35.25" customHeight="1" x14ac:dyDescent="0.25">
      <c r="A23" s="44" t="s">
        <v>158</v>
      </c>
      <c r="B23" s="88" t="s">
        <v>165</v>
      </c>
      <c r="C23" s="18" t="s">
        <v>98</v>
      </c>
      <c r="D23" s="86" t="s">
        <v>6</v>
      </c>
      <c r="E23" s="107" t="s">
        <v>54</v>
      </c>
      <c r="F23" s="85" t="s">
        <v>104</v>
      </c>
      <c r="G23" s="117"/>
      <c r="H23" s="109"/>
      <c r="I23" s="24" t="s">
        <v>136</v>
      </c>
      <c r="J23" s="33">
        <v>48719.26</v>
      </c>
      <c r="K23" s="41">
        <f>(J23*14)/5</f>
        <v>136413.92800000001</v>
      </c>
      <c r="L23" s="41">
        <f>(J23*14)/2</f>
        <v>341034.82</v>
      </c>
      <c r="M23" s="50">
        <f>K23/K12</f>
        <v>0.47052072518267768</v>
      </c>
      <c r="N23" s="50">
        <f>L23/L12</f>
        <v>1.1763018129566942</v>
      </c>
      <c r="O23" s="50">
        <v>0.84</v>
      </c>
      <c r="P23" s="66">
        <f t="shared" si="1"/>
        <v>0.84</v>
      </c>
      <c r="Q23" s="50">
        <f t="shared" ref="Q23:Q24" si="49">1/0.88</f>
        <v>1.1363636363636365</v>
      </c>
      <c r="R23" s="66">
        <f t="shared" si="2"/>
        <v>1.1363636363636365</v>
      </c>
      <c r="S23" s="50">
        <f t="shared" ref="S23:S24" si="50">1/0.81</f>
        <v>1.2345679012345678</v>
      </c>
      <c r="T23" s="50">
        <f t="shared" si="11"/>
        <v>1.0938271604938272</v>
      </c>
      <c r="U23" s="50">
        <f>10.4/8.97</f>
        <v>1.1594202898550725</v>
      </c>
      <c r="V23" s="50">
        <f>6.2/5.91</f>
        <v>1.0490693739424704</v>
      </c>
      <c r="W23" s="50">
        <f>((1/(O23*1.15))+(1/(Q23*1.15)))/(2*S23*0.4)</f>
        <v>1.8229192546583852</v>
      </c>
      <c r="X23" s="50">
        <f>((1/(O23*1.15))+(1/(Q23*1.15)))/(2*S23)</f>
        <v>0.72916770186335411</v>
      </c>
      <c r="Y23" s="59">
        <f t="shared" si="3"/>
        <v>0.83854285714285726</v>
      </c>
      <c r="Z23" s="59">
        <f t="shared" si="4"/>
        <v>0.94643663334408257</v>
      </c>
      <c r="AA23" s="60">
        <f t="shared" si="13"/>
        <v>0.25811385994211422</v>
      </c>
      <c r="AB23" s="60">
        <f t="shared" si="14"/>
        <v>0.64528464985528555</v>
      </c>
      <c r="AC23" s="60">
        <f t="shared" si="5"/>
        <v>0.56111708683068307</v>
      </c>
      <c r="AD23" s="60">
        <f t="shared" si="6"/>
        <v>0.49714973893198522</v>
      </c>
      <c r="AE23" s="60">
        <f>N23/(((1/(O23))+(1/(Q23)))/(2*S23))</f>
        <v>1.4027927170767076</v>
      </c>
      <c r="AF23" s="60">
        <f t="shared" si="15"/>
        <v>0.40582412547005947</v>
      </c>
      <c r="AG23" s="60">
        <f t="shared" si="8"/>
        <v>0.44851249771445567</v>
      </c>
      <c r="AH23" s="71"/>
      <c r="AI23" s="60">
        <f t="shared" si="9"/>
        <v>0.56785049187265135</v>
      </c>
      <c r="AQ23" s="2"/>
    </row>
    <row r="24" spans="1:43" ht="35.25" customHeight="1" x14ac:dyDescent="0.25">
      <c r="A24" s="44" t="s">
        <v>159</v>
      </c>
      <c r="B24" s="88" t="s">
        <v>165</v>
      </c>
      <c r="C24" s="18" t="s">
        <v>98</v>
      </c>
      <c r="D24" s="86" t="s">
        <v>6</v>
      </c>
      <c r="E24" s="107" t="s">
        <v>54</v>
      </c>
      <c r="F24" s="85" t="s">
        <v>104</v>
      </c>
      <c r="G24" s="117"/>
      <c r="H24" s="109"/>
      <c r="I24" s="24" t="s">
        <v>137</v>
      </c>
      <c r="J24" s="33">
        <v>48719.26</v>
      </c>
      <c r="K24" s="41">
        <f>(J24*39)/5</f>
        <v>380010.228</v>
      </c>
      <c r="L24" s="41">
        <f>(J24*39)/2</f>
        <v>950025.57000000007</v>
      </c>
      <c r="M24" s="50">
        <f>K24/K12</f>
        <v>1.3107363058660306</v>
      </c>
      <c r="N24" s="50">
        <f>L24/L12</f>
        <v>3.2768407646650766</v>
      </c>
      <c r="O24" s="50">
        <v>0.84</v>
      </c>
      <c r="P24" s="66">
        <f t="shared" si="1"/>
        <v>0.84</v>
      </c>
      <c r="Q24" s="50">
        <f t="shared" si="49"/>
        <v>1.1363636363636365</v>
      </c>
      <c r="R24" s="66">
        <f t="shared" si="2"/>
        <v>1.1363636363636365</v>
      </c>
      <c r="S24" s="50">
        <f t="shared" si="50"/>
        <v>1.2345679012345678</v>
      </c>
      <c r="T24" s="50">
        <f t="shared" si="11"/>
        <v>1.0938271604938272</v>
      </c>
      <c r="U24" s="50">
        <f>10.4/8.97</f>
        <v>1.1594202898550725</v>
      </c>
      <c r="V24" s="50">
        <f>6.2/5.91</f>
        <v>1.0490693739424704</v>
      </c>
      <c r="W24" s="50">
        <f>((1/(O24*1.15))+(1/(Q24*1.15)))/(2*S24*0.4)</f>
        <v>1.8229192546583852</v>
      </c>
      <c r="X24" s="50">
        <f>((1/(O24*1.15))+(1/(Q24*1.15)))/(2*S24)</f>
        <v>0.72916770186335411</v>
      </c>
      <c r="Y24" s="59">
        <f t="shared" si="3"/>
        <v>0.83854285714285726</v>
      </c>
      <c r="Z24" s="59">
        <f t="shared" si="4"/>
        <v>0.94643663334408257</v>
      </c>
      <c r="AA24" s="60">
        <f t="shared" si="13"/>
        <v>0.71903146698160381</v>
      </c>
      <c r="AB24" s="60">
        <f t="shared" si="14"/>
        <v>1.7975786674540095</v>
      </c>
      <c r="AC24" s="60">
        <f t="shared" si="5"/>
        <v>1.5631118847426171</v>
      </c>
      <c r="AD24" s="60">
        <f t="shared" si="6"/>
        <v>1.3849171298819589</v>
      </c>
      <c r="AE24" s="60">
        <f>N24/(((1/(O24))+(1/(Q24)))/(2*S24))</f>
        <v>3.9077797118565423</v>
      </c>
      <c r="AF24" s="60">
        <f t="shared" si="15"/>
        <v>1.1305100638094514</v>
      </c>
      <c r="AG24" s="60">
        <f t="shared" si="8"/>
        <v>1.249427672204555</v>
      </c>
      <c r="AH24" s="71"/>
      <c r="AI24" s="60">
        <f t="shared" si="9"/>
        <v>1.5818692273595285</v>
      </c>
      <c r="AQ24" s="2"/>
    </row>
    <row r="25" spans="1:43" ht="39.75" customHeight="1" x14ac:dyDescent="0.25">
      <c r="A25" s="44" t="s">
        <v>160</v>
      </c>
      <c r="B25" s="18" t="s">
        <v>8</v>
      </c>
      <c r="C25" s="18" t="s">
        <v>9</v>
      </c>
      <c r="D25" s="81" t="s">
        <v>10</v>
      </c>
      <c r="E25" s="23" t="s">
        <v>11</v>
      </c>
      <c r="F25" s="82" t="s">
        <v>100</v>
      </c>
      <c r="G25" s="118"/>
      <c r="H25" s="89" t="s">
        <v>123</v>
      </c>
      <c r="I25" s="76" t="s">
        <v>139</v>
      </c>
      <c r="J25" s="77">
        <v>25416.67</v>
      </c>
      <c r="K25" s="78">
        <f>(((J25*11)+(4*J25))+(J25*12)+(J25*12)+(J25*12)+(J25*12))/5</f>
        <v>320250.04200000002</v>
      </c>
      <c r="L25" s="78">
        <f>(((J25*11)+(4*J25))+(J25*12))/2</f>
        <v>343125.04499999998</v>
      </c>
      <c r="M25" s="50">
        <f>K25/K12</f>
        <v>1.1046106817012336</v>
      </c>
      <c r="N25" s="50">
        <f>L25/L12</f>
        <v>1.1835114446798929</v>
      </c>
      <c r="O25" s="79">
        <v>0.61</v>
      </c>
      <c r="P25" s="66">
        <f t="shared" si="1"/>
        <v>0.61</v>
      </c>
      <c r="Q25" s="79">
        <f>0.84</f>
        <v>0.84</v>
      </c>
      <c r="R25" s="66">
        <f t="shared" si="2"/>
        <v>0.84</v>
      </c>
      <c r="S25" s="79">
        <f>1/0.75</f>
        <v>1.3333333333333333</v>
      </c>
      <c r="T25" s="79">
        <f t="shared" si="11"/>
        <v>1.1333333333333333</v>
      </c>
      <c r="U25" s="50">
        <f>10.4/8.97</f>
        <v>1.1594202898550725</v>
      </c>
      <c r="V25" s="50">
        <f>6.19/5.91</f>
        <v>1.0473773265651438</v>
      </c>
      <c r="W25" s="59">
        <f>((1/O25)+(1/Q25))/(2*S25)</f>
        <v>1.0611826697892273</v>
      </c>
      <c r="X25" s="50">
        <f>W25</f>
        <v>1.0611826697892273</v>
      </c>
      <c r="Y25" s="59">
        <f>((1/P25)+(1/R25))/(2*S25)</f>
        <v>1.0611826697892273</v>
      </c>
      <c r="Z25" s="59">
        <f>((1/P25)+(1/R25))/(2*T25)</f>
        <v>1.2484501997520321</v>
      </c>
      <c r="AA25" s="60">
        <f>M25/W25</f>
        <v>1.0409241623976313</v>
      </c>
      <c r="AB25" s="60">
        <f>M25/X25</f>
        <v>1.0409241623976313</v>
      </c>
      <c r="AC25" s="60">
        <f>M25/Y25</f>
        <v>1.0409241623976313</v>
      </c>
      <c r="AD25" s="60">
        <f>M25/Z25</f>
        <v>0.88478553803798665</v>
      </c>
      <c r="AE25" s="60">
        <f>M25/X25</f>
        <v>1.0409241623976313</v>
      </c>
      <c r="AF25" s="60">
        <f>M25/U25</f>
        <v>0.95272671296731393</v>
      </c>
      <c r="AG25" s="60">
        <f>M25/V25</f>
        <v>1.0546444473108709</v>
      </c>
      <c r="AH25" s="80"/>
      <c r="AI25" s="60">
        <f t="shared" si="9"/>
        <v>0.98887795427774972</v>
      </c>
      <c r="AQ25" s="2"/>
    </row>
    <row r="26" spans="1:43" ht="12" hidden="1" customHeight="1" x14ac:dyDescent="0.25">
      <c r="G26" s="24"/>
      <c r="H26" s="90"/>
      <c r="I26" s="19"/>
      <c r="J26" s="33"/>
      <c r="K26" s="43"/>
      <c r="L26" s="43"/>
      <c r="M26" s="43"/>
      <c r="N26" s="43"/>
      <c r="O26" s="48"/>
      <c r="P26" s="48"/>
      <c r="Q26" s="20"/>
      <c r="R26" s="20"/>
      <c r="S26" s="20"/>
      <c r="T26" s="20"/>
      <c r="U26" s="20"/>
      <c r="V26" s="20"/>
      <c r="W26" s="27"/>
      <c r="X26" s="50"/>
      <c r="Y26" s="27"/>
      <c r="Z26" s="27"/>
      <c r="AA26" s="21"/>
      <c r="AB26" s="54"/>
      <c r="AC26" s="22"/>
      <c r="AD26" s="22"/>
      <c r="AE26" s="22"/>
      <c r="AF26" s="60"/>
      <c r="AG26" s="56"/>
      <c r="AQ26" s="2"/>
    </row>
    <row r="27" spans="1:43" ht="8.25" hidden="1" customHeight="1" x14ac:dyDescent="0.25">
      <c r="G27" s="24"/>
      <c r="H27" s="19"/>
      <c r="I27" s="19"/>
      <c r="J27" s="40" t="s">
        <v>40</v>
      </c>
      <c r="K27" s="42" t="s">
        <v>40</v>
      </c>
      <c r="L27" s="42"/>
      <c r="M27" s="42"/>
      <c r="N27" s="42"/>
      <c r="O27" s="25"/>
      <c r="P27" s="25"/>
      <c r="Q27" s="20"/>
      <c r="R27" s="20"/>
      <c r="S27" s="20"/>
      <c r="T27" s="20"/>
      <c r="U27" s="20"/>
      <c r="V27" s="20"/>
      <c r="W27" s="20"/>
      <c r="X27" s="50"/>
      <c r="Y27" s="20"/>
      <c r="Z27" s="20"/>
      <c r="AA27" s="21"/>
      <c r="AB27" s="54"/>
      <c r="AC27" s="26"/>
      <c r="AD27" s="26"/>
      <c r="AE27" s="22"/>
      <c r="AF27" s="60"/>
      <c r="AG27" s="56"/>
      <c r="AQ27" s="2">
        <f>AP27*AA27</f>
        <v>0</v>
      </c>
    </row>
    <row r="28" spans="1:43" ht="7.5" customHeight="1" x14ac:dyDescent="0.25">
      <c r="A28" s="6"/>
      <c r="B28" s="8"/>
      <c r="D28" s="5"/>
      <c r="E28" s="5"/>
      <c r="AA28" s="4"/>
      <c r="AB28" s="4"/>
      <c r="AC28" s="7"/>
      <c r="AD28" s="7"/>
      <c r="AE28" s="7"/>
      <c r="AF28" s="4"/>
      <c r="AQ28" s="3"/>
    </row>
    <row r="29" spans="1:43" ht="10.5" customHeight="1" x14ac:dyDescent="0.25">
      <c r="A29" s="16" t="s">
        <v>203</v>
      </c>
      <c r="B29" s="10"/>
      <c r="C29" s="11"/>
      <c r="D29" s="12"/>
      <c r="E29" s="12"/>
      <c r="F29" s="11"/>
      <c r="G29" s="11"/>
      <c r="H29" s="11"/>
      <c r="I29" s="11"/>
      <c r="J29" s="11"/>
      <c r="K29" s="11"/>
      <c r="L29" s="11"/>
      <c r="M29" s="11"/>
      <c r="N29" s="11"/>
      <c r="AA29" s="4"/>
      <c r="AB29" s="4"/>
      <c r="AC29" s="7"/>
      <c r="AD29" s="7"/>
      <c r="AE29" s="7"/>
      <c r="AF29" s="4"/>
      <c r="AQ29" s="3"/>
    </row>
    <row r="30" spans="1:43" ht="14.25" customHeight="1" x14ac:dyDescent="0.25">
      <c r="A30" s="13" t="s">
        <v>95</v>
      </c>
      <c r="B30" s="12"/>
      <c r="C30" s="11"/>
      <c r="D30" s="12"/>
      <c r="E30" s="12"/>
      <c r="F30" s="11"/>
      <c r="G30" s="11"/>
      <c r="H30" s="11"/>
      <c r="I30" s="11"/>
      <c r="J30" s="11"/>
      <c r="K30" s="11"/>
      <c r="L30" s="11"/>
      <c r="M30" s="11"/>
      <c r="N30" s="11"/>
      <c r="AA30" s="4"/>
      <c r="AB30" s="4"/>
      <c r="AC30" s="7"/>
      <c r="AD30" s="7"/>
      <c r="AE30" s="7"/>
      <c r="AF30" s="4"/>
      <c r="AQ30" s="3"/>
    </row>
    <row r="31" spans="1:43" ht="12.75" customHeight="1" x14ac:dyDescent="0.25">
      <c r="A31" s="13" t="s">
        <v>58</v>
      </c>
      <c r="B31" s="12"/>
      <c r="C31" s="11"/>
      <c r="D31" s="12"/>
      <c r="E31" s="12"/>
      <c r="F31" s="11"/>
      <c r="G31" s="11"/>
      <c r="H31" s="11"/>
      <c r="I31" s="11"/>
      <c r="J31" s="11"/>
      <c r="K31" s="11"/>
      <c r="L31" s="11"/>
      <c r="M31" s="11"/>
      <c r="N31" s="11"/>
      <c r="AA31" s="4"/>
      <c r="AB31" s="4"/>
      <c r="AC31" s="7"/>
      <c r="AD31" s="7"/>
      <c r="AE31" s="7"/>
      <c r="AF31" s="4"/>
      <c r="AQ31" s="3"/>
    </row>
    <row r="32" spans="1:43" ht="12.75" customHeight="1" x14ac:dyDescent="0.25">
      <c r="A32" s="14" t="s">
        <v>56</v>
      </c>
      <c r="B32" s="15"/>
      <c r="C32" s="11"/>
      <c r="D32" s="11"/>
      <c r="E32" s="11"/>
      <c r="F32" s="11"/>
      <c r="G32" s="11"/>
      <c r="H32" s="11"/>
      <c r="I32" s="11"/>
      <c r="J32" s="11"/>
      <c r="K32" s="11"/>
      <c r="L32" s="11"/>
      <c r="M32" s="11"/>
      <c r="N32" s="11"/>
      <c r="AQ32" s="3"/>
    </row>
    <row r="33" spans="1:18" ht="13.5" customHeight="1" x14ac:dyDescent="0.25">
      <c r="A33" s="13" t="s">
        <v>96</v>
      </c>
      <c r="B33" s="11"/>
      <c r="C33" s="11"/>
      <c r="D33" s="11"/>
      <c r="E33" s="11"/>
      <c r="F33" s="11"/>
      <c r="G33" s="11"/>
      <c r="H33" s="11"/>
      <c r="I33" s="11"/>
      <c r="J33" s="11"/>
      <c r="K33" s="11"/>
      <c r="L33" s="11"/>
      <c r="M33" s="11"/>
      <c r="N33" s="11"/>
      <c r="O33" s="11"/>
      <c r="P33" s="11"/>
      <c r="Q33" s="11"/>
      <c r="R33" s="11"/>
    </row>
    <row r="34" spans="1:18" ht="13.5" customHeight="1" x14ac:dyDescent="0.25">
      <c r="A34" s="13" t="s">
        <v>57</v>
      </c>
      <c r="B34" s="11"/>
      <c r="C34" s="11"/>
      <c r="D34" s="11"/>
      <c r="E34" s="11"/>
      <c r="F34" s="11"/>
      <c r="G34" s="11"/>
      <c r="H34" s="11"/>
      <c r="I34" s="11"/>
      <c r="J34" s="11"/>
      <c r="K34" s="11"/>
      <c r="L34" s="11"/>
      <c r="M34" s="11"/>
      <c r="N34" s="11"/>
      <c r="O34" s="11"/>
      <c r="P34" s="11"/>
      <c r="Q34" s="11"/>
      <c r="R34" s="11"/>
    </row>
    <row r="35" spans="1:18" ht="13.5" customHeight="1" x14ac:dyDescent="0.25">
      <c r="A35" s="13" t="s">
        <v>59</v>
      </c>
      <c r="B35" s="11"/>
      <c r="C35" s="11"/>
      <c r="D35" s="11"/>
      <c r="E35" s="11"/>
      <c r="F35" s="11"/>
      <c r="G35" s="11"/>
      <c r="H35" s="11"/>
      <c r="I35" s="11"/>
      <c r="J35" s="11"/>
      <c r="K35" s="11"/>
      <c r="L35" s="11"/>
      <c r="M35" s="11"/>
      <c r="N35" s="11"/>
      <c r="O35" s="11"/>
      <c r="P35" s="11"/>
      <c r="Q35" s="11"/>
      <c r="R35" s="11"/>
    </row>
    <row r="36" spans="1:18" ht="13.5" customHeight="1" x14ac:dyDescent="0.25">
      <c r="A36" s="13" t="s">
        <v>60</v>
      </c>
      <c r="B36" s="11"/>
      <c r="C36" s="11"/>
      <c r="D36" s="11"/>
      <c r="E36" s="11"/>
      <c r="F36" s="11"/>
      <c r="G36" s="11"/>
      <c r="H36" s="11"/>
      <c r="I36" s="11"/>
      <c r="J36" s="11"/>
      <c r="K36" s="11"/>
      <c r="L36" s="11"/>
      <c r="M36" s="11"/>
      <c r="N36" s="11"/>
      <c r="O36" s="11"/>
      <c r="P36" s="11"/>
      <c r="Q36" s="11"/>
      <c r="R36" s="11"/>
    </row>
    <row r="37" spans="1:18" ht="14.25" customHeight="1" x14ac:dyDescent="0.25">
      <c r="A37" s="13" t="s">
        <v>64</v>
      </c>
      <c r="B37" s="11"/>
      <c r="C37" s="11"/>
      <c r="D37" s="11"/>
      <c r="E37" s="11"/>
      <c r="F37" s="11"/>
      <c r="G37" s="11"/>
      <c r="H37" s="11"/>
      <c r="I37" s="11"/>
      <c r="J37" s="11"/>
      <c r="K37" s="11"/>
      <c r="L37" s="11"/>
      <c r="M37" s="11"/>
      <c r="N37" s="11"/>
      <c r="O37" s="11"/>
      <c r="P37" s="11"/>
      <c r="Q37" s="11"/>
      <c r="R37" s="11"/>
    </row>
    <row r="38" spans="1:18" ht="13.5" customHeight="1" x14ac:dyDescent="0.25">
      <c r="A38" s="13" t="s">
        <v>67</v>
      </c>
      <c r="B38" s="11"/>
      <c r="C38" s="11"/>
      <c r="D38" s="11"/>
      <c r="E38" s="11"/>
      <c r="F38" s="11"/>
      <c r="G38" s="11"/>
      <c r="H38" s="11"/>
      <c r="I38" s="11"/>
      <c r="J38" s="11"/>
      <c r="K38" s="11"/>
      <c r="L38" s="11"/>
      <c r="M38" s="11"/>
      <c r="N38" s="11"/>
      <c r="O38" s="11"/>
      <c r="P38" s="11"/>
      <c r="Q38" s="11"/>
      <c r="R38" s="11"/>
    </row>
    <row r="39" spans="1:18" ht="12" customHeight="1" x14ac:dyDescent="0.25">
      <c r="A39" s="16" t="s">
        <v>130</v>
      </c>
      <c r="B39" s="11"/>
      <c r="C39" s="11"/>
      <c r="D39" s="11"/>
      <c r="E39" s="11"/>
      <c r="F39" s="11"/>
      <c r="G39" s="11"/>
      <c r="H39" s="11"/>
      <c r="I39" s="11"/>
      <c r="J39" s="77"/>
      <c r="K39" s="11"/>
      <c r="L39" s="11"/>
      <c r="M39" s="11"/>
      <c r="N39" s="11"/>
      <c r="O39" s="11"/>
      <c r="P39" s="11"/>
      <c r="Q39" s="11"/>
      <c r="R39" s="11"/>
    </row>
    <row r="40" spans="1:18" ht="12.75" customHeight="1" x14ac:dyDescent="0.25">
      <c r="A40" s="13" t="s">
        <v>131</v>
      </c>
      <c r="B40" s="11"/>
      <c r="C40" s="11"/>
      <c r="D40" s="11"/>
      <c r="E40" s="11"/>
      <c r="F40" s="11"/>
      <c r="G40" s="11"/>
      <c r="H40" s="11"/>
      <c r="I40" s="11"/>
      <c r="J40" s="11"/>
      <c r="K40" s="11"/>
      <c r="L40" s="11"/>
      <c r="M40" s="11"/>
      <c r="N40" s="11"/>
      <c r="O40" s="11"/>
      <c r="P40" s="11"/>
      <c r="Q40" s="11"/>
      <c r="R40" s="11"/>
    </row>
    <row r="41" spans="1:18" ht="12.75" customHeight="1" x14ac:dyDescent="0.25">
      <c r="A41" s="16" t="s">
        <v>167</v>
      </c>
      <c r="B41" s="11"/>
      <c r="C41" s="11"/>
      <c r="D41" s="11"/>
      <c r="E41" s="11"/>
      <c r="F41" s="11"/>
      <c r="G41" s="11"/>
      <c r="H41" s="11"/>
      <c r="I41" s="11"/>
      <c r="J41" s="11"/>
      <c r="K41" s="11"/>
      <c r="L41" s="11"/>
      <c r="M41" s="11"/>
      <c r="N41" s="11"/>
      <c r="O41" s="11"/>
      <c r="P41" s="11"/>
      <c r="Q41" s="11"/>
      <c r="R41" s="11"/>
    </row>
    <row r="42" spans="1:18" ht="12.75" customHeight="1" x14ac:dyDescent="0.25">
      <c r="A42" s="16" t="s">
        <v>169</v>
      </c>
      <c r="B42" s="11"/>
      <c r="C42" s="11"/>
      <c r="D42" s="11"/>
      <c r="E42" s="11"/>
      <c r="F42" s="11"/>
      <c r="G42" s="11"/>
      <c r="H42" s="11"/>
      <c r="I42" s="11"/>
      <c r="J42" s="11"/>
      <c r="K42" s="11"/>
      <c r="L42" s="11"/>
      <c r="M42" s="11"/>
      <c r="N42" s="11"/>
      <c r="O42" s="11"/>
      <c r="P42" s="11"/>
      <c r="Q42" s="11"/>
      <c r="R42" s="11"/>
    </row>
    <row r="43" spans="1:18" ht="12" customHeight="1" x14ac:dyDescent="0.25">
      <c r="A43" s="16" t="s">
        <v>174</v>
      </c>
      <c r="B43" s="11"/>
      <c r="C43" s="11"/>
      <c r="D43" s="11"/>
      <c r="E43" s="11"/>
      <c r="F43" s="11"/>
      <c r="G43" s="11"/>
      <c r="H43" s="11"/>
      <c r="I43" s="11"/>
      <c r="J43" s="11"/>
      <c r="K43" s="11"/>
      <c r="L43" s="11"/>
      <c r="M43" s="11"/>
      <c r="N43" s="11"/>
      <c r="O43" s="11"/>
      <c r="P43" s="11"/>
      <c r="Q43" s="11"/>
      <c r="R43" s="11"/>
    </row>
    <row r="44" spans="1:18" ht="12" customHeight="1" x14ac:dyDescent="0.25">
      <c r="A44" s="16" t="s">
        <v>175</v>
      </c>
      <c r="B44" s="11"/>
      <c r="C44" s="11"/>
      <c r="D44" s="11"/>
      <c r="E44" s="11"/>
      <c r="F44" s="11"/>
      <c r="G44" s="11"/>
      <c r="H44" s="11"/>
      <c r="I44" s="11"/>
      <c r="J44" s="11"/>
      <c r="K44" s="11"/>
      <c r="L44" s="11"/>
      <c r="M44" s="11"/>
      <c r="N44" s="11"/>
      <c r="O44" s="11"/>
      <c r="P44" s="11"/>
      <c r="Q44" s="11"/>
      <c r="R44" s="11"/>
    </row>
    <row r="45" spans="1:18" ht="12" customHeight="1" x14ac:dyDescent="0.25">
      <c r="A45" s="16" t="s">
        <v>176</v>
      </c>
      <c r="B45" s="11"/>
      <c r="C45" s="11"/>
      <c r="D45" s="11"/>
      <c r="E45" s="11"/>
      <c r="F45" s="11"/>
      <c r="G45" s="11"/>
      <c r="H45" s="11"/>
      <c r="I45" s="11"/>
      <c r="J45" s="11"/>
      <c r="K45" s="11"/>
      <c r="L45" s="11"/>
      <c r="M45" s="11"/>
      <c r="N45" s="11"/>
      <c r="O45" s="11"/>
      <c r="P45" s="11"/>
      <c r="Q45" s="11"/>
      <c r="R45" s="11"/>
    </row>
    <row r="46" spans="1:18" ht="12" customHeight="1" x14ac:dyDescent="0.25">
      <c r="A46" s="17" t="s">
        <v>178</v>
      </c>
      <c r="B46" s="11"/>
      <c r="C46" s="11"/>
      <c r="D46" s="11"/>
      <c r="E46" s="11"/>
      <c r="F46" s="11"/>
      <c r="G46" s="11"/>
      <c r="H46" s="11"/>
      <c r="I46" s="11"/>
      <c r="J46" s="11"/>
      <c r="K46" s="11"/>
      <c r="L46" s="11"/>
      <c r="M46" s="11"/>
      <c r="N46" s="11"/>
      <c r="O46" s="11"/>
      <c r="P46" s="11"/>
      <c r="Q46" s="11"/>
      <c r="R46" s="11"/>
    </row>
    <row r="47" spans="1:18" ht="12" customHeight="1" x14ac:dyDescent="0.25">
      <c r="A47" s="17" t="s">
        <v>181</v>
      </c>
      <c r="B47" s="11"/>
      <c r="C47" s="11"/>
      <c r="D47" s="11"/>
      <c r="E47" s="11"/>
      <c r="F47" s="11"/>
      <c r="G47" s="11"/>
      <c r="H47" s="11"/>
      <c r="I47" s="11"/>
      <c r="J47" s="11"/>
      <c r="K47" s="11"/>
      <c r="L47" s="11"/>
      <c r="M47" s="11"/>
      <c r="N47" s="11"/>
      <c r="O47" s="11"/>
      <c r="P47" s="11"/>
      <c r="Q47" s="11"/>
      <c r="R47" s="11"/>
    </row>
    <row r="48" spans="1:18" ht="13.5" customHeight="1" x14ac:dyDescent="0.25">
      <c r="A48" s="17"/>
      <c r="B48" s="11"/>
      <c r="C48" s="11"/>
      <c r="D48" s="11"/>
      <c r="E48" s="11"/>
      <c r="F48" s="11"/>
      <c r="G48" s="11"/>
      <c r="H48" s="11"/>
      <c r="I48" s="11"/>
      <c r="J48" s="11"/>
      <c r="K48" s="11"/>
      <c r="L48" s="11"/>
      <c r="M48" s="11"/>
      <c r="N48" s="11"/>
      <c r="O48" s="11"/>
      <c r="P48" s="11"/>
      <c r="Q48" s="11"/>
      <c r="R48" s="11"/>
    </row>
    <row r="49" spans="1:26" ht="12" customHeight="1" x14ac:dyDescent="0.25">
      <c r="A49" s="17"/>
      <c r="B49" s="11"/>
      <c r="C49" s="11"/>
      <c r="D49" s="11"/>
      <c r="E49" s="11"/>
      <c r="F49" s="11"/>
      <c r="G49" s="11"/>
      <c r="H49" s="11"/>
      <c r="I49" s="11"/>
      <c r="J49" s="11"/>
      <c r="K49" s="11"/>
      <c r="L49" s="11"/>
      <c r="M49" s="11"/>
      <c r="N49" s="11"/>
    </row>
    <row r="50" spans="1:26" ht="13.5" customHeight="1" x14ac:dyDescent="0.25">
      <c r="A50" s="17"/>
      <c r="B50" s="11"/>
      <c r="C50" s="11"/>
      <c r="D50" s="11"/>
      <c r="E50" s="11"/>
      <c r="F50" s="11"/>
      <c r="G50" s="11"/>
      <c r="H50" s="11"/>
      <c r="I50" s="11"/>
      <c r="J50" s="11"/>
      <c r="K50" s="11"/>
      <c r="L50" s="11"/>
      <c r="M50" s="11"/>
      <c r="N50" s="11"/>
    </row>
    <row r="51" spans="1:26" ht="10.5" customHeight="1" x14ac:dyDescent="0.25">
      <c r="A51" s="17"/>
      <c r="B51" s="11"/>
      <c r="C51" s="11"/>
      <c r="D51" s="11"/>
      <c r="E51" s="11"/>
      <c r="F51" s="11"/>
      <c r="G51" s="11"/>
      <c r="H51" s="11"/>
      <c r="I51" s="11"/>
      <c r="J51" s="11"/>
      <c r="K51" s="11"/>
      <c r="L51" s="11"/>
      <c r="M51" s="11"/>
      <c r="N51" s="11"/>
    </row>
    <row r="52" spans="1:26" ht="12.75" customHeight="1" x14ac:dyDescent="0.25">
      <c r="A52" s="17"/>
      <c r="B52" s="11"/>
      <c r="C52" s="11"/>
      <c r="D52" s="11"/>
      <c r="E52" s="11"/>
      <c r="F52" s="11"/>
      <c r="G52" s="11"/>
      <c r="H52" s="11"/>
      <c r="I52" s="11"/>
      <c r="J52" s="11"/>
      <c r="K52" s="11"/>
      <c r="L52" s="11"/>
      <c r="M52" s="11"/>
      <c r="N52" s="11"/>
    </row>
    <row r="53" spans="1:26" ht="11.25" customHeight="1" x14ac:dyDescent="0.25">
      <c r="A53" s="17"/>
      <c r="B53" s="11"/>
      <c r="C53" s="11"/>
      <c r="D53" s="11"/>
      <c r="E53" s="11"/>
      <c r="F53" s="11"/>
      <c r="G53" s="11"/>
      <c r="H53" s="11"/>
      <c r="I53" s="11"/>
      <c r="J53" s="11"/>
      <c r="K53" s="11"/>
      <c r="L53" s="11"/>
      <c r="M53" s="11"/>
      <c r="N53" s="11"/>
    </row>
    <row r="54" spans="1:26" ht="13.5" customHeight="1" x14ac:dyDescent="0.25">
      <c r="A54" s="17"/>
      <c r="B54" s="11"/>
      <c r="C54" s="11"/>
      <c r="D54" s="11"/>
      <c r="E54" s="11"/>
      <c r="F54" s="11"/>
      <c r="G54" s="11"/>
      <c r="H54" s="11"/>
      <c r="I54" s="11"/>
      <c r="J54" s="11"/>
      <c r="K54" s="11"/>
      <c r="L54" s="11"/>
      <c r="M54" s="11"/>
      <c r="N54" s="11"/>
    </row>
    <row r="55" spans="1:26" ht="10.5" customHeight="1" x14ac:dyDescent="0.25">
      <c r="A55" s="17"/>
      <c r="B55" s="11"/>
      <c r="C55" s="11"/>
      <c r="D55" s="11"/>
      <c r="E55" s="11"/>
      <c r="F55" s="11"/>
      <c r="G55" s="11"/>
      <c r="H55" s="11"/>
      <c r="I55" s="11"/>
      <c r="J55" s="11"/>
      <c r="K55" s="11"/>
      <c r="L55" s="11"/>
      <c r="M55" s="11"/>
      <c r="N55" s="11"/>
    </row>
    <row r="56" spans="1:26" ht="12" customHeight="1" x14ac:dyDescent="0.25">
      <c r="A56" s="17"/>
      <c r="B56" s="11"/>
      <c r="C56" s="11"/>
      <c r="D56" s="11"/>
      <c r="E56" s="11"/>
      <c r="F56" s="11"/>
      <c r="G56" s="11"/>
      <c r="H56" s="11"/>
      <c r="I56" s="11"/>
      <c r="J56" s="11"/>
      <c r="K56" s="11"/>
      <c r="L56" s="11"/>
      <c r="M56" s="11"/>
      <c r="N56" s="11"/>
    </row>
    <row r="57" spans="1:26" ht="13.5" customHeight="1" x14ac:dyDescent="0.25">
      <c r="A57" s="17"/>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1.25" customHeight="1" x14ac:dyDescent="0.25">
      <c r="A58" s="17"/>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60" spans="1:26" x14ac:dyDescent="0.25">
      <c r="A60" s="9"/>
    </row>
  </sheetData>
  <mergeCells count="6">
    <mergeCell ref="I5:I6"/>
    <mergeCell ref="H22:H24"/>
    <mergeCell ref="H3:H11"/>
    <mergeCell ref="G3:G11"/>
    <mergeCell ref="G18:G25"/>
    <mergeCell ref="G12:G17"/>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topLeftCell="I19" zoomScale="80" zoomScaleNormal="80" workbookViewId="0">
      <selection activeCell="J34" sqref="J34"/>
    </sheetView>
  </sheetViews>
  <sheetFormatPr defaultRowHeight="15" x14ac:dyDescent="0.25"/>
  <cols>
    <col min="1" max="1" width="19.85546875" customWidth="1"/>
    <col min="2" max="2" width="23.85546875" customWidth="1"/>
    <col min="3" max="7" width="12.28515625" bestFit="1" customWidth="1"/>
    <col min="8" max="8" width="12.7109375" customWidth="1"/>
    <col min="9" max="10" width="12.42578125" customWidth="1"/>
  </cols>
  <sheetData>
    <row r="1" spans="1:10" ht="5.25" customHeight="1" x14ac:dyDescent="0.25"/>
    <row r="2" spans="1:10" ht="60.75" customHeight="1" x14ac:dyDescent="0.25">
      <c r="C2" s="62" t="s">
        <v>78</v>
      </c>
      <c r="D2" s="62" t="s">
        <v>198</v>
      </c>
      <c r="E2" s="62" t="s">
        <v>79</v>
      </c>
      <c r="F2" s="62" t="s">
        <v>197</v>
      </c>
      <c r="G2" s="62" t="s">
        <v>195</v>
      </c>
      <c r="H2" s="62" t="s">
        <v>80</v>
      </c>
      <c r="I2" s="62" t="s">
        <v>81</v>
      </c>
      <c r="J2" s="105" t="s">
        <v>196</v>
      </c>
    </row>
    <row r="3" spans="1:10" ht="26.25" x14ac:dyDescent="0.25">
      <c r="A3" s="18" t="s">
        <v>13</v>
      </c>
      <c r="B3" s="44" t="s">
        <v>83</v>
      </c>
      <c r="C3" s="60">
        <f>Analýza!AA3</f>
        <v>0.8508902967322769</v>
      </c>
      <c r="D3" s="60">
        <f>Analýza!AB3</f>
        <v>0.8508902967322769</v>
      </c>
      <c r="E3" s="60">
        <f>Analýza!AC3</f>
        <v>0.8508902967322769</v>
      </c>
      <c r="F3" s="60">
        <f>Analýza!AD3</f>
        <v>0.76409948646558445</v>
      </c>
      <c r="G3" s="60">
        <f>Analýza!AE3</f>
        <v>0.8508902967322769</v>
      </c>
      <c r="H3" s="60">
        <f>Analýza!AF3</f>
        <v>0.58754713574282413</v>
      </c>
      <c r="I3" s="60">
        <f>Analýza!AG3</f>
        <v>0.58240076826430298</v>
      </c>
      <c r="J3" s="60">
        <f>'[1]CEA ARR 5 let '!$K$4</f>
        <v>0.75461147685544661</v>
      </c>
    </row>
    <row r="4" spans="1:10" ht="26.25" x14ac:dyDescent="0.25">
      <c r="A4" s="18" t="s">
        <v>16</v>
      </c>
      <c r="B4" s="44" t="s">
        <v>82</v>
      </c>
      <c r="C4" s="60">
        <f>Analýza!AA4</f>
        <v>0.97977218117778997</v>
      </c>
      <c r="D4" s="60">
        <f>Analýza!AB4</f>
        <v>0.97977218117778997</v>
      </c>
      <c r="E4" s="60">
        <f>Analýza!AC4</f>
        <v>0.97977218117778997</v>
      </c>
      <c r="F4" s="60">
        <f>Analýza!AD4</f>
        <v>0.91510721722005595</v>
      </c>
      <c r="G4" s="60">
        <f>Analýza!AE4</f>
        <v>0.97977218117778997</v>
      </c>
      <c r="H4" s="60">
        <f>Analýza!AF4</f>
        <v>0.60737580570807326</v>
      </c>
      <c r="I4" s="60">
        <f>Analýza!AG4</f>
        <v>0.54363718231610469</v>
      </c>
      <c r="J4" s="60">
        <f>'[1]CEA ARR 5 let '!$K$5</f>
        <v>0.86496500543171517</v>
      </c>
    </row>
    <row r="5" spans="1:10" ht="26.25" x14ac:dyDescent="0.25">
      <c r="A5" s="18" t="s">
        <v>16</v>
      </c>
      <c r="B5" s="44" t="s">
        <v>84</v>
      </c>
      <c r="C5" s="60">
        <f>Analýza!AA5</f>
        <v>0.63047772016603343</v>
      </c>
      <c r="D5" s="60">
        <f>Analýza!AB5</f>
        <v>0.63047772016603343</v>
      </c>
      <c r="E5" s="60">
        <f>Analýza!AC5</f>
        <v>0.63047772016603343</v>
      </c>
      <c r="F5" s="60">
        <f>Analýza!AD5</f>
        <v>0.53590606214112835</v>
      </c>
      <c r="G5" s="60">
        <f>Analýza!AE5</f>
        <v>0.63047772016603343</v>
      </c>
      <c r="H5" s="60">
        <f>Analýza!AF5</f>
        <v>0.31488581656268261</v>
      </c>
      <c r="I5" s="60">
        <f>Analýza!AG5</f>
        <v>0.28235520023523775</v>
      </c>
      <c r="J5" s="60">
        <f>'[1]CEA ARR 5 let '!$K$6</f>
        <v>0.49396803521936983</v>
      </c>
    </row>
    <row r="6" spans="1:10" ht="26.25" x14ac:dyDescent="0.25">
      <c r="A6" s="18" t="s">
        <v>16</v>
      </c>
      <c r="B6" s="44" t="s">
        <v>85</v>
      </c>
      <c r="C6" s="60">
        <f>Analýza!AA6</f>
        <v>1.4792613627494362</v>
      </c>
      <c r="D6" s="60">
        <f>Analýza!AB6</f>
        <v>1.4792613627494362</v>
      </c>
      <c r="E6" s="60">
        <f>Analýza!AC6</f>
        <v>1.4792613627494362</v>
      </c>
      <c r="F6" s="60">
        <f>Analýza!AD6</f>
        <v>1.0798607948070886</v>
      </c>
      <c r="G6" s="60">
        <f>Analýza!AE6</f>
        <v>1.4792613627494362</v>
      </c>
      <c r="H6" s="60">
        <f>Analýza!AF6</f>
        <v>0.58868285107052831</v>
      </c>
      <c r="I6" s="60">
        <f>Analýza!AG6</f>
        <v>0.57062313447462287</v>
      </c>
      <c r="J6" s="60">
        <f>'[1]CEA ARR 5 let '!$K$7</f>
        <v>0.70928685854908857</v>
      </c>
    </row>
    <row r="7" spans="1:10" ht="26.25" x14ac:dyDescent="0.25">
      <c r="A7" s="18" t="s">
        <v>22</v>
      </c>
      <c r="B7" s="44" t="s">
        <v>86</v>
      </c>
      <c r="C7" s="60">
        <f>Analýza!AA7</f>
        <v>1.2714555319329057</v>
      </c>
      <c r="D7" s="60">
        <f>Analýza!AB7</f>
        <v>1.2714555319329057</v>
      </c>
      <c r="E7" s="60">
        <f>Analýza!AC7</f>
        <v>1.2714555319329057</v>
      </c>
      <c r="F7" s="60">
        <f>Analýza!AD7</f>
        <v>0.96630620426900837</v>
      </c>
      <c r="G7" s="60">
        <f>Analýza!AE7</f>
        <v>1.2714555319329057</v>
      </c>
      <c r="H7" s="60">
        <f>Analýza!AF7</f>
        <v>0.55830215192045685</v>
      </c>
      <c r="I7" s="60">
        <f>Analýza!AG7</f>
        <v>0.58226006527281349</v>
      </c>
      <c r="J7" s="60">
        <f>'[1]CEA ARR 5 let '!$K$8</f>
        <v>0.77332363860028774</v>
      </c>
    </row>
    <row r="8" spans="1:10" ht="26.25" x14ac:dyDescent="0.25">
      <c r="A8" s="18" t="s">
        <v>24</v>
      </c>
      <c r="B8" s="46" t="s">
        <v>87</v>
      </c>
      <c r="C8" s="60">
        <f>Analýza!AA9</f>
        <v>1.6598055836809116</v>
      </c>
      <c r="D8" s="60">
        <f>Analýza!AB9</f>
        <v>1.6598055836809116</v>
      </c>
      <c r="E8" s="60">
        <f>Analýza!AC9</f>
        <v>1.6598055836809116</v>
      </c>
      <c r="F8" s="60">
        <f>Analýza!AD9</f>
        <v>1.0423579065516124</v>
      </c>
      <c r="G8" s="60">
        <f>Analýza!AE9</f>
        <v>1.6598055836809116</v>
      </c>
      <c r="H8" s="60">
        <f>Analýza!AF9</f>
        <v>0.54446923814178549</v>
      </c>
      <c r="I8" s="60" t="str">
        <f>Analýza!AG9</f>
        <v>-</v>
      </c>
      <c r="J8" s="60">
        <f>'[1]CEA ARR 5 let '!$K$9</f>
        <v>0.71455680887326323</v>
      </c>
    </row>
    <row r="9" spans="1:10" ht="26.25" x14ac:dyDescent="0.25">
      <c r="A9" s="18" t="s">
        <v>27</v>
      </c>
      <c r="B9" s="44" t="s">
        <v>88</v>
      </c>
      <c r="C9" s="60">
        <f>Analýza!AA10</f>
        <v>0.76514732889495385</v>
      </c>
      <c r="D9" s="60">
        <f>Analýza!AB10</f>
        <v>0.76514732889495385</v>
      </c>
      <c r="E9" s="60">
        <f>Analýza!AC10</f>
        <v>0.76514732889495385</v>
      </c>
      <c r="F9" s="60">
        <f>Analýza!AD10</f>
        <v>0.70087495326777771</v>
      </c>
      <c r="G9" s="60">
        <f>Analýza!AE10</f>
        <v>0.76514732889495385</v>
      </c>
      <c r="H9" s="60">
        <f>Analýza!AF10</f>
        <v>0.52863429905621562</v>
      </c>
      <c r="I9" s="60">
        <f>Analýza!AG10</f>
        <v>0.50974792525179291</v>
      </c>
      <c r="J9" s="60">
        <f>'[1]CEA ARR 5 let '!$K$10</f>
        <v>0.68056186390615558</v>
      </c>
    </row>
    <row r="10" spans="1:10" ht="26.25" x14ac:dyDescent="0.25">
      <c r="A10" s="18" t="s">
        <v>27</v>
      </c>
      <c r="B10" s="44" t="s">
        <v>89</v>
      </c>
      <c r="C10" s="60">
        <f>Analýza!AA11</f>
        <v>1.0332158002061378</v>
      </c>
      <c r="D10" s="60">
        <f>Analýza!AB11</f>
        <v>1.0332158002061378</v>
      </c>
      <c r="E10" s="60">
        <f>Analýza!AC11</f>
        <v>1.0332158002061378</v>
      </c>
      <c r="F10" s="60">
        <f>Analýza!AD11</f>
        <v>0.76664612375295438</v>
      </c>
      <c r="G10" s="60">
        <f>Analýza!AE11</f>
        <v>1.0332158002061378</v>
      </c>
      <c r="H10" s="60" t="str">
        <f>Analýza!AF11</f>
        <v>-</v>
      </c>
      <c r="I10" s="60">
        <f>Analýza!AG11</f>
        <v>0.40183941909595267</v>
      </c>
      <c r="J10" s="60">
        <f>'[1]CEA ARR 5 let '!$K$11</f>
        <v>0.49574740388371707</v>
      </c>
    </row>
    <row r="11" spans="1:10" ht="26.25" x14ac:dyDescent="0.25">
      <c r="A11" s="18" t="s">
        <v>184</v>
      </c>
      <c r="B11" s="44" t="s">
        <v>183</v>
      </c>
      <c r="C11" s="60">
        <f>Analýza!AA13</f>
        <v>1.0197681067179731</v>
      </c>
      <c r="D11" s="60">
        <f>Analýza!AB13</f>
        <v>1.0197681067179731</v>
      </c>
      <c r="E11" s="60">
        <f>Analýza!AC13</f>
        <v>1.0197681067179731</v>
      </c>
      <c r="F11" s="60">
        <f>Analýza!AD13</f>
        <v>1.0197681067179731</v>
      </c>
      <c r="G11" s="60">
        <f>Analýza!AE13</f>
        <v>1.0197681067179731</v>
      </c>
      <c r="H11" s="60" t="str">
        <f>Analýza!AF13</f>
        <v>-</v>
      </c>
      <c r="I11" s="60" t="str">
        <f>Analýza!AG13</f>
        <v>-</v>
      </c>
      <c r="J11" s="60">
        <f>'[1]CEA ARR 5 let '!$K$15</f>
        <v>1.0197681067179731</v>
      </c>
    </row>
    <row r="12" spans="1:10" ht="26.25" x14ac:dyDescent="0.25">
      <c r="A12" s="18" t="s">
        <v>127</v>
      </c>
      <c r="B12" s="44" t="s">
        <v>186</v>
      </c>
      <c r="C12" s="60">
        <f>Analýza!AA14</f>
        <v>1.543491265185142</v>
      </c>
      <c r="D12" s="60">
        <f>Analýza!AB14</f>
        <v>1.543491265185142</v>
      </c>
      <c r="E12" s="60">
        <f>Analýza!AC14</f>
        <v>1.543491265185142</v>
      </c>
      <c r="F12" s="60">
        <f>Analýza!AD14</f>
        <v>1.1360095711762646</v>
      </c>
      <c r="G12" s="60">
        <f>Analýza!AE14</f>
        <v>1.543491265185142</v>
      </c>
      <c r="H12" s="60">
        <f>Analýza!AF14</f>
        <v>0.58970021421279062</v>
      </c>
      <c r="I12" s="60" t="str">
        <f>Analýza!AG14</f>
        <v>-</v>
      </c>
      <c r="J12" s="60">
        <f>'[1]CEA ARR 5 let '!$K$18</f>
        <v>0.72526348184791489</v>
      </c>
    </row>
    <row r="13" spans="1:10" ht="26.25" x14ac:dyDescent="0.25">
      <c r="A13" s="18" t="s">
        <v>5</v>
      </c>
      <c r="B13" s="44" t="s">
        <v>185</v>
      </c>
      <c r="C13" s="60">
        <f>Analýza!AA15</f>
        <v>1.0496592139475704</v>
      </c>
      <c r="D13" s="60">
        <f>Analýza!AB15</f>
        <v>1.0496592139475704</v>
      </c>
      <c r="E13" s="60">
        <f>Analýza!AC15</f>
        <v>1.0496592139475704</v>
      </c>
      <c r="F13" s="60">
        <f>Analýza!AD15</f>
        <v>1.1521840674029145</v>
      </c>
      <c r="G13" s="60">
        <f>Analýza!AE15</f>
        <v>1.0496592139475704</v>
      </c>
      <c r="H13" s="60" t="str">
        <f>Analýza!AF15</f>
        <v>-</v>
      </c>
      <c r="I13" s="60" t="str">
        <f>Analýza!AG15</f>
        <v>-</v>
      </c>
      <c r="J13" s="60">
        <f>'[1]CEA ARR 5 let '!$K$16</f>
        <v>0.91784154521927097</v>
      </c>
    </row>
    <row r="14" spans="1:10" ht="26.25" x14ac:dyDescent="0.25">
      <c r="A14" s="18" t="s">
        <v>94</v>
      </c>
      <c r="B14" s="104" t="s">
        <v>188</v>
      </c>
      <c r="C14" s="65">
        <f>Analýza!AA12</f>
        <v>1</v>
      </c>
      <c r="D14" s="65">
        <f>Analýza!AB12</f>
        <v>1</v>
      </c>
      <c r="E14" s="65">
        <f>Analýza!AC12</f>
        <v>1</v>
      </c>
      <c r="F14" s="65">
        <f>Analýza!AD12</f>
        <v>1</v>
      </c>
      <c r="G14" s="65">
        <f>Analýza!AE12</f>
        <v>1</v>
      </c>
      <c r="H14" s="65">
        <f>Analýza!AF12</f>
        <v>1</v>
      </c>
      <c r="I14" s="65">
        <f>Analýza!AG12</f>
        <v>1</v>
      </c>
      <c r="J14" s="65">
        <f>'[1]CEA ARR 5 let '!$K$12</f>
        <v>1</v>
      </c>
    </row>
    <row r="15" spans="1:10" ht="26.25" x14ac:dyDescent="0.25">
      <c r="A15" s="18" t="s">
        <v>43</v>
      </c>
      <c r="B15" s="97" t="s">
        <v>189</v>
      </c>
      <c r="C15" s="60">
        <f>Analýza!AA16</f>
        <v>1.0056202451814362</v>
      </c>
      <c r="D15" s="60">
        <f>Analýza!AB16</f>
        <v>1.0056202451814362</v>
      </c>
      <c r="E15" s="60">
        <f>Analýza!AC16</f>
        <v>1.0056202451814362</v>
      </c>
      <c r="F15" s="60">
        <f>Analýza!AD16</f>
        <v>1.0307607513109722</v>
      </c>
      <c r="G15" s="60">
        <f>Analýza!AE16</f>
        <v>1.0056202451814362</v>
      </c>
      <c r="H15" s="60">
        <f>Analýza!AF16</f>
        <v>0.96228208708838847</v>
      </c>
      <c r="I15" s="60">
        <f>Analýza!AG16</f>
        <v>0.95421999602396745</v>
      </c>
      <c r="J15" s="60">
        <f>'[1]CEA ARR 5 let '!$K$13</f>
        <v>0.86315737711406615</v>
      </c>
    </row>
    <row r="16" spans="1:10" ht="26.25" x14ac:dyDescent="0.25">
      <c r="A16" s="18" t="s">
        <v>147</v>
      </c>
      <c r="B16" s="97" t="s">
        <v>194</v>
      </c>
      <c r="C16" s="60">
        <f>Analýza!AA17</f>
        <v>1.1637907167523565</v>
      </c>
      <c r="D16" s="60">
        <f>Analýza!AB17</f>
        <v>1.1637907167523565</v>
      </c>
      <c r="E16" s="60">
        <f>Analýza!AC17</f>
        <v>1.1637907167523565</v>
      </c>
      <c r="F16" s="60">
        <f>Analýza!AD17</f>
        <v>1.0730150408456727</v>
      </c>
      <c r="G16" s="60">
        <f>Analýza!AE17</f>
        <v>1.1637907167523565</v>
      </c>
      <c r="H16" s="60" t="str">
        <f>Analýza!AF17</f>
        <v>-</v>
      </c>
      <c r="I16" s="60" t="str">
        <f>Analýza!AG17</f>
        <v>-</v>
      </c>
      <c r="J16" s="60">
        <f>'[1]CEA ARR 5 let '!$K$14</f>
        <v>0.81718707411701941</v>
      </c>
    </row>
    <row r="17" spans="1:10" ht="26.25" x14ac:dyDescent="0.25">
      <c r="A17" s="18" t="s">
        <v>132</v>
      </c>
      <c r="B17" s="97" t="s">
        <v>187</v>
      </c>
      <c r="C17" s="60">
        <f>Analýza!AA18</f>
        <v>1.0937729846702406</v>
      </c>
      <c r="D17" s="60">
        <f>Analýza!AB18</f>
        <v>1.0937729846702406</v>
      </c>
      <c r="E17" s="60">
        <f>Analýza!AC18</f>
        <v>1.0937729846702406</v>
      </c>
      <c r="F17" s="60">
        <f>Analýza!AD18</f>
        <v>1.1508394012617313</v>
      </c>
      <c r="G17" s="60">
        <f>Analýza!AE18</f>
        <v>1.0937729846702406</v>
      </c>
      <c r="H17" s="60" t="str">
        <f>Analýza!AF18</f>
        <v>-</v>
      </c>
      <c r="I17" s="60" t="str">
        <f>Analýza!AG18</f>
        <v>-</v>
      </c>
      <c r="J17" s="60">
        <f>'[1]CEA ARR 5 let '!$K$17</f>
        <v>0.85980067664512827</v>
      </c>
    </row>
    <row r="18" spans="1:10" ht="26.25" x14ac:dyDescent="0.25">
      <c r="A18" s="18" t="s">
        <v>133</v>
      </c>
      <c r="B18" s="97" t="s">
        <v>190</v>
      </c>
      <c r="C18" s="60">
        <f>Analýza!AA19</f>
        <v>0.79477805625862863</v>
      </c>
      <c r="D18" s="60">
        <f>Analýza!AB19</f>
        <v>0.79477805625862863</v>
      </c>
      <c r="E18" s="60">
        <f>Analýza!AC19</f>
        <v>0.79477805625862863</v>
      </c>
      <c r="F18" s="60">
        <f>Analýza!AD19</f>
        <v>0.83624473745473094</v>
      </c>
      <c r="G18" s="60">
        <f>Analýza!AE19</f>
        <v>0.79477805625862863</v>
      </c>
      <c r="H18" s="60">
        <f>Analýza!AF19</f>
        <v>0.88878406291287504</v>
      </c>
      <c r="I18" s="60">
        <f>Analýza!AG19</f>
        <v>0.94380633925303903</v>
      </c>
      <c r="J18" s="60">
        <f>'[1]CEA ARR 5 let '!$K$19</f>
        <v>0.6247646633546089</v>
      </c>
    </row>
    <row r="19" spans="1:10" ht="26.25" x14ac:dyDescent="0.25">
      <c r="A19" s="18" t="s">
        <v>48</v>
      </c>
      <c r="B19" s="44" t="s">
        <v>191</v>
      </c>
      <c r="C19" s="60">
        <f>Analýza!AA20</f>
        <v>0.96089707318437112</v>
      </c>
      <c r="D19" s="60">
        <f>Analýza!AB20</f>
        <v>0.96089707318437112</v>
      </c>
      <c r="E19" s="60">
        <f>Analýza!AC20</f>
        <v>0.96089707318437112</v>
      </c>
      <c r="F19" s="60">
        <f>Analýza!AD20</f>
        <v>0.97266315979479201</v>
      </c>
      <c r="G19" s="60">
        <f>Analýza!AE20</f>
        <v>0.96089707318437112</v>
      </c>
      <c r="H19" s="60">
        <f>Analýza!AF20</f>
        <v>0.90012623965149607</v>
      </c>
      <c r="I19" s="60">
        <f>Analýza!AG20</f>
        <v>1.0249721658673256</v>
      </c>
      <c r="J19" s="60">
        <f>'[1]CEA ARR 5 let '!$K$20</f>
        <v>0.75749085090672041</v>
      </c>
    </row>
    <row r="20" spans="1:10" ht="26.25" x14ac:dyDescent="0.25">
      <c r="A20" s="18" t="s">
        <v>51</v>
      </c>
      <c r="B20" s="97" t="s">
        <v>192</v>
      </c>
      <c r="C20" s="60">
        <f>Analýza!AA21</f>
        <v>0.15335945234077411</v>
      </c>
      <c r="D20" s="60">
        <f>Analýza!AB21</f>
        <v>0.30671890468154822</v>
      </c>
      <c r="E20" s="60">
        <f>Analýza!AC21</f>
        <v>0.26189089442097729</v>
      </c>
      <c r="F20" s="60">
        <f>Analýza!AD21</f>
        <v>0.41286329238130526</v>
      </c>
      <c r="G20" s="60">
        <f>Analýza!AE21</f>
        <v>0.65817459478098883</v>
      </c>
      <c r="H20" s="60">
        <f>Analýza!AF21</f>
        <v>0.67914824092067005</v>
      </c>
      <c r="I20" s="60">
        <f>Analýza!AG21</f>
        <v>0.73126792709549893</v>
      </c>
      <c r="J20" s="60">
        <f>'[1]CEA ARR 5 let '!$K$21</f>
        <v>0.56603258072719387</v>
      </c>
    </row>
    <row r="21" spans="1:10" ht="26.25" x14ac:dyDescent="0.25">
      <c r="A21" s="18" t="s">
        <v>9</v>
      </c>
      <c r="B21" s="97" t="s">
        <v>193</v>
      </c>
      <c r="C21" s="60">
        <f>Analýza!AA25</f>
        <v>1.0409241623976313</v>
      </c>
      <c r="D21" s="60">
        <f>Analýza!AB25</f>
        <v>1.0409241623976313</v>
      </c>
      <c r="E21" s="60">
        <f>Analýza!AC25</f>
        <v>1.0409241623976313</v>
      </c>
      <c r="F21" s="60">
        <f>Analýza!AD25</f>
        <v>0.88478553803798665</v>
      </c>
      <c r="G21" s="60">
        <f>Analýza!AE25</f>
        <v>1.0409241623976313</v>
      </c>
      <c r="H21" s="60">
        <f>Analýza!AF25</f>
        <v>0.95272671296731393</v>
      </c>
      <c r="I21" s="60">
        <f>Analýza!AG25</f>
        <v>1.0546444473108709</v>
      </c>
      <c r="J21" s="60">
        <f>'[1]CEA ARR 5 let '!$K$25</f>
        <v>0.67381251583775248</v>
      </c>
    </row>
    <row r="22" spans="1:10" ht="31.5" x14ac:dyDescent="0.25">
      <c r="A22" s="18" t="s">
        <v>53</v>
      </c>
      <c r="B22" s="44" t="s">
        <v>199</v>
      </c>
      <c r="C22" s="60">
        <f>Analýza!AA22</f>
        <v>0.51622771988422844</v>
      </c>
      <c r="D22" s="60">
        <f>Analýza!AB22</f>
        <v>1.2905692997105711</v>
      </c>
      <c r="E22" s="60">
        <f>Analýza!AC22</f>
        <v>1.1222341736613661</v>
      </c>
      <c r="F22" s="60">
        <f>Analýza!AD22</f>
        <v>0.99429947786397044</v>
      </c>
      <c r="G22" s="60">
        <f>Analýza!AE22</f>
        <v>2.8055854341534152</v>
      </c>
      <c r="H22" s="60">
        <f>Analýza!AF22</f>
        <v>0.81164825094011894</v>
      </c>
      <c r="I22" s="60">
        <f>Analýza!AG22</f>
        <v>0.89702499542891134</v>
      </c>
      <c r="J22" s="60">
        <f>'[1]CEA ARR 5 let '!$K$22</f>
        <v>0.79047481830689847</v>
      </c>
    </row>
    <row r="23" spans="1:10" ht="31.5" x14ac:dyDescent="0.25">
      <c r="A23" s="18" t="s">
        <v>53</v>
      </c>
      <c r="B23" s="44" t="s">
        <v>200</v>
      </c>
      <c r="C23" s="60">
        <f>Analýza!AA23</f>
        <v>0.25811385994211422</v>
      </c>
      <c r="D23" s="60">
        <f>Analýza!AB23</f>
        <v>0.64528464985528555</v>
      </c>
      <c r="E23" s="60">
        <f>Analýza!AC23</f>
        <v>0.56111708683068307</v>
      </c>
      <c r="F23" s="60">
        <f>Analýza!AD23</f>
        <v>0.49714973893198522</v>
      </c>
      <c r="G23" s="60">
        <f>Analýza!AE23</f>
        <v>1.4027927170767076</v>
      </c>
      <c r="H23" s="60">
        <f>Analýza!AF23</f>
        <v>0.40582412547005947</v>
      </c>
      <c r="I23" s="60">
        <f>Analýza!AG23</f>
        <v>0.44851249771445567</v>
      </c>
      <c r="J23" s="60">
        <f>'[1]CEA ARR 5 let '!$K$23</f>
        <v>0.39523740915344924</v>
      </c>
    </row>
    <row r="24" spans="1:10" ht="31.5" x14ac:dyDescent="0.25">
      <c r="A24" s="18" t="s">
        <v>53</v>
      </c>
      <c r="B24" s="44" t="s">
        <v>201</v>
      </c>
      <c r="C24" s="60">
        <f>Analýza!AA24</f>
        <v>0.71903146698160381</v>
      </c>
      <c r="D24" s="60">
        <f>Analýza!AB24</f>
        <v>1.7975786674540095</v>
      </c>
      <c r="E24" s="60">
        <f>Analýza!AC24</f>
        <v>1.5631118847426171</v>
      </c>
      <c r="F24" s="60">
        <f>Analýza!AD24</f>
        <v>1.3849171298819589</v>
      </c>
      <c r="G24" s="60">
        <f>Analýza!AE24</f>
        <v>3.9077797118565423</v>
      </c>
      <c r="H24" s="60">
        <f>Analýza!AF24</f>
        <v>1.1305100638094514</v>
      </c>
      <c r="I24" s="60">
        <f>Analýza!AG24</f>
        <v>1.249427672204555</v>
      </c>
      <c r="J24" s="60">
        <f>'[1]CEA ARR 5 let '!$K$24</f>
        <v>1.1010184969274657</v>
      </c>
    </row>
  </sheetData>
  <pageMargins left="0.7" right="0.7" top="0.78740157499999996" bottom="0.78740157499999996"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4"/>
  <sheetViews>
    <sheetView topLeftCell="A5" workbookViewId="0">
      <selection activeCell="N4" sqref="N4"/>
    </sheetView>
  </sheetViews>
  <sheetFormatPr defaultRowHeight="15" x14ac:dyDescent="0.25"/>
  <sheetData>
    <row r="24" spans="2:2" ht="12.75" customHeight="1" x14ac:dyDescent="0.25">
      <c r="B24" t="s">
        <v>90</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6:A27"/>
  <sheetViews>
    <sheetView topLeftCell="A8" zoomScaleNormal="100" workbookViewId="0">
      <selection activeCell="E28" sqref="E28"/>
    </sheetView>
  </sheetViews>
  <sheetFormatPr defaultRowHeight="15" x14ac:dyDescent="0.25"/>
  <sheetData>
    <row r="26" spans="1:1" ht="2.25" customHeight="1" x14ac:dyDescent="0.25"/>
    <row r="27" spans="1:1" ht="12.75" customHeight="1" x14ac:dyDescent="0.25">
      <c r="A27" s="72" t="s">
        <v>91</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9:A60"/>
  <sheetViews>
    <sheetView workbookViewId="0">
      <selection activeCell="A60" sqref="A60"/>
    </sheetView>
  </sheetViews>
  <sheetFormatPr defaultRowHeight="15" x14ac:dyDescent="0.25"/>
  <sheetData>
    <row r="19" ht="12.75" customHeight="1" x14ac:dyDescent="0.25"/>
    <row r="20" hidden="1" x14ac:dyDescent="0.25"/>
    <row r="59" spans="1:1" ht="6.75" customHeight="1" x14ac:dyDescent="0.25"/>
    <row r="60" spans="1:1" x14ac:dyDescent="0.25">
      <c r="A60" s="73" t="s">
        <v>109</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8:S65"/>
  <sheetViews>
    <sheetView workbookViewId="0">
      <selection activeCell="F48" sqref="F48"/>
    </sheetView>
  </sheetViews>
  <sheetFormatPr defaultRowHeight="15" x14ac:dyDescent="0.25"/>
  <sheetData>
    <row r="38" spans="2:2" ht="9.75" customHeight="1" x14ac:dyDescent="0.25"/>
    <row r="39" spans="2:2" ht="13.5" customHeight="1" x14ac:dyDescent="0.25">
      <c r="B39" s="75" t="s">
        <v>92</v>
      </c>
    </row>
    <row r="65" spans="18:19" x14ac:dyDescent="0.25">
      <c r="R65" s="74" t="s">
        <v>93</v>
      </c>
      <c r="S65" s="5"/>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Analýza</vt:lpstr>
      <vt:lpstr>Sloupcový graf scénářů</vt:lpstr>
      <vt:lpstr>Nová klasifikace DMD</vt:lpstr>
      <vt:lpstr>Přehled DMD přípravků</vt:lpstr>
      <vt:lpstr>DMD - doporučení ČR 2020</vt:lpstr>
      <vt:lpstr>Volby DMD dle UpToDate</vt:lpstr>
    </vt:vector>
  </TitlesOfParts>
  <Company>FNOL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cp:lastPrinted>2022-01-17T09:45:16Z</cp:lastPrinted>
  <dcterms:created xsi:type="dcterms:W3CDTF">2020-06-23T07:31:22Z</dcterms:created>
  <dcterms:modified xsi:type="dcterms:W3CDTF">2022-11-01T07:16:10Z</dcterms:modified>
</cp:coreProperties>
</file>