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0730" windowHeight="9795"/>
  </bookViews>
  <sheets>
    <sheet name="List1" sheetId="1" r:id="rId1"/>
    <sheet name="List2" sheetId="2" r:id="rId2"/>
    <sheet name="List3" sheetId="3" r:id="rId3"/>
  </sheets>
  <definedNames>
    <definedName name="_xlnm._FilterDatabase" localSheetId="0" hidden="1">List1!$A$2:$AG$2</definedName>
  </definedNames>
  <calcPr calcId="125725"/>
</workbook>
</file>

<file path=xl/calcChain.xml><?xml version="1.0" encoding="utf-8"?>
<calcChain xmlns="http://schemas.openxmlformats.org/spreadsheetml/2006/main">
  <c r="AC56" i="1"/>
  <c r="AC55"/>
  <c r="AC54"/>
  <c r="AC53"/>
  <c r="AC52"/>
  <c r="AC51"/>
  <c r="AC50"/>
  <c r="AC49"/>
  <c r="AC45"/>
  <c r="AC43"/>
  <c r="AC41"/>
  <c r="AC39"/>
  <c r="AC38"/>
  <c r="AC37"/>
  <c r="AC36"/>
  <c r="AC35"/>
  <c r="AC34"/>
  <c r="AC33"/>
  <c r="AC32"/>
  <c r="AC31"/>
  <c r="AC30"/>
  <c r="AC29"/>
  <c r="AC28"/>
  <c r="AC27"/>
  <c r="AC26"/>
  <c r="AC25"/>
  <c r="AC24"/>
  <c r="AC23"/>
  <c r="AC22"/>
  <c r="AB21"/>
  <c r="AC21"/>
  <c r="AC20"/>
  <c r="AC19"/>
  <c r="AC18"/>
  <c r="AC16"/>
  <c r="AC14"/>
  <c r="AB56"/>
  <c r="AB55"/>
  <c r="AB54"/>
  <c r="AB53"/>
  <c r="AB52"/>
  <c r="AB51"/>
  <c r="AB50"/>
  <c r="AB49"/>
  <c r="AB47"/>
  <c r="AB46"/>
  <c r="AB45"/>
  <c r="AB43"/>
  <c r="AB41"/>
  <c r="AB39"/>
  <c r="AB38"/>
  <c r="AB37"/>
  <c r="AB36"/>
  <c r="AB35"/>
  <c r="AB34"/>
  <c r="AB33"/>
  <c r="AB32"/>
  <c r="AB31"/>
  <c r="AB30"/>
  <c r="AB29"/>
  <c r="AB28"/>
  <c r="AB27"/>
  <c r="AB26"/>
  <c r="AB25"/>
  <c r="AB24"/>
  <c r="AB23"/>
  <c r="AB22"/>
  <c r="AB20"/>
  <c r="AB19"/>
  <c r="AB18"/>
  <c r="Y16"/>
  <c r="AB16"/>
  <c r="AB14"/>
  <c r="Y56"/>
  <c r="Y55"/>
  <c r="Y54"/>
  <c r="Y53"/>
  <c r="Y52"/>
  <c r="Y51"/>
  <c r="Y50"/>
  <c r="Y49"/>
  <c r="Y48"/>
  <c r="Y47"/>
  <c r="Y46"/>
  <c r="Y45"/>
  <c r="Y44"/>
  <c r="Y43"/>
  <c r="Y42"/>
  <c r="Y41"/>
  <c r="Y40"/>
  <c r="Y39"/>
  <c r="Y38"/>
  <c r="Y37"/>
  <c r="Y36"/>
  <c r="Y35"/>
  <c r="Y34"/>
  <c r="Y33"/>
  <c r="Y32"/>
  <c r="Y31"/>
  <c r="Y30"/>
  <c r="Y29"/>
  <c r="Y28"/>
  <c r="Y27"/>
  <c r="Y26"/>
  <c r="Y25"/>
  <c r="Y24"/>
  <c r="Y23"/>
  <c r="Y22"/>
  <c r="Y21"/>
  <c r="Y20"/>
  <c r="Y19"/>
  <c r="Y18"/>
  <c r="Y14"/>
  <c r="AA56"/>
  <c r="AA55"/>
  <c r="AA54"/>
  <c r="AA53"/>
  <c r="AA52"/>
  <c r="AA51"/>
  <c r="AA50"/>
  <c r="AA49"/>
  <c r="AA47"/>
  <c r="AA46"/>
  <c r="AA45"/>
  <c r="AA43"/>
  <c r="AA41"/>
  <c r="AA39"/>
  <c r="AA38"/>
  <c r="AA37"/>
  <c r="AA35"/>
  <c r="AA33"/>
  <c r="AA32"/>
  <c r="AA31"/>
  <c r="AA30"/>
  <c r="AA29"/>
  <c r="AA28"/>
  <c r="AA27"/>
  <c r="AA26"/>
  <c r="AA25"/>
  <c r="AA24"/>
  <c r="AA21"/>
  <c r="AA20"/>
  <c r="AA19"/>
  <c r="AA18"/>
  <c r="AA17"/>
  <c r="X56"/>
  <c r="X55"/>
  <c r="X54"/>
  <c r="X53"/>
  <c r="X52"/>
  <c r="X51"/>
  <c r="X50"/>
  <c r="X49"/>
  <c r="X48"/>
  <c r="X47"/>
  <c r="X46"/>
  <c r="X45"/>
  <c r="X44"/>
  <c r="X43"/>
  <c r="X42"/>
  <c r="X41"/>
  <c r="X40"/>
  <c r="X39"/>
  <c r="X38"/>
  <c r="X37"/>
  <c r="X35"/>
  <c r="X33"/>
  <c r="X32"/>
  <c r="X31"/>
  <c r="X30"/>
  <c r="X29"/>
  <c r="X28"/>
  <c r="X27"/>
  <c r="X26"/>
  <c r="X25"/>
  <c r="X24"/>
  <c r="X21"/>
  <c r="X20"/>
  <c r="X19"/>
  <c r="X18"/>
  <c r="X17"/>
  <c r="Z56"/>
  <c r="Z55"/>
  <c r="Z54"/>
  <c r="Z53"/>
  <c r="Z52"/>
  <c r="Z51"/>
  <c r="Z50"/>
  <c r="Z49"/>
  <c r="Z47"/>
  <c r="Z46"/>
  <c r="Z45"/>
  <c r="Z43"/>
  <c r="Z41"/>
  <c r="Z39"/>
  <c r="Z38"/>
  <c r="Z37"/>
  <c r="Z35"/>
  <c r="Z33"/>
  <c r="Z32"/>
  <c r="Z31"/>
  <c r="Z30"/>
  <c r="Z29"/>
  <c r="Z28"/>
  <c r="Z27"/>
  <c r="Z26"/>
  <c r="Z25"/>
  <c r="Z24"/>
  <c r="Z21"/>
  <c r="Z20"/>
  <c r="Z19"/>
  <c r="Z18"/>
  <c r="Z17"/>
  <c r="W56"/>
  <c r="W55"/>
  <c r="W54"/>
  <c r="W53"/>
  <c r="W52"/>
  <c r="W51"/>
  <c r="W50"/>
  <c r="W49"/>
  <c r="W48"/>
  <c r="W47"/>
  <c r="W46"/>
  <c r="W45"/>
  <c r="W44"/>
  <c r="W43"/>
  <c r="W42"/>
  <c r="W41"/>
  <c r="W40"/>
  <c r="W39"/>
  <c r="W38"/>
  <c r="W37"/>
  <c r="W35"/>
  <c r="W33"/>
  <c r="W32"/>
  <c r="W31"/>
  <c r="W30"/>
  <c r="W29"/>
  <c r="W28"/>
  <c r="W27"/>
  <c r="W26"/>
  <c r="W25"/>
  <c r="W24"/>
  <c r="W21"/>
  <c r="W20"/>
  <c r="W19"/>
  <c r="W18"/>
  <c r="W17"/>
  <c r="AH37"/>
  <c r="AH55" l="1"/>
  <c r="AH54"/>
  <c r="AH53"/>
  <c r="AH39"/>
  <c r="AH38"/>
  <c r="AH36"/>
  <c r="AH35"/>
  <c r="AH34"/>
  <c r="AH33"/>
  <c r="AH32"/>
  <c r="AH31"/>
  <c r="AH30"/>
  <c r="AH29"/>
  <c r="S32" s="1"/>
  <c r="AH28"/>
  <c r="AH27"/>
  <c r="AH26"/>
  <c r="AH25"/>
  <c r="AH24"/>
  <c r="AH23"/>
  <c r="AH22"/>
  <c r="AH21"/>
  <c r="AH20"/>
  <c r="AH19"/>
  <c r="AH18"/>
  <c r="AH17"/>
  <c r="AH16"/>
  <c r="AH15"/>
  <c r="AH14"/>
  <c r="AH13"/>
  <c r="AH12"/>
  <c r="AH11"/>
  <c r="AH10"/>
  <c r="AH9"/>
  <c r="AH8"/>
  <c r="AH7"/>
  <c r="AH52"/>
  <c r="AH51"/>
  <c r="AH56"/>
  <c r="AH50"/>
  <c r="AH49"/>
  <c r="AH48"/>
  <c r="AH47"/>
  <c r="AH46"/>
  <c r="AH45"/>
  <c r="AH44"/>
  <c r="AH43"/>
  <c r="AH42"/>
  <c r="AH41"/>
  <c r="AH40"/>
  <c r="AH6"/>
  <c r="AH5"/>
  <c r="AH4"/>
  <c r="AH3"/>
  <c r="S17" s="1"/>
  <c r="S33" l="1"/>
  <c r="S54"/>
  <c r="S10"/>
  <c r="T10" s="1"/>
  <c r="S5"/>
  <c r="U5" s="1"/>
  <c r="S9"/>
  <c r="V9" s="1"/>
  <c r="S49"/>
  <c r="U49" s="1"/>
  <c r="S53"/>
  <c r="T53" s="1"/>
  <c r="S56"/>
  <c r="U56" s="1"/>
  <c r="S20"/>
  <c r="V20" s="1"/>
  <c r="S14"/>
  <c r="V14" s="1"/>
  <c r="S36"/>
  <c r="T36" s="1"/>
  <c r="S51"/>
  <c r="V51" s="1"/>
  <c r="S22"/>
  <c r="U22" s="1"/>
  <c r="S31"/>
  <c r="V31" s="1"/>
  <c r="S38"/>
  <c r="V38" s="1"/>
  <c r="S28"/>
  <c r="U28" s="1"/>
  <c r="S34"/>
  <c r="T34" s="1"/>
  <c r="S50"/>
  <c r="U50" s="1"/>
  <c r="S19"/>
  <c r="V19" s="1"/>
  <c r="S30"/>
  <c r="U30" s="1"/>
  <c r="S25"/>
  <c r="V25" s="1"/>
  <c r="S24"/>
  <c r="T24" s="1"/>
  <c r="S4"/>
  <c r="V4" s="1"/>
  <c r="V17"/>
  <c r="U17"/>
  <c r="T17"/>
  <c r="U10"/>
  <c r="T14"/>
  <c r="U33"/>
  <c r="T33"/>
  <c r="V33"/>
  <c r="S47"/>
  <c r="S12"/>
  <c r="S39"/>
  <c r="S29"/>
  <c r="S45"/>
  <c r="S55"/>
  <c r="S21"/>
  <c r="S15"/>
  <c r="S23"/>
  <c r="S6"/>
  <c r="S13"/>
  <c r="T9"/>
  <c r="T54"/>
  <c r="U54"/>
  <c r="V54"/>
  <c r="T32"/>
  <c r="U32"/>
  <c r="V32"/>
  <c r="S40"/>
  <c r="S37"/>
  <c r="S42"/>
  <c r="S44"/>
  <c r="S8"/>
  <c r="S46"/>
  <c r="S26"/>
  <c r="S48"/>
  <c r="S3"/>
  <c r="S16"/>
  <c r="S41"/>
  <c r="S27"/>
  <c r="S43"/>
  <c r="S18"/>
  <c r="S7"/>
  <c r="S11"/>
  <c r="S52"/>
  <c r="AB9" l="1"/>
  <c r="AC9"/>
  <c r="Y9"/>
  <c r="V5"/>
  <c r="T5"/>
  <c r="AC4"/>
  <c r="AB4"/>
  <c r="Y4"/>
  <c r="V10"/>
  <c r="U25"/>
  <c r="U9"/>
  <c r="T20"/>
  <c r="U34"/>
  <c r="T31"/>
  <c r="V50"/>
  <c r="T22"/>
  <c r="V49"/>
  <c r="U14"/>
  <c r="T49"/>
  <c r="V24"/>
  <c r="V22"/>
  <c r="V56"/>
  <c r="U31"/>
  <c r="Z36"/>
  <c r="W36"/>
  <c r="W5"/>
  <c r="W10"/>
  <c r="Z9"/>
  <c r="W9"/>
  <c r="U36"/>
  <c r="U20"/>
  <c r="U53"/>
  <c r="W22"/>
  <c r="Z22"/>
  <c r="U38"/>
  <c r="V53"/>
  <c r="V36"/>
  <c r="T19"/>
  <c r="T38"/>
  <c r="T56"/>
  <c r="T4"/>
  <c r="T51"/>
  <c r="T25"/>
  <c r="U51"/>
  <c r="V28"/>
  <c r="T30"/>
  <c r="V30"/>
  <c r="V34"/>
  <c r="T28"/>
  <c r="U4"/>
  <c r="U24"/>
  <c r="X5" s="1"/>
  <c r="U19"/>
  <c r="T50"/>
  <c r="T52"/>
  <c r="U52"/>
  <c r="V52"/>
  <c r="U7"/>
  <c r="V7"/>
  <c r="T7"/>
  <c r="T41"/>
  <c r="U41"/>
  <c r="V41"/>
  <c r="V26"/>
  <c r="T26"/>
  <c r="U26"/>
  <c r="T42"/>
  <c r="U42"/>
  <c r="V42"/>
  <c r="T6"/>
  <c r="V6"/>
  <c r="U6"/>
  <c r="U55"/>
  <c r="T55"/>
  <c r="V55"/>
  <c r="U12"/>
  <c r="V12"/>
  <c r="T12"/>
  <c r="T11"/>
  <c r="U11"/>
  <c r="V11"/>
  <c r="T27"/>
  <c r="U27"/>
  <c r="V27"/>
  <c r="T48"/>
  <c r="U48"/>
  <c r="V48"/>
  <c r="V44"/>
  <c r="T44"/>
  <c r="U44"/>
  <c r="V13"/>
  <c r="T13"/>
  <c r="U13"/>
  <c r="T21"/>
  <c r="U21"/>
  <c r="V21"/>
  <c r="V39"/>
  <c r="T39"/>
  <c r="U39"/>
  <c r="T43"/>
  <c r="U43"/>
  <c r="V43"/>
  <c r="T3"/>
  <c r="U3"/>
  <c r="V3"/>
  <c r="V8"/>
  <c r="T8"/>
  <c r="U8"/>
  <c r="T40"/>
  <c r="U40"/>
  <c r="V40"/>
  <c r="T15"/>
  <c r="U15"/>
  <c r="X22" s="1"/>
  <c r="V15"/>
  <c r="V29"/>
  <c r="T29"/>
  <c r="U29"/>
  <c r="V18"/>
  <c r="U18"/>
  <c r="T18"/>
  <c r="T16"/>
  <c r="U16"/>
  <c r="V16"/>
  <c r="V46"/>
  <c r="T46"/>
  <c r="U46"/>
  <c r="U37"/>
  <c r="T37"/>
  <c r="V37"/>
  <c r="V23"/>
  <c r="T23"/>
  <c r="U23"/>
  <c r="U45"/>
  <c r="V45"/>
  <c r="T45"/>
  <c r="V47"/>
  <c r="T47"/>
  <c r="U47"/>
  <c r="AC3" l="1"/>
  <c r="Y3"/>
  <c r="AB3"/>
  <c r="AC12"/>
  <c r="Y12"/>
  <c r="AB12"/>
  <c r="AC8"/>
  <c r="Y8"/>
  <c r="AB8"/>
  <c r="AB10"/>
  <c r="AC10"/>
  <c r="Y10"/>
  <c r="AB13"/>
  <c r="AC13"/>
  <c r="Y13"/>
  <c r="Y6"/>
  <c r="AC6"/>
  <c r="AB6"/>
  <c r="AC7"/>
  <c r="AB7"/>
  <c r="Y7"/>
  <c r="AC11"/>
  <c r="Y11"/>
  <c r="AB11"/>
  <c r="AC5"/>
  <c r="AB5"/>
  <c r="Y5"/>
  <c r="Z34"/>
  <c r="AA22"/>
  <c r="W34"/>
  <c r="AA34"/>
  <c r="X10"/>
  <c r="AA9"/>
  <c r="X34"/>
  <c r="X9"/>
  <c r="X3"/>
  <c r="AA3"/>
  <c r="X11"/>
  <c r="AA11"/>
  <c r="X12"/>
  <c r="AA12"/>
  <c r="AA16"/>
  <c r="X13"/>
  <c r="AA13"/>
  <c r="X36"/>
  <c r="AA36"/>
  <c r="X7"/>
  <c r="AA7"/>
  <c r="AA5"/>
  <c r="AA10"/>
  <c r="X23"/>
  <c r="X8"/>
  <c r="AA8"/>
  <c r="X4"/>
  <c r="AA4"/>
  <c r="X6"/>
  <c r="AA6"/>
  <c r="W23"/>
  <c r="W8"/>
  <c r="Z8"/>
  <c r="Z3"/>
  <c r="W3"/>
  <c r="Z12"/>
  <c r="W12"/>
  <c r="W6"/>
  <c r="Z6"/>
  <c r="Z4"/>
  <c r="W4"/>
  <c r="Z5"/>
  <c r="Z10"/>
  <c r="Z11"/>
  <c r="W11"/>
  <c r="W13"/>
  <c r="Z13"/>
  <c r="Z7"/>
  <c r="W7"/>
  <c r="S35" l="1"/>
  <c r="T35" s="1"/>
  <c r="Z23" l="1"/>
  <c r="V35"/>
  <c r="U35"/>
  <c r="X16" l="1"/>
  <c r="AA23"/>
</calcChain>
</file>

<file path=xl/sharedStrings.xml><?xml version="1.0" encoding="utf-8"?>
<sst xmlns="http://schemas.openxmlformats.org/spreadsheetml/2006/main" count="827" uniqueCount="244">
  <si>
    <t>účinná látka</t>
  </si>
  <si>
    <t>obratový bonus</t>
  </si>
  <si>
    <t>nevýhody přípravku</t>
  </si>
  <si>
    <t>nejlevnější</t>
  </si>
  <si>
    <t>léková forma</t>
  </si>
  <si>
    <t>výrobce</t>
  </si>
  <si>
    <t>Sandoz</t>
  </si>
  <si>
    <t>výhody přípravku</t>
  </si>
  <si>
    <r>
      <rPr>
        <vertAlign val="superscript"/>
        <sz val="9"/>
        <color theme="1"/>
        <rFont val="Calibri"/>
        <family val="2"/>
        <charset val="238"/>
        <scheme val="minor"/>
      </rPr>
      <t>1</t>
    </r>
    <r>
      <rPr>
        <sz val="9"/>
        <color theme="1"/>
        <rFont val="Calibri"/>
        <family val="2"/>
        <charset val="238"/>
        <scheme val="minor"/>
      </rPr>
      <t xml:space="preserve"> AISLP - 2020.3, stav k 1.7.2020</t>
    </r>
  </si>
  <si>
    <r>
      <t>dávkování dle SPC (dospělí)</t>
    </r>
    <r>
      <rPr>
        <vertAlign val="superscript"/>
        <sz val="9"/>
        <rFont val="Arial"/>
        <family val="2"/>
        <charset val="238"/>
      </rPr>
      <t>1</t>
    </r>
  </si>
  <si>
    <t>ATC skupina</t>
  </si>
  <si>
    <t>Tabulka 1: Nepříznivé prognostické faktory u pacienta s RA (citováno dle: Fabiánová J. Farmakoterapie 2020;16(3): 393-397)</t>
  </si>
  <si>
    <t>tocilizumab</t>
  </si>
  <si>
    <r>
      <t>druh DMARD</t>
    </r>
    <r>
      <rPr>
        <vertAlign val="superscript"/>
        <sz val="8"/>
        <rFont val="Arial"/>
        <family val="2"/>
        <charset val="238"/>
      </rPr>
      <t>3</t>
    </r>
  </si>
  <si>
    <r>
      <t>název přípravku</t>
    </r>
    <r>
      <rPr>
        <b/>
        <vertAlign val="superscript"/>
        <sz val="10"/>
        <rFont val="Arial"/>
        <family val="2"/>
        <charset val="238"/>
      </rPr>
      <t>2,3</t>
    </r>
  </si>
  <si>
    <r>
      <rPr>
        <vertAlign val="superscript"/>
        <sz val="9"/>
        <color theme="1"/>
        <rFont val="Calibri"/>
        <family val="2"/>
        <charset val="238"/>
        <scheme val="minor"/>
      </rPr>
      <t>2</t>
    </r>
    <r>
      <rPr>
        <sz val="9"/>
        <color theme="1"/>
        <rFont val="Calibri"/>
        <family val="2"/>
        <charset val="238"/>
        <scheme val="minor"/>
      </rPr>
      <t xml:space="preserve"> </t>
    </r>
    <r>
      <rPr>
        <b/>
        <sz val="9"/>
        <color theme="1"/>
        <rFont val="Calibri"/>
        <family val="2"/>
        <charset val="238"/>
        <scheme val="minor"/>
      </rPr>
      <t>Pokud není uvedeno jinak je pro účely této analýzy myšlena kombinace přípravku s csDMARD !!</t>
    </r>
  </si>
  <si>
    <r>
      <rPr>
        <vertAlign val="superscript"/>
        <sz val="9"/>
        <color theme="1"/>
        <rFont val="Calibri"/>
        <family val="2"/>
        <charset val="238"/>
        <scheme val="minor"/>
      </rPr>
      <t xml:space="preserve">3 </t>
    </r>
    <r>
      <rPr>
        <sz val="9"/>
        <color theme="1"/>
        <rFont val="Calibri"/>
        <family val="2"/>
        <charset val="238"/>
        <scheme val="minor"/>
      </rPr>
      <t xml:space="preserve">Dle </t>
    </r>
    <r>
      <rPr>
        <u/>
        <sz val="9"/>
        <color theme="1"/>
        <rFont val="Calibri"/>
        <family val="2"/>
        <charset val="238"/>
        <scheme val="minor"/>
      </rPr>
      <t>Doporučení EULAR pro léčbu revmatoidní artritidy pomocí syntetických a biologických chorobu modifikujících léků</t>
    </r>
    <r>
      <rPr>
        <sz val="9"/>
        <color theme="1"/>
        <rFont val="Calibri"/>
        <family val="2"/>
        <charset val="238"/>
        <scheme val="minor"/>
      </rPr>
      <t xml:space="preserve"> (Smolen JS, Landewé RBM, Bijlsma JWJ, et al. </t>
    </r>
    <r>
      <rPr>
        <i/>
        <sz val="9"/>
        <color theme="1"/>
        <rFont val="Calibri"/>
        <family val="2"/>
        <charset val="238"/>
        <scheme val="minor"/>
      </rPr>
      <t>Ann Rheum Dis</t>
    </r>
    <r>
      <rPr>
        <sz val="9"/>
        <color theme="1"/>
        <rFont val="Calibri"/>
        <family val="2"/>
        <charset val="238"/>
        <scheme val="minor"/>
      </rPr>
      <t xml:space="preserve"> 2020;79:685–699, citováno dle: Fabiánová J. </t>
    </r>
    <r>
      <rPr>
        <i/>
        <sz val="9"/>
        <color theme="1"/>
        <rFont val="Calibri"/>
        <family val="2"/>
        <charset val="238"/>
        <scheme val="minor"/>
      </rPr>
      <t>Farmakoterapie</t>
    </r>
    <r>
      <rPr>
        <sz val="9"/>
        <color theme="1"/>
        <rFont val="Calibri"/>
        <family val="2"/>
        <charset val="238"/>
        <scheme val="minor"/>
      </rPr>
      <t xml:space="preserve"> 2020;16(3): 393-397):</t>
    </r>
  </si>
  <si>
    <r>
      <t>cena</t>
    </r>
    <r>
      <rPr>
        <vertAlign val="superscript"/>
        <sz val="8"/>
        <rFont val="Arial"/>
        <family val="2"/>
        <charset val="238"/>
      </rPr>
      <t>4</t>
    </r>
    <r>
      <rPr>
        <sz val="8"/>
        <rFont val="Arial"/>
        <family val="2"/>
        <charset val="238"/>
      </rPr>
      <t xml:space="preserve"> za první 3 měsíce</t>
    </r>
    <r>
      <rPr>
        <vertAlign val="superscript"/>
        <sz val="8"/>
        <rFont val="Arial"/>
        <family val="2"/>
        <charset val="238"/>
      </rPr>
      <t xml:space="preserve">3 </t>
    </r>
    <r>
      <rPr>
        <sz val="8"/>
        <rFont val="Arial"/>
        <family val="2"/>
        <charset val="238"/>
      </rPr>
      <t>se započtením bonusů</t>
    </r>
  </si>
  <si>
    <r>
      <t>cena</t>
    </r>
    <r>
      <rPr>
        <vertAlign val="superscript"/>
        <sz val="8"/>
        <rFont val="Arial"/>
        <family val="2"/>
        <charset val="238"/>
      </rPr>
      <t>4</t>
    </r>
    <r>
      <rPr>
        <sz val="8"/>
        <rFont val="Arial"/>
        <family val="2"/>
        <charset val="238"/>
      </rPr>
      <t xml:space="preserve"> za prvních 6 měsíců</t>
    </r>
    <r>
      <rPr>
        <vertAlign val="superscript"/>
        <sz val="8"/>
        <rFont val="Arial"/>
        <family val="2"/>
        <charset val="238"/>
      </rPr>
      <t xml:space="preserve">3 </t>
    </r>
    <r>
      <rPr>
        <sz val="8"/>
        <rFont val="Arial"/>
        <family val="2"/>
        <charset val="238"/>
      </rPr>
      <t>se započtením bonusů</t>
    </r>
  </si>
  <si>
    <r>
      <t xml:space="preserve">    for Rheumatoid Arthritis April 7, 2017.  </t>
    </r>
    <r>
      <rPr>
        <b/>
        <u/>
        <sz val="9"/>
        <color theme="1"/>
        <rFont val="Calibri"/>
        <family val="2"/>
        <charset val="238"/>
        <scheme val="minor"/>
      </rPr>
      <t>Rozdíly RR (relative risk) mezi jednotlivými látkami s csDMARD nedosahují u žádné statistické významnosti !!!</t>
    </r>
    <r>
      <rPr>
        <sz val="9"/>
        <color theme="1"/>
        <rFont val="Calibri"/>
        <family val="2"/>
        <charset val="238"/>
        <scheme val="minor"/>
      </rPr>
      <t xml:space="preserve">  V této metaanalýze nebyl zahrnut </t>
    </r>
    <r>
      <rPr>
        <b/>
        <u/>
        <sz val="9"/>
        <color theme="1"/>
        <rFont val="Calibri"/>
        <family val="2"/>
        <charset val="238"/>
        <scheme val="minor"/>
      </rPr>
      <t>upadacinitib - jeho RR jsem aproximoval stejně jaku u baricitinibu</t>
    </r>
    <r>
      <rPr>
        <sz val="9"/>
        <color theme="1"/>
        <rFont val="Calibri"/>
        <family val="2"/>
        <charset val="238"/>
        <scheme val="minor"/>
      </rPr>
      <t xml:space="preserve">, protože </t>
    </r>
  </si>
  <si>
    <r>
      <t xml:space="preserve">    Adv Ther (2020) 37:2356–2372) </t>
    </r>
    <r>
      <rPr>
        <b/>
        <sz val="9"/>
        <color theme="1"/>
        <rFont val="Calibri"/>
        <family val="2"/>
        <charset val="238"/>
        <scheme val="minor"/>
      </rPr>
      <t xml:space="preserve">byly baricitinib s upadacitinibem vždy o něco účinnější než tofacitinib (není to ale statisticky významné !!!), ale ve dvou MNA byl upadacitinib o něco účinnější než baricitinib, v jedné MNA to bylo naopak (nikdy ale </t>
    </r>
  </si>
  <si>
    <r>
      <t xml:space="preserve">    </t>
    </r>
    <r>
      <rPr>
        <b/>
        <sz val="9"/>
        <color theme="1"/>
        <rFont val="Calibri"/>
        <family val="2"/>
        <charset val="238"/>
        <scheme val="minor"/>
      </rPr>
      <t>nebylo dosaženo statistické významnosti těchto rozdílů !!!</t>
    </r>
    <r>
      <rPr>
        <sz val="9"/>
        <color theme="1"/>
        <rFont val="Calibri"/>
        <family val="2"/>
        <charset val="238"/>
        <scheme val="minor"/>
      </rPr>
      <t>)</t>
    </r>
  </si>
  <si>
    <t xml:space="preserve">   1.Není-li stanoveného terap.cíle (tj.dosažení nízké aktivity onemocnění nebo remise) dosaženo pomocí prvního csDMARD (1.volbou má být metotrexát, při jeho KI či intoleranci podat leflunomid či sulfasalazin) a jsou-li přítomny nepříznivé prognostické</t>
  </si>
  <si>
    <r>
      <t xml:space="preserve">     faktory (viz níže tabulka 1), </t>
    </r>
    <r>
      <rPr>
        <b/>
        <sz val="9"/>
        <color theme="1"/>
        <rFont val="Calibri"/>
        <family val="2"/>
        <charset val="238"/>
        <scheme val="minor"/>
      </rPr>
      <t>měl by být přidán bDMARD (jedno či boDMARD nebo bsDMARD) či tsDMARD</t>
    </r>
    <r>
      <rPr>
        <sz val="9"/>
        <color theme="1"/>
        <rFont val="Calibri"/>
        <family val="2"/>
        <charset val="238"/>
        <scheme val="minor"/>
      </rPr>
      <t>. (LoE 1a, SoR A)</t>
    </r>
  </si>
  <si>
    <r>
      <t xml:space="preserve">   2. </t>
    </r>
    <r>
      <rPr>
        <b/>
        <sz val="9"/>
        <color theme="1"/>
        <rFont val="Calibri"/>
        <family val="2"/>
        <charset val="238"/>
        <scheme val="minor"/>
      </rPr>
      <t>bDMARD a tsDMARD by měly být kombinovány s csDMARD</t>
    </r>
    <r>
      <rPr>
        <sz val="9"/>
        <color theme="1"/>
        <rFont val="Calibri"/>
        <family val="2"/>
        <charset val="238"/>
      </rPr>
      <t xml:space="preserve">; u pacientů, kteří nemohou užívat csDMARD jako komedikaci, může být výhodnější využití </t>
    </r>
    <r>
      <rPr>
        <b/>
        <sz val="9"/>
        <color theme="1"/>
        <rFont val="Calibri"/>
        <family val="2"/>
        <charset val="238"/>
      </rPr>
      <t xml:space="preserve">IL-6i  a JAKi (jako monoterapie) </t>
    </r>
    <r>
      <rPr>
        <sz val="9"/>
        <color theme="1"/>
        <rFont val="Calibri"/>
        <family val="2"/>
        <charset val="238"/>
      </rPr>
      <t>v porovnání s jinými DMARD. (LoE 1a, SoR A)</t>
    </r>
  </si>
  <si>
    <t xml:space="preserve">      remise), terapie by měla být upravena. (LoE 2b,SoR B)</t>
  </si>
  <si>
    <r>
      <t xml:space="preserve">   3. U aktivního onemocnění je zapotřebí častých kontrol (každé 1-3 měsíce)</t>
    </r>
    <r>
      <rPr>
        <sz val="9"/>
        <color theme="1"/>
        <rFont val="Calibri"/>
        <family val="2"/>
        <charset val="238"/>
      </rPr>
      <t xml:space="preserve">; není-li </t>
    </r>
    <r>
      <rPr>
        <b/>
        <sz val="9"/>
        <color theme="1"/>
        <rFont val="Calibri"/>
        <family val="2"/>
        <charset val="238"/>
      </rPr>
      <t xml:space="preserve">po 3 měsících </t>
    </r>
    <r>
      <rPr>
        <sz val="9"/>
        <color theme="1"/>
        <rFont val="Calibri"/>
        <family val="2"/>
        <charset val="238"/>
      </rPr>
      <t xml:space="preserve">od zahájení terapie pozorováno zlepšení (alespoň o 50%) nebo není-li </t>
    </r>
    <r>
      <rPr>
        <b/>
        <sz val="9"/>
        <color theme="1"/>
        <rFont val="Calibri"/>
        <family val="2"/>
        <charset val="238"/>
      </rPr>
      <t xml:space="preserve">po 6 měsících </t>
    </r>
    <r>
      <rPr>
        <sz val="9"/>
        <color theme="1"/>
        <rFont val="Calibri"/>
        <family val="2"/>
        <charset val="238"/>
      </rPr>
      <t xml:space="preserve">dosaženo stanoveného léčebného cíle (tj.dosažení nízké aktivity onemocnění nebo </t>
    </r>
  </si>
  <si>
    <r>
      <t xml:space="preserve">   4. Selže-li jeden bDMARD či tsDMARD, měla by být zvážena léčba jiným bDMARD* či tsDMARD**</t>
    </r>
    <r>
      <rPr>
        <sz val="9"/>
        <color theme="1"/>
        <rFont val="Calibri"/>
        <family val="2"/>
        <charset val="238"/>
      </rPr>
      <t>; pokud selže terapie jedním iTNFα, pacientovi múže být podán lék s jiným mechanismem účinku nebo další  iTNFα. (LoE 1b*, resp. 5**, soR A*, resp. D**)</t>
    </r>
  </si>
  <si>
    <r>
      <t xml:space="preserve">    dle publikovaných metaanalýz (dále jen "MNA") pro JAKi (Lee YH, Song GG. Z Rheumatol. 2020 Feb 13- doi: 10.1007/s00393-020-00750-1. Online ahead of print</t>
    </r>
    <r>
      <rPr>
        <sz val="9"/>
        <color theme="1"/>
        <rFont val="Calibri"/>
        <family val="2"/>
        <charset val="238"/>
      </rPr>
      <t>;</t>
    </r>
    <r>
      <rPr>
        <sz val="9"/>
        <color theme="1"/>
        <rFont val="Calibri"/>
        <family val="2"/>
        <charset val="238"/>
        <scheme val="minor"/>
      </rPr>
      <t xml:space="preserve"> Kerschbaumer A, Sepriano A, Smolen JS, et al. Ann Rheum Dis 2020;79:744–759; Pope J, Sawant R, et al. </t>
    </r>
  </si>
  <si>
    <t>L04AB02</t>
  </si>
  <si>
    <t>boDMARD</t>
  </si>
  <si>
    <t>iTNFα</t>
  </si>
  <si>
    <t>farmakolog. skupina</t>
  </si>
  <si>
    <r>
      <t>cena</t>
    </r>
    <r>
      <rPr>
        <vertAlign val="superscript"/>
        <sz val="8"/>
        <rFont val="Arial"/>
        <family val="2"/>
        <charset val="238"/>
      </rPr>
      <t>4</t>
    </r>
    <r>
      <rPr>
        <sz val="8"/>
        <rFont val="Arial"/>
        <family val="2"/>
        <charset val="238"/>
      </rPr>
      <t xml:space="preserve"> za 1 rok udržovací léčby</t>
    </r>
    <r>
      <rPr>
        <vertAlign val="superscript"/>
        <sz val="8"/>
        <rFont val="Arial"/>
        <family val="2"/>
        <charset val="238"/>
      </rPr>
      <t xml:space="preserve"> </t>
    </r>
    <r>
      <rPr>
        <sz val="8"/>
        <rFont val="Arial"/>
        <family val="2"/>
        <charset val="238"/>
      </rPr>
      <t>se započtením bonusů</t>
    </r>
  </si>
  <si>
    <r>
      <rPr>
        <u/>
        <sz val="8"/>
        <color theme="1"/>
        <rFont val="Calibri"/>
        <family val="2"/>
        <charset val="238"/>
        <scheme val="minor"/>
      </rPr>
      <t>3 mg/kg podané ve formě i.v. infuze, následně další infuze 3 mg/kg ve 2. a 6. týdnu po první infuzi, a dále pak každý 8. týden</t>
    </r>
    <r>
      <rPr>
        <sz val="8"/>
        <color theme="1"/>
        <rFont val="Calibri"/>
        <family val="2"/>
        <charset val="238"/>
        <scheme val="minor"/>
      </rPr>
      <t>. Dostupná data naznačují, že klinické odpovědi se obvykle dosáhne během 12 týdnů léčby. Pokud odpověď pacienta není dostačující nebo pokud dojde po uplynutí tohoto období ke ztrátě odpovědi, má se zvážit postupné zvýšení dávky o přibližně 1,5 mg/kg každý 8. týden, až do maxima 7,5 mg/kg. Alternativně lze zvážit i podávání 3 mg/kg každý 4. týden. Pokud se dosáhne přiměřené odpovědi, u pacienta se má pokračovat se zvolenou dávkou nebo dávkovacím intervalem.</t>
    </r>
  </si>
  <si>
    <r>
      <t xml:space="preserve">infliximab </t>
    </r>
    <r>
      <rPr>
        <sz val="8"/>
        <color theme="1"/>
        <rFont val="Calibri"/>
        <family val="2"/>
        <charset val="238"/>
        <scheme val="minor"/>
      </rPr>
      <t>(celou dobu v dávce 3 mg/kg, po indukci každý 8. týden)</t>
    </r>
  </si>
  <si>
    <t>i.v. infuze</t>
  </si>
  <si>
    <t>Janssen Biologics</t>
  </si>
  <si>
    <r>
      <t xml:space="preserve">Remicade 100 mg inf plv 1 </t>
    </r>
    <r>
      <rPr>
        <sz val="8"/>
        <color theme="1"/>
        <rFont val="Calibri"/>
        <family val="2"/>
        <charset val="238"/>
        <scheme val="minor"/>
      </rPr>
      <t>(výpočet ceny pro 80 kg člověka)</t>
    </r>
  </si>
  <si>
    <r>
      <t xml:space="preserve">infliximab </t>
    </r>
    <r>
      <rPr>
        <sz val="8"/>
        <color theme="1"/>
        <rFont val="Calibri"/>
        <family val="2"/>
        <charset val="238"/>
        <scheme val="minor"/>
      </rPr>
      <t xml:space="preserve">(celou dobu v dávce 3 mg/kg, </t>
    </r>
    <r>
      <rPr>
        <u/>
        <sz val="8"/>
        <color theme="1"/>
        <rFont val="Calibri"/>
        <family val="2"/>
        <charset val="238"/>
        <scheme val="minor"/>
      </rPr>
      <t>po indukci každý 4. týden</t>
    </r>
    <r>
      <rPr>
        <sz val="8"/>
        <color theme="1"/>
        <rFont val="Calibri"/>
        <family val="2"/>
        <charset val="238"/>
        <scheme val="minor"/>
      </rPr>
      <t>)</t>
    </r>
  </si>
  <si>
    <r>
      <rPr>
        <u/>
        <sz val="8"/>
        <color theme="1"/>
        <rFont val="Calibri"/>
        <family val="2"/>
        <charset val="238"/>
        <scheme val="minor"/>
      </rPr>
      <t>v kombinaci s methotrexátem</t>
    </r>
    <r>
      <rPr>
        <sz val="8"/>
        <color theme="1"/>
        <rFont val="Calibri"/>
        <family val="2"/>
        <charset val="238"/>
        <scheme val="minor"/>
      </rPr>
      <t xml:space="preserve"> je indikován k redukci známek a příznaků jakož i zlepšení fyzické funkce u:   ● dospělých pacientů s aktivní chorobou, jestliže odpověď na antirevmatická léčiva modifikující chorobu (disease-modifying antirheumatic drugs, DMARD), včetně methotrexátu, není postačující,  </t>
    </r>
    <r>
      <rPr>
        <sz val="8"/>
        <color theme="1"/>
        <rFont val="Calibri"/>
        <family val="2"/>
        <charset val="238"/>
      </rPr>
      <t>●</t>
    </r>
    <r>
      <rPr>
        <sz val="8"/>
        <color theme="1"/>
        <rFont val="Calibri"/>
        <family val="2"/>
        <charset val="238"/>
        <scheme val="minor"/>
      </rPr>
      <t xml:space="preserve"> dospělých pacientů s těžkou, aktivní a progresivní chorobou, dříve neléčených methotrexátem nebo ostatními DMARD.</t>
    </r>
  </si>
  <si>
    <r>
      <t xml:space="preserve">Flixabi 100 mg inf plv 1 </t>
    </r>
    <r>
      <rPr>
        <sz val="8"/>
        <color theme="1"/>
        <rFont val="Calibri"/>
        <family val="2"/>
        <charset val="238"/>
        <scheme val="minor"/>
      </rPr>
      <t>(výpočet ceny pro 80 kg člověka)</t>
    </r>
  </si>
  <si>
    <t>bsDMARD</t>
  </si>
  <si>
    <t>Samsung Bioepis</t>
  </si>
  <si>
    <r>
      <t xml:space="preserve">Inflectra 100 mg inf plv 1 </t>
    </r>
    <r>
      <rPr>
        <sz val="8"/>
        <color theme="1"/>
        <rFont val="Calibri"/>
        <family val="2"/>
        <charset val="238"/>
        <scheme val="minor"/>
      </rPr>
      <t>(výpočet ceny pro 80 kg člověka)</t>
    </r>
  </si>
  <si>
    <t>Pfizer</t>
  </si>
  <si>
    <t>Celltrion</t>
  </si>
  <si>
    <r>
      <t xml:space="preserve">Zessly 100 mg inf plv 1 </t>
    </r>
    <r>
      <rPr>
        <sz val="8"/>
        <color theme="1"/>
        <rFont val="Calibri"/>
        <family val="2"/>
        <charset val="238"/>
        <scheme val="minor"/>
      </rPr>
      <t>(výpočet ceny pro 80 kg člověka)</t>
    </r>
  </si>
  <si>
    <t>adalimumab</t>
  </si>
  <si>
    <t>Humira 40 mg inj sol 2x0,4 ml</t>
  </si>
  <si>
    <r>
      <t>Humira 40 mg inj sol 2x0,4 ml  (monoterapie</t>
    </r>
    <r>
      <rPr>
        <vertAlign val="superscript"/>
        <sz val="10"/>
        <color theme="1"/>
        <rFont val="Calibri"/>
        <family val="2"/>
        <charset val="238"/>
        <scheme val="minor"/>
      </rPr>
      <t>3,5</t>
    </r>
    <r>
      <rPr>
        <sz val="10"/>
        <color theme="1"/>
        <rFont val="Calibri"/>
        <family val="2"/>
        <charset val="238"/>
        <scheme val="minor"/>
      </rPr>
      <t>)</t>
    </r>
  </si>
  <si>
    <r>
      <t>podmínky aktivity RA (dle DAS28) pro nasazení dle úhrad v ČR</t>
    </r>
    <r>
      <rPr>
        <vertAlign val="superscript"/>
        <sz val="8"/>
        <rFont val="Arial"/>
        <family val="2"/>
        <charset val="238"/>
      </rPr>
      <t>1</t>
    </r>
  </si>
  <si>
    <t xml:space="preserve"> &gt; 3,2</t>
  </si>
  <si>
    <t>≥ 5,1</t>
  </si>
  <si>
    <r>
      <t>ANO</t>
    </r>
    <r>
      <rPr>
        <vertAlign val="superscript"/>
        <sz val="10"/>
        <color theme="1"/>
        <rFont val="Calibri"/>
        <family val="2"/>
        <charset val="238"/>
        <scheme val="minor"/>
      </rPr>
      <t>3,5</t>
    </r>
  </si>
  <si>
    <t>(monoterapie)</t>
  </si>
  <si>
    <t>Amgevita 40 mg inj sol 2x0,8 ml</t>
  </si>
  <si>
    <r>
      <rPr>
        <u/>
        <sz val="8"/>
        <color theme="1"/>
        <rFont val="Calibri"/>
        <family val="2"/>
        <charset val="238"/>
        <scheme val="minor"/>
      </rPr>
      <t>v kombinaci s methotrexátem</t>
    </r>
    <r>
      <rPr>
        <sz val="8"/>
        <color theme="1"/>
        <rFont val="Calibri"/>
        <family val="2"/>
        <charset val="238"/>
        <scheme val="minor"/>
      </rPr>
      <t xml:space="preserve"> je indikován: ● k léčbě středně těžké až těžké aktivní revmatoidní artritidy u dospělých pacientů, jestliže odpověď na chorobu modifikující antirevmatické léky včetně methotrexátu není dostatečná;  ● k léčbě těžké aktivní a progresivní revmatoidní artritidy u dospělých pacientů, kteří nebyli v minulosti léčeni methotrexátem.                                                                         </t>
    </r>
    <r>
      <rPr>
        <u/>
        <sz val="8"/>
        <color theme="1"/>
        <rFont val="Calibri"/>
        <family val="2"/>
        <charset val="238"/>
        <scheme val="minor"/>
      </rPr>
      <t>Je možné jej podávat v monoterapii</t>
    </r>
    <r>
      <rPr>
        <sz val="8"/>
        <color theme="1"/>
        <rFont val="Calibri"/>
        <family val="2"/>
        <charset val="238"/>
        <scheme val="minor"/>
      </rPr>
      <t xml:space="preserve"> při intoleranci methotrexátu nebo v případech, kdy pokračování v léčbě methotrexátem není vhodné.</t>
    </r>
  </si>
  <si>
    <r>
      <rPr>
        <u/>
        <sz val="8"/>
        <color theme="1"/>
        <rFont val="Calibri"/>
        <family val="2"/>
        <charset val="238"/>
        <scheme val="minor"/>
      </rPr>
      <t>40 mg adalimumabu podávaného jako jedna dávka subkutánně každý druhý týden.</t>
    </r>
    <r>
      <rPr>
        <sz val="8"/>
        <color theme="1"/>
        <rFont val="Calibri"/>
        <family val="2"/>
        <charset val="238"/>
        <scheme val="minor"/>
      </rPr>
      <t xml:space="preserve"> Během léčby je doporučeno pokračovat v léčbě methotrexátem. Pokud u některých pacientů na monoterapii adalimumabem dojde ke snížení odpovědi na léčbu 40 mg jednou za dva týdny, může být u těchto pacientů prospěšné zvýšení dávkování na 40 mg jednou týdně nebo 80 mg jednou za dva týdny.</t>
    </r>
  </si>
  <si>
    <t>AbbVie</t>
  </si>
  <si>
    <r>
      <rPr>
        <u/>
        <sz val="8"/>
        <color theme="1"/>
        <rFont val="Calibri"/>
        <family val="2"/>
        <charset val="238"/>
        <scheme val="minor"/>
      </rPr>
      <t>40 mg adalimumabu podávaného jako jedna dávka subkutánně každý druhý týden.</t>
    </r>
    <r>
      <rPr>
        <sz val="8"/>
        <color theme="1"/>
        <rFont val="Calibri"/>
        <family val="2"/>
        <charset val="238"/>
        <scheme val="minor"/>
      </rPr>
      <t xml:space="preserve"> Během léčby je doporučeno pokračovat v léčbě methotrexátem. </t>
    </r>
    <r>
      <rPr>
        <u/>
        <sz val="8"/>
        <color theme="1"/>
        <rFont val="Calibri"/>
        <family val="2"/>
        <charset val="238"/>
        <scheme val="minor"/>
      </rPr>
      <t>Pokud u některých pacientů na monoterapii adalimumabem dojde ke snížení odpovědi na léčbu</t>
    </r>
    <r>
      <rPr>
        <sz val="8"/>
        <color theme="1"/>
        <rFont val="Calibri"/>
        <family val="2"/>
        <charset val="238"/>
        <scheme val="minor"/>
      </rPr>
      <t xml:space="preserve"> 40 mg jednou za dva týdny, </t>
    </r>
    <r>
      <rPr>
        <u/>
        <sz val="8"/>
        <color theme="1"/>
        <rFont val="Calibri"/>
        <family val="2"/>
        <charset val="238"/>
        <scheme val="minor"/>
      </rPr>
      <t>může být u těchto pacientů prospěšné zvýšení dávkování na 40 mg jednou týdně</t>
    </r>
    <r>
      <rPr>
        <sz val="8"/>
        <color theme="1"/>
        <rFont val="Calibri"/>
        <family val="2"/>
        <charset val="238"/>
        <scheme val="minor"/>
      </rPr>
      <t xml:space="preserve"> nebo 80 mg jednou za dva týdny.</t>
    </r>
  </si>
  <si>
    <r>
      <t>adalimumab</t>
    </r>
    <r>
      <rPr>
        <sz val="8"/>
        <color theme="1"/>
        <rFont val="Calibri"/>
        <family val="2"/>
        <charset val="238"/>
        <scheme val="minor"/>
      </rPr>
      <t xml:space="preserve"> (celou dobu 40 mg každý 2.týden)</t>
    </r>
  </si>
  <si>
    <r>
      <t>adalimumab</t>
    </r>
    <r>
      <rPr>
        <sz val="8"/>
        <color theme="1"/>
        <rFont val="Calibri"/>
        <family val="2"/>
        <charset val="238"/>
        <scheme val="minor"/>
      </rPr>
      <t xml:space="preserve"> (celou dobu 40 mg, </t>
    </r>
    <r>
      <rPr>
        <u/>
        <sz val="8"/>
        <color theme="1"/>
        <rFont val="Calibri"/>
        <family val="2"/>
        <charset val="238"/>
        <scheme val="minor"/>
      </rPr>
      <t>po indukci každý týden</t>
    </r>
    <r>
      <rPr>
        <sz val="8"/>
        <color theme="1"/>
        <rFont val="Calibri"/>
        <family val="2"/>
        <charset val="238"/>
        <scheme val="minor"/>
      </rPr>
      <t>)</t>
    </r>
  </si>
  <si>
    <t>L04AB04</t>
  </si>
  <si>
    <t>s.c. injekce</t>
  </si>
  <si>
    <t>Amgen</t>
  </si>
  <si>
    <r>
      <t>Amgevita 40 mg inj sol 2x0,8 ml  (monoterapie</t>
    </r>
    <r>
      <rPr>
        <vertAlign val="superscript"/>
        <sz val="10"/>
        <color theme="1"/>
        <rFont val="Calibri"/>
        <family val="2"/>
        <charset val="238"/>
        <scheme val="minor"/>
      </rPr>
      <t>3,5</t>
    </r>
    <r>
      <rPr>
        <sz val="10"/>
        <color theme="1"/>
        <rFont val="Calibri"/>
        <family val="2"/>
        <charset val="238"/>
        <scheme val="minor"/>
      </rPr>
      <t>)</t>
    </r>
  </si>
  <si>
    <t>Hulio 40 mg inj sol 2x0,8 ml</t>
  </si>
  <si>
    <t>Mylan</t>
  </si>
  <si>
    <r>
      <t>Hulio 40 mg inj sol 2x0,8 ml  (monoterapie</t>
    </r>
    <r>
      <rPr>
        <vertAlign val="superscript"/>
        <sz val="10"/>
        <color theme="1"/>
        <rFont val="Calibri"/>
        <family val="2"/>
        <charset val="238"/>
        <scheme val="minor"/>
      </rPr>
      <t>3,5</t>
    </r>
    <r>
      <rPr>
        <sz val="10"/>
        <color theme="1"/>
        <rFont val="Calibri"/>
        <family val="2"/>
        <charset val="238"/>
        <scheme val="minor"/>
      </rPr>
      <t>)</t>
    </r>
  </si>
  <si>
    <t>Hyrimoz 40 mg inj sol 2x0,8 ml</t>
  </si>
  <si>
    <r>
      <t>Hyrimoz 40 mg inj sol 2x0,8 ml  (monoterapie</t>
    </r>
    <r>
      <rPr>
        <vertAlign val="superscript"/>
        <sz val="10"/>
        <color theme="1"/>
        <rFont val="Calibri"/>
        <family val="2"/>
        <charset val="238"/>
        <scheme val="minor"/>
      </rPr>
      <t>3,5</t>
    </r>
    <r>
      <rPr>
        <sz val="10"/>
        <color theme="1"/>
        <rFont val="Calibri"/>
        <family val="2"/>
        <charset val="238"/>
        <scheme val="minor"/>
      </rPr>
      <t>)</t>
    </r>
  </si>
  <si>
    <t>Idacio 40 mg inj sol 2x0,8 ml</t>
  </si>
  <si>
    <t>Fresenius</t>
  </si>
  <si>
    <r>
      <t>Idacio 40 mg inj sol 2x0,8 ml  (monoterapie</t>
    </r>
    <r>
      <rPr>
        <vertAlign val="superscript"/>
        <sz val="10"/>
        <color theme="1"/>
        <rFont val="Calibri"/>
        <family val="2"/>
        <charset val="238"/>
        <scheme val="minor"/>
      </rPr>
      <t>3,5</t>
    </r>
    <r>
      <rPr>
        <sz val="10"/>
        <color theme="1"/>
        <rFont val="Calibri"/>
        <family val="2"/>
        <charset val="238"/>
        <scheme val="minor"/>
      </rPr>
      <t>)</t>
    </r>
  </si>
  <si>
    <t>Imraldi 40 mg inj sol 2x0,8 ml</t>
  </si>
  <si>
    <r>
      <t>Imraldi 40 mg inj sol 2x0,8 ml  (monoterapie</t>
    </r>
    <r>
      <rPr>
        <vertAlign val="superscript"/>
        <sz val="10"/>
        <color theme="1"/>
        <rFont val="Calibri"/>
        <family val="2"/>
        <charset val="238"/>
        <scheme val="minor"/>
      </rPr>
      <t>3,5</t>
    </r>
    <r>
      <rPr>
        <sz val="10"/>
        <color theme="1"/>
        <rFont val="Calibri"/>
        <family val="2"/>
        <charset val="238"/>
        <scheme val="minor"/>
      </rPr>
      <t>)</t>
    </r>
  </si>
  <si>
    <t>Simponi 50 mg inj sol 1x0,5 ml</t>
  </si>
  <si>
    <t>golimumab</t>
  </si>
  <si>
    <r>
      <t xml:space="preserve">Léčba pacientů s </t>
    </r>
    <r>
      <rPr>
        <u/>
        <sz val="8"/>
        <color theme="1"/>
        <rFont val="Calibri"/>
        <family val="2"/>
        <charset val="238"/>
        <scheme val="minor"/>
      </rPr>
      <t>RA se střední a velmi vysokou aktivitou choroby (DAS28 &gt; 3,2)</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během 3 měsíců léčby a k dosažení remise (DAS28 &lt; 2,6), nebo alespoň stavu nízké aktivity onemocnění (DAS28 &lt; 3,2) během 6 měsíců </t>
    </r>
    <r>
      <rPr>
        <sz val="8"/>
        <color theme="1"/>
        <rFont val="Calibri"/>
        <family val="2"/>
        <charset val="238"/>
        <scheme val="minor"/>
      </rPr>
      <t>léčby. Jestliže remise nebo nízké aktivity onemocnění není během 6 měsíců dosaženo, nebo dojde-li k poklesu účinnosti zavedené terapie při následných kontrolách v intervalu 3 měsíců, léčba je ukončena.</t>
    </r>
    <r>
      <rPr>
        <u/>
        <sz val="8"/>
        <color theme="1"/>
        <rFont val="Calibri"/>
        <family val="2"/>
        <charset val="238"/>
        <scheme val="minor"/>
      </rPr>
      <t xml:space="preserve"> Přípravek se podává v kombinaci s methotrexátem, ale lze jej podávat i v monoterapii při nesnášenlivosti methotrexátu nebo v případech, kdy pokračování v léčbě methotrexátem není možné.  </t>
    </r>
    <r>
      <rPr>
        <sz val="8"/>
        <color theme="1"/>
        <rFont val="Calibri"/>
        <family val="2"/>
        <charset val="238"/>
        <scheme val="minor"/>
      </rPr>
      <t>Při nedostatečné účinnosti či intoleranci této léčivé látky pacienta převést na léčbu jinou léčivou látkou z referenční skupiny č. 70/2 nebo na jinou biologickou léčbu (ev. JAK inhibitor).</t>
    </r>
  </si>
  <si>
    <r>
      <t xml:space="preserve">Léčba pacientů s </t>
    </r>
    <r>
      <rPr>
        <u/>
        <sz val="8"/>
        <color theme="1"/>
        <rFont val="Calibri"/>
        <family val="2"/>
        <charset val="238"/>
        <scheme val="minor"/>
      </rPr>
      <t>RA se střední a velmi vysokou aktivitou choroby (DAS28 &gt; 3,2)</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během 3 měsíců léčby a k dosažení remise (DAS28 &lt; 2,6), nebo alespoň stavu nízké aktivity onemocnění (DAS28 &lt; 3,2) během 6 měsíců </t>
    </r>
    <r>
      <rPr>
        <sz val="8"/>
        <color theme="1"/>
        <rFont val="Calibri"/>
        <family val="2"/>
        <charset val="238"/>
        <scheme val="minor"/>
      </rPr>
      <t>léčby. Jestliže remise nebo nízké aktivity onemocnění není během 6 měsíců dosaženo, nebo dojde-li k poklesu účinnosti zavedené terapie při následných kontrolách v intervalu 3 měsíců, léčba je ukončena.</t>
    </r>
    <r>
      <rPr>
        <u/>
        <sz val="8"/>
        <color theme="1"/>
        <rFont val="Calibri"/>
        <family val="2"/>
        <charset val="238"/>
        <scheme val="minor"/>
      </rPr>
      <t xml:space="preserve"> Přípravek se podává v kombinaci s methotrexátem, ale lze jej podávat i v monoterapii při nesnášenlivosti methotrexátu nebo v případech, kdy pokračování v léčbě methotrexátem není možné. </t>
    </r>
    <r>
      <rPr>
        <sz val="8"/>
        <color theme="1"/>
        <rFont val="Calibri"/>
        <family val="2"/>
        <charset val="238"/>
        <scheme val="minor"/>
      </rPr>
      <t>Při nedostatečné účinnosti či intoleranci této léčivé látky pacienta převést na léčbu jinou léčivou látkou z referenční skupiny č. 70/2 nebo na jinou biologickou léčbu (ev. JAK inhibitor).</t>
    </r>
  </si>
  <si>
    <r>
      <t xml:space="preserve">Léčba pacientů s </t>
    </r>
    <r>
      <rPr>
        <u/>
        <sz val="8"/>
        <color theme="1"/>
        <rFont val="Calibri"/>
        <family val="2"/>
        <charset val="238"/>
        <scheme val="minor"/>
      </rPr>
      <t>RA s velmi vysokou aktivitou choroby (DAS28 &gt;= 5,1)</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Terapie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xml:space="preserve">. Jestliže remise nebo nízké aktivity onemocnění není během 6 měsíců dosaženo, nebo dojde-li k poklesu účinnosti zavedené terapie při následných kontrolách v intervalu 3 měsíců, léčba je ukončena. </t>
    </r>
    <r>
      <rPr>
        <u/>
        <sz val="8"/>
        <color theme="1"/>
        <rFont val="Calibri"/>
        <family val="2"/>
        <charset val="238"/>
        <scheme val="minor"/>
      </rPr>
      <t xml:space="preserve">Přípravek se podává v kombinaci s methotrexátem, ale lze jej podávat i v monoterapii při nesnášenlivosti methotrexátu nebo v případech, kdy pokračování v léčbě methotrexátem není možné.  </t>
    </r>
    <r>
      <rPr>
        <sz val="8"/>
        <color theme="1"/>
        <rFont val="Calibri"/>
        <family val="2"/>
        <charset val="238"/>
        <scheme val="minor"/>
      </rPr>
      <t>Při nedostatečné účinnosti či intoleranci této léčivé látky pacienta převést na léčbu jinou léčivou látkou z referenční skupiny č. 70/2 nebo na jinou biologickou léčbu (ev. JAK inhibitor).</t>
    </r>
  </si>
  <si>
    <r>
      <t xml:space="preserve">Léčba pacientů s </t>
    </r>
    <r>
      <rPr>
        <u/>
        <sz val="8"/>
        <color theme="1"/>
        <rFont val="Calibri"/>
        <family val="2"/>
        <charset val="238"/>
        <scheme val="minor"/>
      </rPr>
      <t>RA s velmi vysokou aktivitou choroby (DAS28 &gt;= 5,1)</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Terapie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xml:space="preserve">. Jestliže remise nebo nízké aktivity onemocnění není během 6 měsíců dosaženo, nebo dojde-li k poklesu účinnosti zavedené terapie při následných kontrolách v intervalu 3 měsíců, léčba je ukončena. </t>
    </r>
    <r>
      <rPr>
        <u/>
        <sz val="8"/>
        <color theme="1"/>
        <rFont val="Calibri"/>
        <family val="2"/>
        <charset val="238"/>
        <scheme val="minor"/>
      </rPr>
      <t xml:space="preserve">Přípravek se podává v kombinaci s methotrexátem, ale lze jej podávat i v monoterapii při nesnášenlivosti methotrexátu nebo v případech, kdy pokračování v léčbě methotrexátem není možné. </t>
    </r>
    <r>
      <rPr>
        <sz val="8"/>
        <color theme="1"/>
        <rFont val="Calibri"/>
        <family val="2"/>
        <charset val="238"/>
        <scheme val="minor"/>
      </rPr>
      <t>Při nedostatečné účinnosti či intoleranci této léčivé látky pacienta převést na léčbu jinou léčivou látkou z referenční skupiny č. 70/2 nebo na jinou biologickou léčbu (ev. JAK inhibitor).</t>
    </r>
  </si>
  <si>
    <r>
      <t xml:space="preserve">Léčba pacientů s </t>
    </r>
    <r>
      <rPr>
        <u/>
        <sz val="8"/>
        <color theme="1"/>
        <rFont val="Calibri"/>
        <family val="2"/>
        <charset val="238"/>
        <scheme val="minor"/>
      </rPr>
      <t>RA se střední a velmi vysokou aktivitou choroby (DAS28 &gt; 3,2)</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během 3 měsíců léčby a k dosažení remise (DAS28 &lt; 2,6), nebo alespoň stavu nízké aktivity onemocnění (DAS28 &lt; 3,2) během 6 měsíců </t>
    </r>
    <r>
      <rPr>
        <sz val="8"/>
        <color theme="1"/>
        <rFont val="Calibri"/>
        <family val="2"/>
        <charset val="238"/>
        <scheme val="minor"/>
      </rPr>
      <t>léčby. Jestliže remise nebo nízké aktivity onemocnění není během 6 měsíců dosaženo, nebo dojde-li k poklesu účinnosti zavedené terapie při následných kontrolách v intervalu 3 měsíců, léčba je ukončena.  Při nedostatečné účinnosti či intoleranci této léčivé látky pacienta převést na léčbu jinou léčivou látkou z referenční skupiny č. 70/2 nebo na jinou biologickou léčbu (ev. JAK inhibitor).</t>
    </r>
  </si>
  <si>
    <r>
      <rPr>
        <u/>
        <sz val="8"/>
        <color theme="1"/>
        <rFont val="Calibri"/>
        <family val="2"/>
        <charset val="238"/>
        <scheme val="minor"/>
      </rPr>
      <t>V kombinaci s methotrexátem k léčbě pacientů s revmatoidní artritidou s velmi vysokou aktivitou choroby (DAS28 &gt;= 5,1)</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(tj. k poklesu skóre DAS28 nejméně o 1,2 bodu) během 12 týdnů léčby a zlepšení musí být udržováno během následující terapie s kontrolami v intervalu 12 týdnů </t>
    </r>
    <r>
      <rPr>
        <sz val="8"/>
        <color theme="1"/>
        <rFont val="Calibri"/>
        <family val="2"/>
        <charset val="238"/>
        <scheme val="minor"/>
      </rPr>
      <t xml:space="preserve">a pokud pacient nesplní kritérium zlepšení ve 2 po sobě následujících návštěvách, léčba je ukončena.  </t>
    </r>
    <r>
      <rPr>
        <u/>
        <sz val="8"/>
        <color theme="1"/>
        <rFont val="Calibri"/>
        <family val="2"/>
        <charset val="238"/>
        <scheme val="minor"/>
      </rPr>
      <t xml:space="preserve"> Je možné při nedostatečné účinnosti či intoleranci této léčivé látky pacienta převést na léčbu jinou léčivou látkou z referenční skupiny č. 70/2.</t>
    </r>
  </si>
  <si>
    <r>
      <rPr>
        <u/>
        <sz val="8"/>
        <color theme="1"/>
        <rFont val="Calibri"/>
        <family val="2"/>
        <charset val="238"/>
        <scheme val="minor"/>
      </rPr>
      <t>V kombinaci s methotrexátem k léčbě pacientů s revmatoidní artritidou s velmi vysokou aktivitou choroby (DAS28 &gt;= 5,1)</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(tj. k poklesu skóre DAS28 nejméně o 1,2 bodu) během 12 týdnů léčby a zlepšení musí být udržováno během následující terapie s kontrolami v intervalu 12 týdnů </t>
    </r>
    <r>
      <rPr>
        <sz val="8"/>
        <color theme="1"/>
        <rFont val="Calibri"/>
        <family val="2"/>
        <charset val="238"/>
        <scheme val="minor"/>
      </rPr>
      <t xml:space="preserve">a pokud pacient nesplní kritérium zlepšení ve 2 po sobě následujících návštěvách, léčba je ukončena.   </t>
    </r>
    <r>
      <rPr>
        <u/>
        <sz val="8"/>
        <color theme="1"/>
        <rFont val="Calibri"/>
        <family val="2"/>
        <charset val="238"/>
        <scheme val="minor"/>
      </rPr>
      <t xml:space="preserve"> Je možné při nedostatečné účinnosti či intoleranci této léčivé látky pacienta převést na léčbu jinou léčivou látkou z referenční skupiny č. 70/2.</t>
    </r>
  </si>
  <si>
    <r>
      <rPr>
        <u/>
        <sz val="8"/>
        <color theme="1"/>
        <rFont val="Calibri"/>
        <family val="2"/>
        <charset val="238"/>
        <scheme val="minor"/>
      </rPr>
      <t>V kombinaci s methotrexátem k léčbě pacientů s revmatoidní artritidou s velmi vysokou aktivitou choroby (DAS28 &gt;= 5,1)</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(tj. k poklesu skóre DAS28 nejméně o 1,2 bodu) během 12 týdnů léčby a zlepšení musí být udržováno během následující terapie s kontrolami v intervalu 12 týdnů </t>
    </r>
    <r>
      <rPr>
        <sz val="8"/>
        <color theme="1"/>
        <rFont val="Calibri"/>
        <family val="2"/>
        <charset val="238"/>
        <scheme val="minor"/>
      </rPr>
      <t xml:space="preserve">a pokud pacient nesplní kritérium zlepšení ve 2 po sobě následujících návštěvách, léčba je ukončena.    </t>
    </r>
    <r>
      <rPr>
        <u/>
        <sz val="8"/>
        <color theme="1"/>
        <rFont val="Calibri"/>
        <family val="2"/>
        <charset val="238"/>
        <scheme val="minor"/>
      </rPr>
      <t>Je možné při nedostatečné účinnosti či intoleranci této léčivé látky pacienta převést na léčbu jinou léčivou látkou z referenční skupiny č. 70/2.</t>
    </r>
  </si>
  <si>
    <r>
      <rPr>
        <u/>
        <sz val="8"/>
        <color theme="1"/>
        <rFont val="Calibri"/>
        <family val="2"/>
        <charset val="238"/>
        <scheme val="minor"/>
      </rPr>
      <t>V kombinaci s methotrexátem k léčbě pacientů s revmatoidní artritidou s velmi vysokou aktivitou choroby (DAS28 &gt;= 5,1)</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(tj. k poklesu skóre DAS28 nejméně o 1,2 bodu) během 12 týdnů léčby a zlepšení musí být udržováno během následující terapie s kontrolami v intervalu 12 týdnů </t>
    </r>
    <r>
      <rPr>
        <sz val="8"/>
        <color theme="1"/>
        <rFont val="Calibri"/>
        <family val="2"/>
        <charset val="238"/>
        <scheme val="minor"/>
      </rPr>
      <t xml:space="preserve">a pokud pacient nesplní kritérium zlepšení ve 2 po sobě následujících návštěvách, léčba je ukončena.  </t>
    </r>
    <r>
      <rPr>
        <u/>
        <sz val="8"/>
        <color theme="1"/>
        <rFont val="Calibri"/>
        <family val="2"/>
        <charset val="238"/>
        <scheme val="minor"/>
      </rPr>
      <t>Je možné při nedostatečné účinnosti či intoleranci této léčivé látky pacienta převést na léčbu jinou léčivou látkou z referenční skupiny č. 70/2.</t>
    </r>
  </si>
  <si>
    <r>
      <rPr>
        <u/>
        <sz val="8"/>
        <color theme="1"/>
        <rFont val="Calibri"/>
        <family val="2"/>
        <charset val="238"/>
        <scheme val="minor"/>
      </rPr>
      <t>V kombinaci s methotrexátem k léčbě pacientů s revmatoidní artritidou s velmi vysokou aktivitou choroby (DAS28 &gt;= 5,1)</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(tj. k poklesu skóre DAS28 nejméně o 1,2 bodu) během 12 týdnů léčby a zlepšení musí být udržováno během následující terapie s kontrolami v intervalu 12 týdnů </t>
    </r>
    <r>
      <rPr>
        <sz val="8"/>
        <color theme="1"/>
        <rFont val="Calibri"/>
        <family val="2"/>
        <charset val="238"/>
        <scheme val="minor"/>
      </rPr>
      <t xml:space="preserve">a pokud pacient nesplní kritérium zlepšení ve 2 po sobě následujících návštěvách, léčba je ukončena. </t>
    </r>
    <r>
      <rPr>
        <u/>
        <sz val="8"/>
        <color theme="1"/>
        <rFont val="Calibri"/>
        <family val="2"/>
        <charset val="238"/>
        <scheme val="minor"/>
      </rPr>
      <t xml:space="preserve"> Je možné při nedostatečné účinnosti či intoleranci této léčivé látky pacienta převést na léčbu jinou léčivou látkou z referenční skupiny č. 70/2.</t>
    </r>
  </si>
  <si>
    <r>
      <rPr>
        <u/>
        <sz val="8"/>
        <color theme="1"/>
        <rFont val="Calibri"/>
        <family val="2"/>
        <charset val="238"/>
        <scheme val="minor"/>
      </rPr>
      <t>v kombinaci s methotrexátem</t>
    </r>
    <r>
      <rPr>
        <sz val="8"/>
        <color theme="1"/>
        <rFont val="Calibri"/>
        <family val="2"/>
        <charset val="238"/>
        <scheme val="minor"/>
      </rPr>
      <t xml:space="preserve"> je indikován: ● k léčbě středně těžké až těžké aktivní revmatoidní artritidy u dospělých pacientů, jestliže odpověď na chorobu modifikující antirevmatické léky včetně methotrexátu není dostatečná;  ● k léčbě těžké aktivní a progresivní revmatoidní artritidy u dospělých pacientů, kteří nebyli v minulosti léčeni methotrexátem.                                                                        </t>
    </r>
  </si>
  <si>
    <r>
      <rPr>
        <u/>
        <sz val="8"/>
        <color theme="1"/>
        <rFont val="Calibri"/>
        <family val="2"/>
        <charset val="238"/>
        <scheme val="minor"/>
      </rPr>
      <t>50 mg podávaný jednou za měsíc,</t>
    </r>
    <r>
      <rPr>
        <sz val="8"/>
        <color theme="1"/>
        <rFont val="Calibri"/>
        <family val="2"/>
        <charset val="238"/>
        <scheme val="minor"/>
      </rPr>
      <t xml:space="preserve"> ve stejný den každého měsíce. Měl by se podávat současně s MTX.</t>
    </r>
  </si>
  <si>
    <t>L04AB06</t>
  </si>
  <si>
    <r>
      <t>násobek vůči ceně nejlevnějšího za první 3 měsíce se započtením bonusů -</t>
    </r>
    <r>
      <rPr>
        <b/>
        <sz val="8"/>
        <rFont val="Arial"/>
        <family val="2"/>
        <charset val="238"/>
      </rPr>
      <t xml:space="preserve"> CMA</t>
    </r>
  </si>
  <si>
    <r>
      <t>násobek vůči ceně nejlevnějšího za prvních 6 měsíců se započtením bonusů -</t>
    </r>
    <r>
      <rPr>
        <b/>
        <sz val="8"/>
        <rFont val="Arial"/>
        <family val="2"/>
        <charset val="238"/>
      </rPr>
      <t xml:space="preserve"> CMA</t>
    </r>
  </si>
  <si>
    <r>
      <t>násobek vůči ceně nejlevnějšího za 1 rok udržovací léčby se započtením bonusů -</t>
    </r>
    <r>
      <rPr>
        <b/>
        <sz val="8"/>
        <rFont val="Arial"/>
        <family val="2"/>
        <charset val="238"/>
      </rPr>
      <t xml:space="preserve"> CMA</t>
    </r>
  </si>
  <si>
    <t>Cimzia 200mg inj sol 2x1 ml</t>
  </si>
  <si>
    <t>certolizumab pegol</t>
  </si>
  <si>
    <t>L04AB05</t>
  </si>
  <si>
    <r>
      <rPr>
        <u/>
        <sz val="8"/>
        <color theme="1"/>
        <rFont val="Calibri"/>
        <family val="2"/>
        <charset val="238"/>
        <scheme val="minor"/>
      </rPr>
      <t>v kombinaci s methotrexátem</t>
    </r>
    <r>
      <rPr>
        <sz val="8"/>
        <color theme="1"/>
        <rFont val="Calibri"/>
        <family val="2"/>
        <charset val="238"/>
        <scheme val="minor"/>
      </rPr>
      <t xml:space="preserve"> je indikován: ● k léčbě středně těžké až těžké aktivní revmatoidní artritidy u dospělých pacientů, jestliže odpověď na chorobu modifikující antirevmatické léky včetně methotrexátu není dostatečná, </t>
    </r>
    <r>
      <rPr>
        <u/>
        <sz val="8"/>
        <color theme="1"/>
        <rFont val="Calibri"/>
        <family val="2"/>
        <charset val="238"/>
        <scheme val="minor"/>
      </rPr>
      <t xml:space="preserve">lze ji podávat v monoterapii </t>
    </r>
    <r>
      <rPr>
        <sz val="8"/>
        <color theme="1"/>
        <rFont val="Calibri"/>
        <family val="2"/>
        <charset val="238"/>
        <scheme val="minor"/>
      </rPr>
      <t xml:space="preserve">v případě nesnášenlivosti MTX nebo je-li pokračování léčby MTX nevhodné;  ● k léčbě těžké aktivní a progresivní revmatoidní artritidy u dospělých pacientů, kteří nebyli v minulosti léčeni methotrexátem nebo jiným DMARD.                                                                    </t>
    </r>
  </si>
  <si>
    <r>
      <rPr>
        <u/>
        <sz val="8"/>
        <color theme="1"/>
        <rFont val="Calibri"/>
        <family val="2"/>
        <charset val="238"/>
        <scheme val="minor"/>
      </rPr>
      <t>indukce: 400 mg (podaná jako 2 subkutánní injekce, každá po 200 mg) v 0., 2. a 4. týdnu</t>
    </r>
    <r>
      <rPr>
        <sz val="8"/>
        <color theme="1"/>
        <rFont val="Calibri"/>
        <family val="2"/>
        <charset val="238"/>
        <scheme val="minor"/>
      </rPr>
      <t xml:space="preserve">. Pokud je to vhodné, nemělo by se podávání MTX v průběhu léčby přerušovat.     </t>
    </r>
    <r>
      <rPr>
        <u/>
        <sz val="8"/>
        <color theme="1"/>
        <rFont val="Calibri"/>
        <family val="2"/>
        <charset val="238"/>
        <scheme val="minor"/>
      </rPr>
      <t>Udržovací dávka je 200 mg každé 2 týdny</t>
    </r>
    <r>
      <rPr>
        <sz val="8"/>
        <color theme="1"/>
        <rFont val="Calibri"/>
        <family val="2"/>
        <charset val="238"/>
        <scheme val="minor"/>
      </rPr>
      <t>. Jakmile je potvrzena klinická odpověď, může být zvážena alternativní udržovací dávka 400 mg každé 4 týdny. Pokud je to vhodné, nemělo by se podávání MTX v průběhu léčby přerušovat.</t>
    </r>
  </si>
  <si>
    <t>UCB Pharma</t>
  </si>
  <si>
    <r>
      <t xml:space="preserve">Léčba </t>
    </r>
    <r>
      <rPr>
        <u/>
        <sz val="8"/>
        <color theme="1"/>
        <rFont val="Calibri"/>
        <family val="2"/>
        <charset val="238"/>
        <scheme val="minor"/>
      </rPr>
      <t>RA</t>
    </r>
    <r>
      <rPr>
        <sz val="8"/>
        <color theme="1"/>
        <rFont val="Calibri"/>
        <family val="2"/>
        <charset val="238"/>
        <scheme val="minor"/>
      </rPr>
      <t xml:space="preserve">:  ● u pacientů </t>
    </r>
    <r>
      <rPr>
        <u/>
        <sz val="8"/>
        <color theme="1"/>
        <rFont val="Calibri"/>
        <family val="2"/>
        <charset val="238"/>
        <scheme val="minor"/>
      </rPr>
      <t>se středně a velmi vysokou aktivitou choroby (DAS28 &gt; 3,2)</t>
    </r>
    <r>
      <rPr>
        <sz val="8"/>
        <color theme="1"/>
        <rFont val="Calibri"/>
        <family val="2"/>
        <charset val="238"/>
        <scheme val="minor"/>
      </rPr>
      <t xml:space="preserve">, kteří nedostatečně reagují na léčbu methotrexátem, leflunomidem nebo sulfasalazinem (při podávání těchto DMARD po dobu nejméně 6 měsíců). Přípravek </t>
    </r>
    <r>
      <rPr>
        <u/>
        <sz val="8"/>
        <color theme="1"/>
        <rFont val="Calibri"/>
        <family val="2"/>
        <charset val="238"/>
        <scheme val="minor"/>
      </rPr>
      <t xml:space="preserve">se podává v kombinaci s methotrexátem, ale lze jej podávat i v monoterapii </t>
    </r>
    <r>
      <rPr>
        <sz val="8"/>
        <color theme="1"/>
        <rFont val="Calibri"/>
        <family val="2"/>
        <charset val="238"/>
        <scheme val="minor"/>
      </rPr>
      <t>při nesnášenlivosti methotrexátu nebo v případech, kdy pokračování v léčbě methotrexátem není možné</t>
    </r>
    <r>
      <rPr>
        <sz val="8"/>
        <color theme="1"/>
        <rFont val="Calibri"/>
        <family val="2"/>
        <charset val="238"/>
      </rPr>
      <t>;</t>
    </r>
    <r>
      <rPr>
        <sz val="8"/>
        <color theme="1"/>
        <rFont val="Calibri"/>
        <family val="2"/>
        <charset val="238"/>
        <scheme val="minor"/>
      </rPr>
      <t xml:space="preserve">   ● </t>
    </r>
    <r>
      <rPr>
        <u/>
        <sz val="8"/>
        <color theme="1"/>
        <rFont val="Calibri"/>
        <family val="2"/>
        <charset val="238"/>
        <scheme val="minor"/>
      </rPr>
      <t>v kombinaci s methotrexátem u pacientů s časnou, aktivní a progresivní RA s velmi vysokou aktivitou choroby (DAS28 &gt;= 5,1)</t>
    </r>
    <r>
      <rPr>
        <sz val="8"/>
        <color theme="1"/>
        <rFont val="Calibri"/>
        <family val="2"/>
        <charset val="238"/>
        <scheme val="minor"/>
      </rPr>
      <t>, kteří nebyli dříve léčeni DMARDs, s přítomností erozí, pozitivitou RF nebo protilátek proti citrulinovým proteinům a maximální dobou od diagnózyRA 4 měsíce.                      Terapie RA uvedená výše bodech indikačního omezení by měla vést k poklesu aktivity onemocnění během 3 měsíců léčby a k dosažení remise (DAS28 &lt; 2,6), nebo alespoň stavu nízké aktivity onemocnění (DAS28 &lt; 3,2) během 6 měsíců léčby. Jestliže remise nebo nízké aktivity onemocnění není během 6 měsíců dosaženo, nebo dojde-li k poklesu účinnosti zavedené terapie při následných kontrolách v intervalu 3 měsíců, léčba je ukončena. Je možné při nedostatečné účinnosti či intoleranci této léčivé látky pacienta převést na léčbu jinou léčivou látkou z referenční skupiny č. 70/2 nebo na jinou biologickou léčbu (ev. JAK inhibitor).</t>
    </r>
  </si>
  <si>
    <r>
      <t>Cimzia 200mg inj sol 2x1 ml (monoterapie</t>
    </r>
    <r>
      <rPr>
        <vertAlign val="superscript"/>
        <sz val="10"/>
        <color theme="1"/>
        <rFont val="Calibri"/>
        <family val="2"/>
        <charset val="238"/>
        <scheme val="minor"/>
      </rPr>
      <t>3,5</t>
    </r>
    <r>
      <rPr>
        <sz val="10"/>
        <color theme="1"/>
        <rFont val="Calibri"/>
        <family val="2"/>
        <charset val="238"/>
        <scheme val="minor"/>
      </rPr>
      <t>)</t>
    </r>
  </si>
  <si>
    <r>
      <t>možnost 1.liniového nasazení bez předchozího užívání csDMARD dle úhrad v ČR</t>
    </r>
    <r>
      <rPr>
        <vertAlign val="superscript"/>
        <sz val="8"/>
        <rFont val="Arial"/>
        <family val="2"/>
        <charset val="238"/>
      </rPr>
      <t>1</t>
    </r>
  </si>
  <si>
    <t>Enbrel 50 mg inj sol 4x1 ml</t>
  </si>
  <si>
    <t>etanercept</t>
  </si>
  <si>
    <t>L04AB01</t>
  </si>
  <si>
    <r>
      <rPr>
        <u/>
        <sz val="8"/>
        <color theme="1"/>
        <rFont val="Calibri"/>
        <family val="2"/>
        <charset val="238"/>
        <scheme val="minor"/>
      </rPr>
      <t>v kombinaci s methotrexátem</t>
    </r>
    <r>
      <rPr>
        <sz val="8"/>
        <color theme="1"/>
        <rFont val="Calibri"/>
        <family val="2"/>
        <charset val="238"/>
        <scheme val="minor"/>
      </rPr>
      <t xml:space="preserve"> je indikován: ● k léčbě středně těžké až těžké aktivní revmatoidní artritidy u dospělých pacientů, jestliže odpověď na chorobu modifikující antirevmatické léky včetně methotrexátu není dostatečná, </t>
    </r>
    <r>
      <rPr>
        <u/>
        <sz val="8"/>
        <color theme="1"/>
        <rFont val="Calibri"/>
        <family val="2"/>
        <charset val="238"/>
        <scheme val="minor"/>
      </rPr>
      <t xml:space="preserve">lze ji podávat v monoterapii </t>
    </r>
    <r>
      <rPr>
        <sz val="8"/>
        <color theme="1"/>
        <rFont val="Calibri"/>
        <family val="2"/>
        <charset val="238"/>
        <scheme val="minor"/>
      </rPr>
      <t xml:space="preserve">v případě nesnášenlivosti MTX nebo je-li pokračování léčby MTX nevhodné;  ● k léčbě těžké aktivní a progresivní revmatoidní artritidy u dospělých pacientů, kteří nebyli v minulosti léčeni methotrexátem.                                                                   </t>
    </r>
  </si>
  <si>
    <t>50 mg podaných jednou týdně</t>
  </si>
  <si>
    <r>
      <t xml:space="preserve">Léčba pacientů s </t>
    </r>
    <r>
      <rPr>
        <u/>
        <sz val="8"/>
        <color theme="1"/>
        <rFont val="Calibri"/>
        <family val="2"/>
        <charset val="238"/>
        <scheme val="minor"/>
      </rPr>
      <t>RA se střední a velmi vysokou aktivitou choroby (DAS28 &gt; 3,2)</t>
    </r>
    <r>
      <rPr>
        <sz val="8"/>
        <color theme="1"/>
        <rFont val="Calibri"/>
        <family val="2"/>
        <charset val="238"/>
        <scheme val="minor"/>
      </rPr>
      <t xml:space="preserve">, kteří nedostatečně reagují na léčbu methotrexátem, leflunomidem nebo sulfasalazinem (při podávání těchto DMARD po dobu nejméně 6 měsíců). </t>
    </r>
    <r>
      <rPr>
        <u/>
        <sz val="8"/>
        <color theme="1"/>
        <rFont val="Calibri"/>
        <family val="2"/>
        <charset val="238"/>
        <scheme val="minor"/>
      </rPr>
      <t xml:space="preserve">Terapie by měla vést k poklesu aktivity onemocnění během 3 měsíců léčby a k dosažení remise (DAS28 &lt; 2,6), nebo alespoň stavu nízké aktivity onemocnění (DAS28 &lt; 3,2) během 6 měsíců </t>
    </r>
    <r>
      <rPr>
        <sz val="8"/>
        <color theme="1"/>
        <rFont val="Calibri"/>
        <family val="2"/>
        <charset val="238"/>
        <scheme val="minor"/>
      </rPr>
      <t>léčby. Jestliže remise nebo nízké aktivity onemocnění není během 6 měsíců dosaženo, nebo dojde-li k poklesu účinnosti zavedené terapie při následných kontrolách v intervalu 3 měsíců, léčba je ukončena.</t>
    </r>
    <r>
      <rPr>
        <u/>
        <sz val="8"/>
        <color theme="1"/>
        <rFont val="Calibri"/>
        <family val="2"/>
        <charset val="238"/>
        <scheme val="minor"/>
      </rPr>
      <t xml:space="preserve"> Přípravek se podává v kombinaci s methotrexátem, ale lze jej podávat i v monoterapii při nesnášenlivosti methotrexátu nebo v případech, kdy pokračování v léčbě methotrexátem není možné.  </t>
    </r>
    <r>
      <rPr>
        <sz val="8"/>
        <color theme="1"/>
        <rFont val="Calibri"/>
        <family val="2"/>
        <charset val="238"/>
        <scheme val="minor"/>
      </rPr>
      <t>Při nedostatečné účinnosti či intoleranci této léčivé látky je možné pacienta převést na léčbu jinou léčivou látkou z referenční skupiny č. 70/2 nebo na jinou biologickou léčbu (ev. JAK inhibitor).</t>
    </r>
  </si>
  <si>
    <r>
      <t xml:space="preserve">Léčba </t>
    </r>
    <r>
      <rPr>
        <u/>
        <sz val="8"/>
        <color theme="1"/>
        <rFont val="Calibri"/>
        <family val="2"/>
        <charset val="238"/>
        <scheme val="minor"/>
      </rPr>
      <t>RA</t>
    </r>
    <r>
      <rPr>
        <sz val="8"/>
        <color theme="1"/>
        <rFont val="Calibri"/>
        <family val="2"/>
        <charset val="238"/>
        <scheme val="minor"/>
      </rPr>
      <t xml:space="preserve">:  ● u pacientů </t>
    </r>
    <r>
      <rPr>
        <u/>
        <sz val="8"/>
        <color theme="1"/>
        <rFont val="Calibri"/>
        <family val="2"/>
        <charset val="238"/>
        <scheme val="minor"/>
      </rPr>
      <t>se středně a velmi vysokou aktivitou choroby (DAS28 &gt; 3,2)</t>
    </r>
    <r>
      <rPr>
        <sz val="8"/>
        <color theme="1"/>
        <rFont val="Calibri"/>
        <family val="2"/>
        <charset val="238"/>
        <scheme val="minor"/>
      </rPr>
      <t xml:space="preserve">, kteří nedostatečně reagují na léčbu methotrexátem, leflunomidem nebo sulfasalazinem (při podávání těchto DMARD po dobu nejméně 6 měsíců). Přípravek </t>
    </r>
    <r>
      <rPr>
        <u/>
        <sz val="8"/>
        <color theme="1"/>
        <rFont val="Calibri"/>
        <family val="2"/>
        <charset val="238"/>
        <scheme val="minor"/>
      </rPr>
      <t xml:space="preserve">se podává v kombinaci s methotrexátem, ale lze jej podávat i v monoterapii </t>
    </r>
    <r>
      <rPr>
        <sz val="8"/>
        <color theme="1"/>
        <rFont val="Calibri"/>
        <family val="2"/>
        <charset val="238"/>
        <scheme val="minor"/>
      </rPr>
      <t>při nesnášenlivosti methotrexátu nebo v případech, kdy pokračování v léčbě methotrexátem není možné</t>
    </r>
    <r>
      <rPr>
        <sz val="8"/>
        <color theme="1"/>
        <rFont val="Calibri"/>
        <family val="2"/>
        <charset val="238"/>
      </rPr>
      <t>;</t>
    </r>
    <r>
      <rPr>
        <sz val="8"/>
        <color theme="1"/>
        <rFont val="Calibri"/>
        <family val="2"/>
        <charset val="238"/>
        <scheme val="minor"/>
      </rPr>
      <t xml:space="preserve">   ● </t>
    </r>
    <r>
      <rPr>
        <u/>
        <sz val="8"/>
        <color theme="1"/>
        <rFont val="Calibri"/>
        <family val="2"/>
        <charset val="238"/>
        <scheme val="minor"/>
      </rPr>
      <t>v kombinaci s methotrexátem u pacientů s časnou, aktivní a progresivní RA s velmi vysokou aktivitou choroby (DAS28 &gt;= 5,1)</t>
    </r>
    <r>
      <rPr>
        <sz val="8"/>
        <color theme="1"/>
        <rFont val="Calibri"/>
        <family val="2"/>
        <charset val="238"/>
        <scheme val="minor"/>
      </rPr>
      <t xml:space="preserve">, kteří nebyli dříve léčeni DMARDs, s přítomností erozí, pozitivitou RF nebo protilátek proti citrulinovým proteinům a maximální dobou od diagnózy RA 4 měsíce.                     </t>
    </r>
    <r>
      <rPr>
        <u/>
        <sz val="8"/>
        <color theme="1"/>
        <rFont val="Calibri"/>
        <family val="2"/>
        <charset val="238"/>
        <scheme val="minor"/>
      </rPr>
      <t xml:space="preserve"> Terapie RA uvedená výše bodech indikačního omezení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Jestliže remise nebo nízké aktivity onemocnění není během 6 měsíců dosaženo, nebo dojde-li k poklesu účinnosti zavedené terapie při následných kontrolách v intervalu 3 měsíců, léčba je ukončena. Je možné při nedostatečné účinnosti či intoleranci této léčivé látky pacienta převést na léčbu jinou léčivou látkou z referenční skupiny č. 70/2 nebo na jinou biologickou léčbu (ev. JAK inhibitor).</t>
    </r>
  </si>
  <si>
    <r>
      <t>Enbrel 50 mg inj sol 4x1 ml (monoterapie</t>
    </r>
    <r>
      <rPr>
        <vertAlign val="superscript"/>
        <sz val="10"/>
        <color theme="1"/>
        <rFont val="Calibri"/>
        <family val="2"/>
        <charset val="238"/>
        <scheme val="minor"/>
      </rPr>
      <t>3,5</t>
    </r>
    <r>
      <rPr>
        <sz val="10"/>
        <color theme="1"/>
        <rFont val="Calibri"/>
        <family val="2"/>
        <charset val="238"/>
        <scheme val="minor"/>
      </rPr>
      <t>)</t>
    </r>
  </si>
  <si>
    <r>
      <rPr>
        <vertAlign val="superscript"/>
        <sz val="9"/>
        <color theme="1"/>
        <rFont val="Calibri"/>
        <family val="2"/>
        <charset val="238"/>
        <scheme val="minor"/>
      </rPr>
      <t>5</t>
    </r>
    <r>
      <rPr>
        <sz val="9"/>
        <color theme="1"/>
        <rFont val="Calibri"/>
        <family val="2"/>
        <charset val="238"/>
        <scheme val="minor"/>
      </rPr>
      <t xml:space="preserve"> Výsledky metaanalýz (dále jen "MNA") týkající se </t>
    </r>
    <r>
      <rPr>
        <b/>
        <u/>
        <sz val="9"/>
        <color theme="1"/>
        <rFont val="Calibri"/>
        <family val="2"/>
        <charset val="238"/>
        <scheme val="minor"/>
      </rPr>
      <t>monoterapie</t>
    </r>
    <r>
      <rPr>
        <sz val="9"/>
        <color theme="1"/>
        <rFont val="Calibri"/>
        <family val="2"/>
        <charset val="238"/>
        <scheme val="minor"/>
      </rPr>
      <t xml:space="preserve"> IL-6i a iTNFα (tocilizumab, sarilumab, resp. adalimumab a etanercept -viz: Institute for Clinical and Economic Review. Evidence Report: Targeted Immune Modulators for Rheumatoid </t>
    </r>
  </si>
  <si>
    <t>Benepali 50 mg inj sol 4x0,98 ml</t>
  </si>
  <si>
    <r>
      <t>Benepali 50 mg inj sol 4x0,98 ml (monoterapie</t>
    </r>
    <r>
      <rPr>
        <vertAlign val="superscript"/>
        <sz val="10"/>
        <color theme="1"/>
        <rFont val="Calibri"/>
        <family val="2"/>
        <charset val="238"/>
        <scheme val="minor"/>
      </rPr>
      <t>3,5</t>
    </r>
    <r>
      <rPr>
        <sz val="10"/>
        <color theme="1"/>
        <rFont val="Calibri"/>
        <family val="2"/>
        <charset val="238"/>
        <scheme val="minor"/>
      </rPr>
      <t>)</t>
    </r>
  </si>
  <si>
    <t>Erelzi 50 mg inj sol 4x1 ml</t>
  </si>
  <si>
    <r>
      <t>Erelzi 50 mg inj sol 4x1 ml (monoterapie</t>
    </r>
    <r>
      <rPr>
        <vertAlign val="superscript"/>
        <sz val="10"/>
        <color theme="1"/>
        <rFont val="Calibri"/>
        <family val="2"/>
        <charset val="238"/>
        <scheme val="minor"/>
      </rPr>
      <t>3,5</t>
    </r>
    <r>
      <rPr>
        <sz val="10"/>
        <color theme="1"/>
        <rFont val="Calibri"/>
        <family val="2"/>
        <charset val="238"/>
        <scheme val="minor"/>
      </rPr>
      <t>)</t>
    </r>
  </si>
  <si>
    <t>L04AC07</t>
  </si>
  <si>
    <t>IL-6i</t>
  </si>
  <si>
    <r>
      <rPr>
        <u/>
        <sz val="8"/>
        <color theme="1"/>
        <rFont val="Calibri"/>
        <family val="2"/>
        <charset val="238"/>
        <scheme val="minor"/>
      </rPr>
      <t xml:space="preserve">v kombinaci s methotrexátem k léčbě středně těžké až těžké formy revmatoidní artritidy </t>
    </r>
    <r>
      <rPr>
        <sz val="8"/>
        <color theme="1"/>
        <rFont val="Calibri"/>
        <family val="2"/>
        <charset val="238"/>
        <scheme val="minor"/>
      </rPr>
      <t xml:space="preserve">u dospělých pacientů, kteří neměli dostačující léčebnou odpověď na léčbu methotrexátem, leflunomidem nebo sulfasalazinem </t>
    </r>
    <r>
      <rPr>
        <u/>
        <sz val="8"/>
        <color theme="1"/>
        <rFont val="Calibri"/>
        <family val="2"/>
        <charset val="238"/>
        <scheme val="minor"/>
      </rPr>
      <t>a alespoň jedním přípravkem ze skupiny inhibitorů TNF.</t>
    </r>
    <r>
      <rPr>
        <sz val="8"/>
        <color theme="1"/>
        <rFont val="Calibri"/>
        <family val="2"/>
        <charset val="238"/>
        <scheme val="minor"/>
      </rPr>
      <t xml:space="preserve"> U těchto pacientů se tocilizumab </t>
    </r>
    <r>
      <rPr>
        <u/>
        <sz val="8"/>
        <color theme="1"/>
        <rFont val="Calibri"/>
        <family val="2"/>
        <charset val="238"/>
        <scheme val="minor"/>
      </rPr>
      <t>může podávat v monoterapii</t>
    </r>
    <r>
      <rPr>
        <sz val="8"/>
        <color theme="1"/>
        <rFont val="Calibri"/>
        <family val="2"/>
        <charset val="238"/>
        <scheme val="minor"/>
      </rPr>
      <t xml:space="preserve"> v případě intolerance methotrexátu nebo v případě, že pokračující léčba methotrexátem je nevhodná.</t>
    </r>
  </si>
  <si>
    <r>
      <t>nutnost předchozího užívání iTNFα (kromě csDMARD) pro nasazení léku dle úhrad v ČR</t>
    </r>
    <r>
      <rPr>
        <vertAlign val="superscript"/>
        <sz val="8"/>
        <rFont val="Arial"/>
        <family val="2"/>
        <charset val="238"/>
      </rPr>
      <t>1</t>
    </r>
  </si>
  <si>
    <r>
      <t xml:space="preserve">ANO                              </t>
    </r>
    <r>
      <rPr>
        <sz val="8"/>
        <color theme="1"/>
        <rFont val="Calibri"/>
        <family val="2"/>
        <charset val="238"/>
        <scheme val="minor"/>
      </rPr>
      <t xml:space="preserve"> (od DAS28 ≥ 5,1 v komb.s MTX-dále viz sloupec P)</t>
    </r>
  </si>
  <si>
    <r>
      <t xml:space="preserve">ANO                                         </t>
    </r>
    <r>
      <rPr>
        <sz val="8"/>
        <color theme="1"/>
        <rFont val="Calibri"/>
        <family val="2"/>
        <charset val="238"/>
        <scheme val="minor"/>
      </rPr>
      <t xml:space="preserve"> (viz sloupec P)</t>
    </r>
  </si>
  <si>
    <r>
      <t>možnost monoterapie dle úhrad v ČR</t>
    </r>
    <r>
      <rPr>
        <vertAlign val="superscript"/>
        <sz val="8"/>
        <rFont val="Arial"/>
        <family val="2"/>
        <charset val="238"/>
      </rPr>
      <t>1</t>
    </r>
  </si>
  <si>
    <r>
      <rPr>
        <u/>
        <sz val="8"/>
        <color theme="1"/>
        <rFont val="Calibri"/>
        <family val="2"/>
        <charset val="238"/>
        <scheme val="minor"/>
      </rPr>
      <t>v kombinaci s methotrexátem</t>
    </r>
    <r>
      <rPr>
        <sz val="8"/>
        <color theme="1"/>
        <rFont val="Calibri"/>
        <family val="2"/>
        <charset val="238"/>
        <scheme val="minor"/>
      </rPr>
      <t xml:space="preserve"> je indikován: ● k léčbě středně těžké až těžké aktivní RA u dospělých pacientů, kteří na předchozí terapii jedním nebo více csDMARD nebo iTNF neodpovídali dostatečně, nebo ji netolerovali;  ● k léčbě těžké aktivní a progresivní revmatoidní artritidy u dospělých pacientů, kteří nebyli v minulosti léčeni methotrexátem.                                                                         </t>
    </r>
    <r>
      <rPr>
        <u/>
        <sz val="8"/>
        <color theme="1"/>
        <rFont val="Calibri"/>
        <family val="2"/>
        <charset val="238"/>
        <scheme val="minor"/>
      </rPr>
      <t>Je možné jej podávat v monoterapii</t>
    </r>
    <r>
      <rPr>
        <sz val="8"/>
        <color theme="1"/>
        <rFont val="Calibri"/>
        <family val="2"/>
        <charset val="238"/>
        <scheme val="minor"/>
      </rPr>
      <t xml:space="preserve"> při intoleranci methotrexátu nebo v případech, kdy pokračování v léčbě methotrexátem není vhodné.</t>
    </r>
  </si>
  <si>
    <r>
      <t xml:space="preserve">Doporučená dávka je </t>
    </r>
    <r>
      <rPr>
        <u/>
        <sz val="8"/>
        <color theme="1"/>
        <rFont val="Calibri"/>
        <family val="2"/>
        <charset val="238"/>
        <scheme val="minor"/>
      </rPr>
      <t>8 mg/kg tělesné hmotnosti, podaná jednou za čtyři týdny</t>
    </r>
    <r>
      <rPr>
        <sz val="8"/>
        <color theme="1"/>
        <rFont val="Calibri"/>
        <family val="2"/>
        <charset val="238"/>
        <scheme val="minor"/>
      </rPr>
      <t xml:space="preserve">. U pacientů, jejichž tělesná hmotnost je vyšší než 100 kg, se dávky přesahující 800 mg/infuzi nedoporučují </t>
    </r>
  </si>
  <si>
    <t>Roche</t>
  </si>
  <si>
    <t>RoActemra 162 mg inj sol 4x 0,9 ml</t>
  </si>
  <si>
    <r>
      <t xml:space="preserve">Doporučená dávka je </t>
    </r>
    <r>
      <rPr>
        <u/>
        <sz val="8"/>
        <color theme="1"/>
        <rFont val="Calibri"/>
        <family val="2"/>
        <charset val="238"/>
        <scheme val="minor"/>
      </rPr>
      <t>162 mg podaná subkutánně, jedenkrát týdně</t>
    </r>
    <r>
      <rPr>
        <sz val="8"/>
        <color theme="1"/>
        <rFont val="Calibri"/>
        <family val="2"/>
        <charset val="238"/>
        <scheme val="minor"/>
      </rPr>
      <t xml:space="preserve">.
</t>
    </r>
  </si>
  <si>
    <r>
      <t>RoActemra 162 mg inj sol 4x 0,9 ml</t>
    </r>
    <r>
      <rPr>
        <sz val="8"/>
        <color theme="1"/>
        <rFont val="Calibri"/>
        <family val="2"/>
        <charset val="238"/>
        <scheme val="minor"/>
      </rPr>
      <t xml:space="preserve">  </t>
    </r>
    <r>
      <rPr>
        <sz val="10"/>
        <color theme="1"/>
        <rFont val="Calibri"/>
        <family val="2"/>
        <charset val="238"/>
        <scheme val="minor"/>
      </rPr>
      <t>(monoterapie</t>
    </r>
    <r>
      <rPr>
        <vertAlign val="superscript"/>
        <sz val="10"/>
        <color theme="1"/>
        <rFont val="Calibri"/>
        <family val="2"/>
        <charset val="238"/>
        <scheme val="minor"/>
      </rPr>
      <t>3,5</t>
    </r>
    <r>
      <rPr>
        <sz val="10"/>
        <color theme="1"/>
        <rFont val="Calibri"/>
        <family val="2"/>
        <charset val="238"/>
        <scheme val="minor"/>
      </rPr>
      <t>)</t>
    </r>
  </si>
  <si>
    <t>Kevzara 200 mg in sol 2x1,14 ml</t>
  </si>
  <si>
    <t>sarilumab</t>
  </si>
  <si>
    <t>L04AC14</t>
  </si>
  <si>
    <r>
      <rPr>
        <u/>
        <sz val="8"/>
        <color theme="1"/>
        <rFont val="Calibri"/>
        <family val="2"/>
        <charset val="238"/>
        <scheme val="minor"/>
      </rPr>
      <t xml:space="preserve">v kombinaci s methotrexátem k léčbě středně těžké až těžké formy revmatoidní artritidy </t>
    </r>
    <r>
      <rPr>
        <sz val="8"/>
        <color theme="1"/>
        <rFont val="Calibri"/>
        <family val="2"/>
        <charset val="238"/>
        <scheme val="minor"/>
      </rPr>
      <t xml:space="preserve">u dospělých pacientů, kteří neměli dostačující léčebnou odpověď na léčbu methotrexátem, leflunomidem nebo sulfasalazinem </t>
    </r>
    <r>
      <rPr>
        <u/>
        <sz val="8"/>
        <color theme="1"/>
        <rFont val="Calibri"/>
        <family val="2"/>
        <charset val="238"/>
        <scheme val="minor"/>
      </rPr>
      <t>a alespoň jedním přípravkem ze skupiny inhibitorů TNF.</t>
    </r>
    <r>
      <rPr>
        <sz val="8"/>
        <color theme="1"/>
        <rFont val="Calibri"/>
        <family val="2"/>
        <charset val="238"/>
        <scheme val="minor"/>
      </rPr>
      <t xml:space="preserve">  </t>
    </r>
    <r>
      <rPr>
        <u/>
        <sz val="8"/>
        <color theme="1"/>
        <rFont val="Calibri"/>
        <family val="2"/>
        <charset val="238"/>
        <scheme val="minor"/>
      </rPr>
      <t>Terapie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xml:space="preserve"> Jestliže remise nebo nízké aktivity onemocnění není během 6 měsíců dosaženo, nebo dojde-li k poklesu účinnosti zavedené terapie při následných kontrolách v intervalu 3 měsíců, léčba sarilumabem je ukončena a při přetrvávající aktivitě onemocnění je pacient přímo převeden na jiný přípravek biologické léčby. M</t>
    </r>
    <r>
      <rPr>
        <u/>
        <sz val="8"/>
        <color theme="1"/>
        <rFont val="Calibri"/>
        <family val="2"/>
        <charset val="238"/>
        <scheme val="minor"/>
      </rPr>
      <t>ůže se podávat v monoterapii</t>
    </r>
    <r>
      <rPr>
        <sz val="8"/>
        <color theme="1"/>
        <rFont val="Calibri"/>
        <family val="2"/>
        <charset val="238"/>
        <scheme val="minor"/>
      </rPr>
      <t xml:space="preserve"> v případě intolerance methotrexátu nebo v případě, že pokračující léčba methotrexátem je nevhodná.</t>
    </r>
  </si>
  <si>
    <r>
      <rPr>
        <u/>
        <sz val="8"/>
        <color theme="1"/>
        <rFont val="Calibri"/>
        <family val="2"/>
        <charset val="238"/>
        <scheme val="minor"/>
      </rPr>
      <t>v kombinaci s methotrexátem</t>
    </r>
    <r>
      <rPr>
        <sz val="8"/>
        <color theme="1"/>
        <rFont val="Calibri"/>
        <family val="2"/>
        <charset val="238"/>
        <scheme val="minor"/>
      </rPr>
      <t xml:space="preserve"> je indiková k léčbě středně těžké až těžké aktivní RA u dospělých pacientů, kteří na předchozí terapii jedním nebo více DMARD neodpovídali dostatečně, nebo ji netolerovali.                                                                         </t>
    </r>
    <r>
      <rPr>
        <u/>
        <sz val="8"/>
        <color theme="1"/>
        <rFont val="Calibri"/>
        <family val="2"/>
        <charset val="238"/>
        <scheme val="minor"/>
      </rPr>
      <t>Je možné jej podávat v monoterapii</t>
    </r>
    <r>
      <rPr>
        <sz val="8"/>
        <color theme="1"/>
        <rFont val="Calibri"/>
        <family val="2"/>
        <charset val="238"/>
        <scheme val="minor"/>
      </rPr>
      <t xml:space="preserve"> při intoleranci methotrexátu nebo v případech, kdy pokračování v léčbě methotrexátem není vhodné.</t>
    </r>
  </si>
  <si>
    <r>
      <t>Kevzara 200 mg in sol 2x1,14 ml</t>
    </r>
    <r>
      <rPr>
        <sz val="8"/>
        <color theme="1"/>
        <rFont val="Calibri"/>
        <family val="2"/>
        <charset val="238"/>
        <scheme val="minor"/>
      </rPr>
      <t xml:space="preserve">  </t>
    </r>
    <r>
      <rPr>
        <sz val="10"/>
        <color theme="1"/>
        <rFont val="Calibri"/>
        <family val="2"/>
        <charset val="238"/>
        <scheme val="minor"/>
      </rPr>
      <t>(monoterapie</t>
    </r>
    <r>
      <rPr>
        <vertAlign val="superscript"/>
        <sz val="10"/>
        <color theme="1"/>
        <rFont val="Calibri"/>
        <family val="2"/>
        <charset val="238"/>
        <scheme val="minor"/>
      </rPr>
      <t>3,5</t>
    </r>
    <r>
      <rPr>
        <sz val="10"/>
        <color theme="1"/>
        <rFont val="Calibri"/>
        <family val="2"/>
        <charset val="238"/>
        <scheme val="minor"/>
      </rPr>
      <t>)</t>
    </r>
  </si>
  <si>
    <r>
      <t xml:space="preserve">Doporučená dávka je </t>
    </r>
    <r>
      <rPr>
        <u/>
        <sz val="8"/>
        <color theme="1"/>
        <rFont val="Calibri"/>
        <family val="2"/>
        <charset val="238"/>
        <scheme val="minor"/>
      </rPr>
      <t>200 mg každé 2 týdny</t>
    </r>
    <r>
      <rPr>
        <sz val="8"/>
        <color theme="1"/>
        <rFont val="Calibri"/>
        <family val="2"/>
        <charset val="238"/>
        <scheme val="minor"/>
      </rPr>
      <t xml:space="preserve"> a podává se formou subkutánní injekce.</t>
    </r>
  </si>
  <si>
    <t>Sanofi-Aventis</t>
  </si>
  <si>
    <r>
      <rPr>
        <b/>
        <sz val="9"/>
        <rFont val="Arial"/>
        <family val="2"/>
        <charset val="238"/>
      </rPr>
      <t xml:space="preserve">indikace </t>
    </r>
    <r>
      <rPr>
        <sz val="9"/>
        <rFont val="Arial"/>
        <family val="2"/>
        <charset val="238"/>
      </rPr>
      <t>v ČR dle SPC  k datu 18.8.2020</t>
    </r>
    <r>
      <rPr>
        <vertAlign val="superscript"/>
        <sz val="9"/>
        <rFont val="Arial"/>
        <family val="2"/>
        <charset val="238"/>
      </rPr>
      <t>1</t>
    </r>
  </si>
  <si>
    <r>
      <t>úhradové omezení v ČR k datu 18.8.2020</t>
    </r>
    <r>
      <rPr>
        <b/>
        <vertAlign val="superscript"/>
        <sz val="9"/>
        <rFont val="Arial"/>
        <family val="2"/>
        <charset val="238"/>
      </rPr>
      <t>1</t>
    </r>
  </si>
  <si>
    <t>rituximab</t>
  </si>
  <si>
    <t>L01XC02</t>
  </si>
  <si>
    <t>anti-CD20</t>
  </si>
  <si>
    <r>
      <rPr>
        <u/>
        <sz val="8"/>
        <color theme="1"/>
        <rFont val="Calibri"/>
        <family val="2"/>
        <charset val="238"/>
        <scheme val="minor"/>
      </rPr>
      <t>Cyklus léčby spočívá v podání i.v. infuze 1000 mg s odstupem 2 týdnů.</t>
    </r>
    <r>
      <rPr>
        <sz val="8"/>
        <color theme="1"/>
        <rFont val="Calibri"/>
        <family val="2"/>
        <charset val="238"/>
        <scheme val="minor"/>
      </rPr>
      <t xml:space="preserve"> Nutnost dalších cyklů léčby je třeba zhodnotit za 24 týdnů po předchozím cyklu. Opakovanou léčbu je třeba zahájit tehdy, pokud reziduální aktivita onemocnění přetrvává, v opačném případě je třeba opakování léčby odložit až do návratu aktivity onemocnění. Dostupné údaje naznačují, že klinické odpovědi se obvykle dosáhne během 16-24 týdnů úvodního léčebného cyklu. U pacientů, kteří v průběhu tohoto období nevykazují žádné známky prospěchu z léčby, je třeba pokračování v léčbě pečlivě zvážit.</t>
    </r>
  </si>
  <si>
    <r>
      <rPr>
        <u/>
        <sz val="8"/>
        <color theme="1"/>
        <rFont val="Calibri"/>
        <family val="2"/>
        <charset val="238"/>
        <scheme val="minor"/>
      </rPr>
      <t>v kombinaci s methotrexátem</t>
    </r>
    <r>
      <rPr>
        <sz val="8"/>
        <color theme="1"/>
        <rFont val="Calibri"/>
        <family val="2"/>
        <charset val="238"/>
        <scheme val="minor"/>
      </rPr>
      <t xml:space="preserve"> indikován k léčbě dospělých pacientů s těžkou aktivní RA, kteří na léčbu dalšími DMARD, včetně jedné či více terapií iTNF, odpovídali nedostatečně nebo léčbu netolerovali</t>
    </r>
  </si>
  <si>
    <r>
      <t xml:space="preserve">u </t>
    </r>
    <r>
      <rPr>
        <u/>
        <sz val="8"/>
        <color theme="1"/>
        <rFont val="Calibri"/>
        <family val="2"/>
        <charset val="238"/>
        <scheme val="minor"/>
      </rPr>
      <t>těžké aktivní revmatoidní artritidy v kombinaci s metotrexátem</t>
    </r>
    <r>
      <rPr>
        <sz val="8"/>
        <color theme="1"/>
        <rFont val="Calibri"/>
        <family val="2"/>
        <charset val="238"/>
        <scheme val="minor"/>
      </rPr>
      <t xml:space="preserve"> u dospělých pacientů, kteří neměli dostačující léčebnou odpověď na léčbu metotrexátem, leflunomidem nebo sulfasalazinem </t>
    </r>
    <r>
      <rPr>
        <u/>
        <sz val="8"/>
        <color theme="1"/>
        <rFont val="Calibri"/>
        <family val="2"/>
        <charset val="238"/>
        <scheme val="minor"/>
      </rPr>
      <t>a alespoň jedním přípravkem ze skupiny inhibitorů TNF</t>
    </r>
    <r>
      <rPr>
        <sz val="8"/>
        <color theme="1"/>
        <rFont val="Calibri"/>
        <family val="2"/>
        <charset val="238"/>
        <scheme val="minor"/>
      </rPr>
      <t xml:space="preserve">, nebo tuto léčbu netolerovali.  </t>
    </r>
    <r>
      <rPr>
        <u/>
        <sz val="8"/>
        <color theme="1"/>
        <rFont val="Calibri"/>
        <family val="2"/>
        <charset val="238"/>
        <scheme val="minor"/>
      </rPr>
      <t>Terapie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xml:space="preserve"> Jestliže remise nebo nízké aktivity onemocnění není během 6 měsíců dosaženo, nebo dojde-li k poklesu účinnosti zavedené terapie při následných kontrolách v intervalu 3 měsíců, léčba rituximabem je ukončena a při přetrvávající aktivitě onemocnění je pacient přímo převeden na jiný přípravek biologické léčby</t>
    </r>
  </si>
  <si>
    <r>
      <t xml:space="preserve">u </t>
    </r>
    <r>
      <rPr>
        <u/>
        <sz val="8"/>
        <color rgb="FF000000"/>
        <rFont val="Calibri"/>
        <family val="2"/>
        <charset val="238"/>
        <scheme val="minor"/>
      </rPr>
      <t>těžké aktivní revmatoidní arthritidy v kombinaci s methotrexátem</t>
    </r>
    <r>
      <rPr>
        <sz val="8"/>
        <color rgb="FF000000"/>
        <rFont val="Calibri"/>
        <family val="2"/>
        <charset val="238"/>
        <scheme val="minor"/>
      </rPr>
      <t xml:space="preserve"> u dospělých pacientů, kteří vykazovali nepřiměřenou reakci nebo nesnášenlivost na terapii DMARD, </t>
    </r>
    <r>
      <rPr>
        <u/>
        <sz val="8"/>
        <color rgb="FF000000"/>
        <rFont val="Calibri"/>
        <family val="2"/>
        <charset val="238"/>
        <scheme val="minor"/>
      </rPr>
      <t>včetně jedné nebo více terapií iTNF</t>
    </r>
    <r>
      <rPr>
        <sz val="8"/>
        <color rgb="FF000000"/>
        <rFont val="Calibri"/>
        <family val="2"/>
        <charset val="238"/>
        <scheme val="minor"/>
      </rPr>
      <t>.</t>
    </r>
  </si>
  <si>
    <t>abatacept</t>
  </si>
  <si>
    <r>
      <rPr>
        <u/>
        <sz val="8"/>
        <color theme="1"/>
        <rFont val="Calibri"/>
        <family val="2"/>
        <charset val="238"/>
        <scheme val="minor"/>
      </rPr>
      <t xml:space="preserve"> v kombinaci s methotrexátem k léčbě středně těžké až těžké formy revmatoidní artritidy </t>
    </r>
    <r>
      <rPr>
        <sz val="8"/>
        <color theme="1"/>
        <rFont val="Calibri"/>
        <family val="2"/>
        <charset val="238"/>
        <scheme val="minor"/>
      </rPr>
      <t xml:space="preserve">u dospělých pacientů, kteří neměli dostačující léčebnou odpověď na léčbu methotrexátem, leflunomidem nebo sulfasalazinem </t>
    </r>
    <r>
      <rPr>
        <u/>
        <sz val="8"/>
        <color theme="1"/>
        <rFont val="Calibri"/>
        <family val="2"/>
        <charset val="238"/>
        <scheme val="minor"/>
      </rPr>
      <t>a alespoň jedním přípravkem ze skupiny inhibitorů TNF.</t>
    </r>
  </si>
  <si>
    <r>
      <rPr>
        <u/>
        <sz val="8"/>
        <color theme="1"/>
        <rFont val="Calibri"/>
        <family val="2"/>
        <charset val="238"/>
        <scheme val="minor"/>
      </rPr>
      <t>v kombinaci s methotrexátem</t>
    </r>
    <r>
      <rPr>
        <sz val="8"/>
        <color theme="1"/>
        <rFont val="Calibri"/>
        <family val="2"/>
        <charset val="238"/>
        <scheme val="minor"/>
      </rPr>
      <t xml:space="preserve"> je indikován: ● léčbě středně těžké až těžké aktivní revmatoidní artritidy (RA) u dospělých pacientů, kteří dostatečně neodpovídali na předchozí léčbu jedním nebo více DMARDs včetně methotrexátu (MTX) anebo iTNF;  ● léčbě vysoce aktivní a progredující choroby u dospělých pacientů s revmatoidní artritidou bez předchozí léčby methotrexátem.</t>
    </r>
  </si>
  <si>
    <r>
      <t xml:space="preserve">Orencia 250 mg inf plv 1 </t>
    </r>
    <r>
      <rPr>
        <sz val="8"/>
        <color theme="1"/>
        <rFont val="Calibri"/>
        <family val="2"/>
        <charset val="238"/>
        <scheme val="minor"/>
      </rPr>
      <t>(výpočet ceny pro 80 kg člověka)</t>
    </r>
  </si>
  <si>
    <r>
      <rPr>
        <u/>
        <sz val="8"/>
        <color theme="1"/>
        <rFont val="Calibri"/>
        <family val="2"/>
        <charset val="238"/>
        <scheme val="minor"/>
      </rPr>
      <t>750 mg v i.v.infuzi. Po první aplikaci se dále aplikuje po 2 a 4 týdnech od první infuze a poté vždy po 4 týdnech</t>
    </r>
    <r>
      <rPr>
        <sz val="8"/>
        <color theme="1"/>
        <rFont val="Calibri"/>
        <family val="2"/>
        <charset val="238"/>
        <scheme val="minor"/>
      </rPr>
      <t>.</t>
    </r>
  </si>
  <si>
    <t>Bristol-Myers Squibb</t>
  </si>
  <si>
    <t>L04AA24</t>
  </si>
  <si>
    <t>inhibitor kostimulace</t>
  </si>
  <si>
    <r>
      <rPr>
        <u/>
        <sz val="8"/>
        <color theme="1"/>
        <rFont val="Calibri"/>
        <family val="2"/>
        <charset val="238"/>
        <scheme val="minor"/>
      </rPr>
      <t>jednou týdně v dávce 125 mg</t>
    </r>
    <r>
      <rPr>
        <sz val="8"/>
        <color theme="1"/>
        <rFont val="Calibri"/>
        <family val="2"/>
        <charset val="238"/>
        <scheme val="minor"/>
      </rPr>
      <t xml:space="preserve"> abataceptu subkutánní injekcí, bez ohledu na hmotnost </t>
    </r>
  </si>
  <si>
    <t>Orencia 125 mg in sol 4x1 ml</t>
  </si>
  <si>
    <t>tsDMARD</t>
  </si>
  <si>
    <t>p.o.</t>
  </si>
  <si>
    <r>
      <rPr>
        <u/>
        <sz val="8"/>
        <color theme="1"/>
        <rFont val="Calibri"/>
        <family val="2"/>
        <charset val="238"/>
        <scheme val="minor"/>
      </rPr>
      <t>v kombinaci s methotrexátem</t>
    </r>
    <r>
      <rPr>
        <sz val="8"/>
        <color theme="1"/>
        <rFont val="Calibri"/>
        <family val="2"/>
        <charset val="238"/>
        <scheme val="minor"/>
      </rPr>
      <t xml:space="preserve"> (MTX) k léčbě středně těžké až těžké aktivní RA u dospělých pacientů, kteří dostatečně neodpovídali na jedno, případně i více DMARD, nebo je netolerovali. Tofacitinib </t>
    </r>
    <r>
      <rPr>
        <u/>
        <sz val="8"/>
        <color theme="1"/>
        <rFont val="Calibri"/>
        <family val="2"/>
        <charset val="238"/>
        <scheme val="minor"/>
      </rPr>
      <t>lze podávat jako monoterapii</t>
    </r>
    <r>
      <rPr>
        <sz val="8"/>
        <color theme="1"/>
        <rFont val="Calibri"/>
        <family val="2"/>
        <charset val="238"/>
        <scheme val="minor"/>
      </rPr>
      <t xml:space="preserve"> v případě intolerance MTX, nebo pokud léčba MTX není vhodná.</t>
    </r>
  </si>
  <si>
    <r>
      <t>Xeljanz 5 mg tbl flm 182</t>
    </r>
    <r>
      <rPr>
        <sz val="8"/>
        <color theme="1"/>
        <rFont val="Calibri"/>
        <family val="2"/>
        <charset val="238"/>
        <scheme val="minor"/>
      </rPr>
      <t xml:space="preserve">  </t>
    </r>
    <r>
      <rPr>
        <sz val="10"/>
        <color theme="1"/>
        <rFont val="Calibri"/>
        <family val="2"/>
        <charset val="238"/>
        <scheme val="minor"/>
      </rPr>
      <t>(monoterapie</t>
    </r>
    <r>
      <rPr>
        <vertAlign val="superscript"/>
        <sz val="10"/>
        <color theme="1"/>
        <rFont val="Calibri"/>
        <family val="2"/>
        <charset val="238"/>
        <scheme val="minor"/>
      </rPr>
      <t>3,5</t>
    </r>
    <r>
      <rPr>
        <sz val="10"/>
        <color theme="1"/>
        <rFont val="Calibri"/>
        <family val="2"/>
        <charset val="238"/>
        <scheme val="minor"/>
      </rPr>
      <t>)</t>
    </r>
  </si>
  <si>
    <t>Xeljanz 5 mg tbl flm 182</t>
  </si>
  <si>
    <t>tofacitinib</t>
  </si>
  <si>
    <t>L04AA29</t>
  </si>
  <si>
    <t>JAKi</t>
  </si>
  <si>
    <r>
      <t xml:space="preserve">v terapii dospělých pacientů </t>
    </r>
    <r>
      <rPr>
        <u/>
        <sz val="8"/>
        <color theme="1"/>
        <rFont val="Calibri"/>
        <family val="2"/>
        <charset val="238"/>
        <scheme val="minor"/>
      </rPr>
      <t>s RA s vysokou aktivitou choroby (DAS28 &gt;= 5,1)</t>
    </r>
    <r>
      <rPr>
        <sz val="8"/>
        <color theme="1"/>
        <rFont val="Calibri"/>
        <family val="2"/>
        <charset val="238"/>
        <scheme val="minor"/>
      </rPr>
      <t xml:space="preserve">, kteří dostatečně neodpovídali na léčbu methotrexátem, leflunomidem nebo sulfasalazinem (při podávání po dobu nejméně 6 měsíců) nebo na předchozí biologickou léčbu (při podávání po dobu nejméně 3 měsíců), nebo je netolerovali. </t>
    </r>
    <r>
      <rPr>
        <u/>
        <sz val="8"/>
        <color theme="1"/>
        <rFont val="Calibri"/>
        <family val="2"/>
        <charset val="238"/>
        <scheme val="minor"/>
      </rPr>
      <t>Terapie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xml:space="preserve"> Jestliže remise nebo nízké aktivity onemocnění není během 6 měsíců dosaženo, nebo dojde-li k poklesu účinnosti zavedené terapie při následných kontrolách v intervalu 3 měsíců, léčba je ukončena a při přetrvávající aktivitě onemocnění je pacient přímo převeden na jiný přípravek biologické léčby. Tofacitinib se podává </t>
    </r>
    <r>
      <rPr>
        <u/>
        <sz val="8"/>
        <color theme="1"/>
        <rFont val="Calibri"/>
        <family val="2"/>
        <charset val="238"/>
        <scheme val="minor"/>
      </rPr>
      <t xml:space="preserve">v kombinaci s methotrexátem, ale lze jej podávat i v monoterapii </t>
    </r>
    <r>
      <rPr>
        <sz val="8"/>
        <color theme="1"/>
        <rFont val="Calibri"/>
        <family val="2"/>
        <charset val="238"/>
        <scheme val="minor"/>
      </rPr>
      <t xml:space="preserve">při nesnášenlivosti methotrexátu nebo v případech, kdy pokračování v léčbě methotrexátem není možné.
</t>
    </r>
  </si>
  <si>
    <t>baricitinib</t>
  </si>
  <si>
    <t>upadacitinib</t>
  </si>
  <si>
    <t>L04AA37</t>
  </si>
  <si>
    <r>
      <t xml:space="preserve">v terapii dospělých pacientů </t>
    </r>
    <r>
      <rPr>
        <u/>
        <sz val="8"/>
        <color theme="1"/>
        <rFont val="Calibri"/>
        <family val="2"/>
        <charset val="238"/>
        <scheme val="minor"/>
      </rPr>
      <t>s RA s vysokou aktivitou choroby (DAS28 &gt;= 5,1)</t>
    </r>
    <r>
      <rPr>
        <sz val="8"/>
        <color theme="1"/>
        <rFont val="Calibri"/>
        <family val="2"/>
        <charset val="238"/>
        <scheme val="minor"/>
      </rPr>
      <t xml:space="preserve">, kteří dostatečně neodpovídali na léčbu methotrexátem, leflunomidem nebo sulfasalazinem (při podávání po dobu nejméně 6 měsíců) nebo na předchozí biologickou léčbu (při podávání po dobu nejméně 3 měsíců), nebo je netolerovali. </t>
    </r>
    <r>
      <rPr>
        <u/>
        <sz val="8"/>
        <color theme="1"/>
        <rFont val="Calibri"/>
        <family val="2"/>
        <charset val="238"/>
        <scheme val="minor"/>
      </rPr>
      <t>Terapie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xml:space="preserve"> Jestliže remise nebo nízké aktivity onemocnění není během 6 měsíců dosaženo, nebo dojde-li k poklesu účinnosti zavedené terapie při následných kontrolách v intervalu 3 měsíců, léčba je ukončena a při přetrvávající aktivitě onemocnění je pacient přímo převeden na jiný přípravek biologické léčby. </t>
    </r>
    <r>
      <rPr>
        <u/>
        <sz val="8"/>
        <color theme="1"/>
        <rFont val="Calibri"/>
        <family val="2"/>
        <charset val="238"/>
        <scheme val="minor"/>
      </rPr>
      <t>Podává se</t>
    </r>
    <r>
      <rPr>
        <sz val="8"/>
        <color theme="1"/>
        <rFont val="Calibri"/>
        <family val="2"/>
        <charset val="238"/>
        <scheme val="minor"/>
      </rPr>
      <t xml:space="preserve"> </t>
    </r>
    <r>
      <rPr>
        <u/>
        <sz val="8"/>
        <color theme="1"/>
        <rFont val="Calibri"/>
        <family val="2"/>
        <charset val="238"/>
        <scheme val="minor"/>
      </rPr>
      <t xml:space="preserve">v kombinaci s methotrexátem, ale lze jej podávat i v monoterapii </t>
    </r>
    <r>
      <rPr>
        <sz val="8"/>
        <color theme="1"/>
        <rFont val="Calibri"/>
        <family val="2"/>
        <charset val="238"/>
        <scheme val="minor"/>
      </rPr>
      <t xml:space="preserve">při nesnášenlivosti methotrexátu nebo v případech, kdy pokračování v léčbě methotrexátem není možné.
</t>
    </r>
  </si>
  <si>
    <r>
      <t xml:space="preserve">k léčbě středně závažné až závažné aktivní revmatoidní artritidy u dospělých pacientů, kteří neodpovídali dostatečně na jedno nebo více chorobu modifikujících antirevmatik, nebo je netolerovali. </t>
    </r>
    <r>
      <rPr>
        <u/>
        <sz val="8"/>
        <color theme="1"/>
        <rFont val="Calibri"/>
        <family val="2"/>
        <charset val="238"/>
        <scheme val="minor"/>
      </rPr>
      <t xml:space="preserve">Může být použit v monoterapii nebo v kombinaci s metotrexátem. </t>
    </r>
  </si>
  <si>
    <r>
      <rPr>
        <u/>
        <sz val="8"/>
        <color theme="1"/>
        <rFont val="Calibri"/>
        <family val="2"/>
        <charset val="238"/>
        <scheme val="minor"/>
      </rPr>
      <t>Doporučená dávka je 4 mg jednou denně</t>
    </r>
    <r>
      <rPr>
        <sz val="8"/>
        <color theme="1"/>
        <rFont val="Calibri"/>
        <family val="2"/>
        <charset val="238"/>
        <scheme val="minor"/>
      </rPr>
      <t xml:space="preserve">. Dávka 2 mg jednou denně je vhodná pro pacienty ve věku &gt;= 75 let a může být vhodná pro pacienty s chronickými nebo recidivujícími infekcemi v anamnéze. Dávku 2 mg jednou denně lze rovněž zvážit u pacientů, u kterých bylo dosaženo trvalé kontroly aktivity onemocnění při dávce 4 mg jednou denně a u kterých přichází v úvahu snižování dávky. U pacientů s clearance kreatininu od 30 do 60 ml/min je doporučená dávka 2 mg jednou denně. Použití se nedoporučuje u pacientů s clearance kreatininu &lt; 30 ml/min  </t>
    </r>
  </si>
  <si>
    <t>Eli Lilly</t>
  </si>
  <si>
    <r>
      <t xml:space="preserve">Doporučená dávka, která nemá být překročena, je </t>
    </r>
    <r>
      <rPr>
        <u/>
        <sz val="8"/>
        <color theme="1"/>
        <rFont val="Calibri"/>
        <family val="2"/>
        <charset val="238"/>
        <scheme val="minor"/>
      </rPr>
      <t>5 mg podávaných dvakrát denně</t>
    </r>
    <r>
      <rPr>
        <sz val="8"/>
        <color theme="1"/>
        <rFont val="Calibri"/>
        <family val="2"/>
        <charset val="238"/>
        <scheme val="minor"/>
      </rPr>
      <t xml:space="preserve">.  U pacientů s clearance kreatininu &lt; 30 ml/min je doporučená dávka 5 mg jednou denně. </t>
    </r>
  </si>
  <si>
    <t>L04AA44</t>
  </si>
  <si>
    <t>Rinvoq 15 mg tbl pro 28</t>
  </si>
  <si>
    <r>
      <t xml:space="preserve">v terapii dospělých pacientů </t>
    </r>
    <r>
      <rPr>
        <u/>
        <sz val="8"/>
        <color theme="1"/>
        <rFont val="Calibri"/>
        <family val="2"/>
        <charset val="238"/>
        <scheme val="minor"/>
      </rPr>
      <t>s RA s vysokou aktivitou choroby (DAS28 &gt;= 5,1)</t>
    </r>
    <r>
      <rPr>
        <sz val="8"/>
        <color theme="1"/>
        <rFont val="Calibri"/>
        <family val="2"/>
        <charset val="238"/>
        <scheme val="minor"/>
      </rPr>
      <t xml:space="preserve">, kteří dostatečně neodpovídali na léčbu methotrexátem, leflunomidem nebo sulfasalazinem (při podávání po dobu nejméně 6 měsíců) </t>
    </r>
    <r>
      <rPr>
        <u/>
        <sz val="8"/>
        <color theme="1"/>
        <rFont val="Calibri"/>
        <family val="2"/>
        <charset val="238"/>
        <scheme val="minor"/>
      </rPr>
      <t>a alespoň jedním přípravkem ze skupiny iTNF</t>
    </r>
    <r>
      <rPr>
        <sz val="8"/>
        <color theme="1"/>
        <rFont val="Calibri"/>
        <family val="2"/>
        <charset val="238"/>
        <scheme val="minor"/>
      </rPr>
      <t xml:space="preserve"> (při podávání po dobu nejméně 3 měsíců), nebo je netolerovali. </t>
    </r>
    <r>
      <rPr>
        <u/>
        <sz val="8"/>
        <color theme="1"/>
        <rFont val="Calibri"/>
        <family val="2"/>
        <charset val="238"/>
        <scheme val="minor"/>
      </rPr>
      <t>Terapie by měla vést k poklesu aktivity onemocnění během 3 měsíců léčby a k dosažení remise (DAS28 &lt; 2,6), nebo alespoň stavu nízké aktivity onemocnění (DAS28 &lt; 3,2) během 6 měsíců léčby.</t>
    </r>
    <r>
      <rPr>
        <sz val="8"/>
        <color theme="1"/>
        <rFont val="Calibri"/>
        <family val="2"/>
        <charset val="238"/>
        <scheme val="minor"/>
      </rPr>
      <t xml:space="preserve"> Jestliže remise nebo nízké aktivity onemocnění není během 6 měsíců dosaženo, nebo dojde-li k poklesu účinnosti zavedené terapie při následných kontrolách v intervalu 3 měsíců, léčba je ukončena a při přetrvávající aktivitě onemocnění je pacient přímo převeden na jiný přípravek biologické léčby. </t>
    </r>
    <r>
      <rPr>
        <u/>
        <sz val="8"/>
        <color theme="1"/>
        <rFont val="Calibri"/>
        <family val="2"/>
        <charset val="238"/>
        <scheme val="minor"/>
      </rPr>
      <t>Podává se</t>
    </r>
    <r>
      <rPr>
        <sz val="8"/>
        <color theme="1"/>
        <rFont val="Calibri"/>
        <family val="2"/>
        <charset val="238"/>
        <scheme val="minor"/>
      </rPr>
      <t xml:space="preserve"> </t>
    </r>
    <r>
      <rPr>
        <u/>
        <sz val="8"/>
        <color theme="1"/>
        <rFont val="Calibri"/>
        <family val="2"/>
        <charset val="238"/>
        <scheme val="minor"/>
      </rPr>
      <t xml:space="preserve">v kombinaci s methotrexátem, ale lze jej podávat i v monoterapii </t>
    </r>
    <r>
      <rPr>
        <sz val="8"/>
        <color theme="1"/>
        <rFont val="Calibri"/>
        <family val="2"/>
        <charset val="238"/>
        <scheme val="minor"/>
      </rPr>
      <t xml:space="preserve">při nesnášenlivosti methotrexátu nebo v případech, kdy pokračování v léčbě methotrexátem není možné.
</t>
    </r>
  </si>
  <si>
    <r>
      <rPr>
        <u/>
        <sz val="8"/>
        <color theme="1"/>
        <rFont val="Calibri"/>
        <family val="2"/>
        <charset val="238"/>
        <scheme val="minor"/>
      </rPr>
      <t>Doporučená dávka je 15 mg jednou denně</t>
    </r>
    <r>
      <rPr>
        <sz val="8"/>
        <color theme="1"/>
        <rFont val="Calibri"/>
        <family val="2"/>
        <charset val="238"/>
        <scheme val="minor"/>
      </rPr>
      <t>.  Pacienti s těžkou poruchou funkce ledvin mají upadacitinib užívat se zvýšenou opatrností.</t>
    </r>
  </si>
  <si>
    <r>
      <t>Rinvoq 15 mg tbl pro 28</t>
    </r>
    <r>
      <rPr>
        <sz val="8"/>
        <color theme="1"/>
        <rFont val="Calibri"/>
        <family val="2"/>
        <charset val="238"/>
        <scheme val="minor"/>
      </rPr>
      <t xml:space="preserve"> </t>
    </r>
    <r>
      <rPr>
        <sz val="10"/>
        <color theme="1"/>
        <rFont val="Calibri"/>
        <family val="2"/>
        <charset val="238"/>
        <scheme val="minor"/>
      </rPr>
      <t>(monoterapie</t>
    </r>
    <r>
      <rPr>
        <vertAlign val="superscript"/>
        <sz val="10"/>
        <color theme="1"/>
        <rFont val="Calibri"/>
        <family val="2"/>
        <charset val="238"/>
        <scheme val="minor"/>
      </rPr>
      <t>3,5</t>
    </r>
    <r>
      <rPr>
        <sz val="10"/>
        <color theme="1"/>
        <rFont val="Calibri"/>
        <family val="2"/>
        <charset val="238"/>
        <scheme val="minor"/>
      </rPr>
      <t>)</t>
    </r>
  </si>
  <si>
    <r>
      <t xml:space="preserve">Remsima 100 mg inf plv 4 </t>
    </r>
    <r>
      <rPr>
        <sz val="8"/>
        <color theme="1"/>
        <rFont val="Calibri"/>
        <family val="2"/>
        <charset val="238"/>
        <scheme val="minor"/>
      </rPr>
      <t>(výpočet ceny pro 80 kg člověka)</t>
    </r>
  </si>
  <si>
    <r>
      <t xml:space="preserve">RoActemra 20mg/ml inf cnc sol 4x4 ml  </t>
    </r>
    <r>
      <rPr>
        <sz val="8"/>
        <color theme="1"/>
        <rFont val="Calibri"/>
        <family val="2"/>
        <charset val="238"/>
        <scheme val="minor"/>
      </rPr>
      <t>(výpočet ceny pro 80 kg člověka)</t>
    </r>
  </si>
  <si>
    <r>
      <t xml:space="preserve">RoActemra 20mg/ml inf cnc sol 4x4 ml  </t>
    </r>
    <r>
      <rPr>
        <sz val="8"/>
        <color theme="1"/>
        <rFont val="Calibri"/>
        <family val="2"/>
        <charset val="238"/>
        <scheme val="minor"/>
      </rPr>
      <t xml:space="preserve">(výpočet ceny pro 80 kg člověka)  </t>
    </r>
    <r>
      <rPr>
        <sz val="10"/>
        <color theme="1"/>
        <rFont val="Calibri"/>
        <family val="2"/>
        <charset val="238"/>
        <scheme val="minor"/>
      </rPr>
      <t>(monoterapie</t>
    </r>
    <r>
      <rPr>
        <vertAlign val="superscript"/>
        <sz val="10"/>
        <color theme="1"/>
        <rFont val="Calibri"/>
        <family val="2"/>
        <charset val="238"/>
        <scheme val="minor"/>
      </rPr>
      <t>3,5</t>
    </r>
    <r>
      <rPr>
        <sz val="10"/>
        <color theme="1"/>
        <rFont val="Calibri"/>
        <family val="2"/>
        <charset val="238"/>
        <scheme val="minor"/>
      </rPr>
      <t>)</t>
    </r>
  </si>
  <si>
    <t>jednotková cena (NC) s DPH k 18.8.2020</t>
  </si>
  <si>
    <t>jednotková cena (NC) s DPH při zohlednění obrat. bonusů k 18.8.2020</t>
  </si>
  <si>
    <r>
      <t xml:space="preserve">MabThera 500 mg inf cnc sol 1x50 ml </t>
    </r>
    <r>
      <rPr>
        <sz val="8"/>
        <color theme="1"/>
        <rFont val="Calibri"/>
        <family val="2"/>
        <charset val="238"/>
        <scheme val="minor"/>
      </rPr>
      <t>(výpočet ceny pro dávkování každých 24 týdnů)</t>
    </r>
  </si>
  <si>
    <r>
      <t xml:space="preserve">Rixathon 500 mg inf cnc sol 1x50 ml </t>
    </r>
    <r>
      <rPr>
        <sz val="8"/>
        <color theme="1"/>
        <rFont val="Calibri"/>
        <family val="2"/>
        <charset val="238"/>
        <scheme val="minor"/>
      </rPr>
      <t>(výpočet ceny pro dávkování každých 24 týdnů)</t>
    </r>
  </si>
  <si>
    <r>
      <t xml:space="preserve">Truxima 500 mg inf cnc sol 1x50 ml </t>
    </r>
    <r>
      <rPr>
        <sz val="8"/>
        <color theme="1"/>
        <rFont val="Calibri"/>
        <family val="2"/>
        <charset val="238"/>
        <scheme val="minor"/>
      </rPr>
      <t>(výpočet ceny pro dávkování každých 24 týdnů)</t>
    </r>
  </si>
  <si>
    <r>
      <t xml:space="preserve">Olumiant 4 mg tbl flm 35 </t>
    </r>
    <r>
      <rPr>
        <sz val="8"/>
        <color theme="1"/>
        <rFont val="Calibri"/>
        <family val="2"/>
        <charset val="238"/>
        <scheme val="minor"/>
      </rPr>
      <t>(výpočet ceny je pro dávkování 1x 4 mg po celou dobu)</t>
    </r>
  </si>
  <si>
    <r>
      <t>Olumiant 4 mg tbl flm 35</t>
    </r>
    <r>
      <rPr>
        <sz val="8"/>
        <color theme="1"/>
        <rFont val="Calibri"/>
        <family val="2"/>
        <charset val="238"/>
        <scheme val="minor"/>
      </rPr>
      <t xml:space="preserve"> (výpočet ceny je pro dávkování 1x 4 mg po celou dobu) </t>
    </r>
    <r>
      <rPr>
        <sz val="10"/>
        <color theme="1"/>
        <rFont val="Calibri"/>
        <family val="2"/>
        <charset val="238"/>
        <scheme val="minor"/>
      </rPr>
      <t>(monoterapie</t>
    </r>
    <r>
      <rPr>
        <vertAlign val="superscript"/>
        <sz val="10"/>
        <color theme="1"/>
        <rFont val="Calibri"/>
        <family val="2"/>
        <charset val="238"/>
        <scheme val="minor"/>
      </rPr>
      <t>3,5</t>
    </r>
    <r>
      <rPr>
        <sz val="10"/>
        <color theme="1"/>
        <rFont val="Calibri"/>
        <family val="2"/>
        <charset val="238"/>
        <scheme val="minor"/>
      </rPr>
      <t>)</t>
    </r>
  </si>
  <si>
    <r>
      <rPr>
        <vertAlign val="superscript"/>
        <sz val="9"/>
        <color theme="1"/>
        <rFont val="Calibri"/>
        <family val="2"/>
        <charset val="238"/>
        <scheme val="minor"/>
      </rPr>
      <t>4</t>
    </r>
    <r>
      <rPr>
        <sz val="9"/>
        <color theme="1"/>
        <rFont val="Calibri"/>
        <family val="2"/>
        <charset val="238"/>
        <scheme val="minor"/>
      </rPr>
      <t xml:space="preserve"> Při kombinaci přípravku s csDMARD je jako csDMARD brán </t>
    </r>
    <r>
      <rPr>
        <u/>
        <sz val="9"/>
        <color theme="1"/>
        <rFont val="Calibri"/>
        <family val="2"/>
        <charset val="238"/>
        <scheme val="minor"/>
      </rPr>
      <t>metotrexát v dávce 10mg 1xtýdně</t>
    </r>
    <r>
      <rPr>
        <sz val="9"/>
        <color theme="1"/>
        <rFont val="Calibri"/>
        <family val="2"/>
        <charset val="238"/>
        <scheme val="minor"/>
      </rPr>
      <t xml:space="preserve"> - jeho cena je aktuálně </t>
    </r>
    <r>
      <rPr>
        <u/>
        <sz val="9"/>
        <color theme="1"/>
        <rFont val="Calibri"/>
        <family val="2"/>
        <charset val="238"/>
        <scheme val="minor"/>
      </rPr>
      <t>154 Kč za 3 měsíce léčby</t>
    </r>
    <r>
      <rPr>
        <sz val="9"/>
        <color theme="1"/>
        <rFont val="Calibri"/>
        <family val="2"/>
        <charset val="238"/>
        <scheme val="minor"/>
      </rPr>
      <t xml:space="preserve"> - ta </t>
    </r>
    <r>
      <rPr>
        <b/>
        <u/>
        <sz val="9"/>
        <color theme="1"/>
        <rFont val="Calibri"/>
        <family val="2"/>
        <charset val="238"/>
        <scheme val="minor"/>
      </rPr>
      <t xml:space="preserve">není brána v potaz, protože při srovnání ceny nejlevnějšího přípravku za 3 měsíce s cenou metotrexátu, tato činí jen 1,2% ceny přípravku </t>
    </r>
    <r>
      <rPr>
        <sz val="9"/>
        <color theme="1"/>
        <rFont val="Calibri"/>
        <family val="2"/>
        <charset val="238"/>
        <scheme val="minor"/>
      </rPr>
      <t>!</t>
    </r>
  </si>
  <si>
    <r>
      <t xml:space="preserve">   Arthritis April 7, 2017) a JAKi (upadacitinib a tofacitinib - viz: Pope J, Sawant R, et al.  Adv Ther (2020) 37:2356–2372) </t>
    </r>
    <r>
      <rPr>
        <b/>
        <u/>
        <sz val="9"/>
        <color theme="1"/>
        <rFont val="Calibri"/>
        <family val="2"/>
        <charset val="238"/>
        <scheme val="minor"/>
      </rPr>
      <t xml:space="preserve">neukazovaly statisticky významné rozdíly účinností </t>
    </r>
    <r>
      <rPr>
        <u/>
        <sz val="9"/>
        <color theme="1"/>
        <rFont val="Calibri"/>
        <family val="2"/>
        <charset val="238"/>
        <scheme val="minor"/>
      </rPr>
      <t xml:space="preserve">ACR20 </t>
    </r>
    <r>
      <rPr>
        <sz val="9"/>
        <color theme="1"/>
        <rFont val="Calibri"/>
        <family val="2"/>
        <charset val="238"/>
        <scheme val="minor"/>
      </rPr>
      <t xml:space="preserve">nebo ještě lépe mezi jednotlivými látkami. Obě MNA nejsou komaparabilní, proto </t>
    </r>
    <r>
      <rPr>
        <b/>
        <u/>
        <sz val="9"/>
        <color theme="1"/>
        <rFont val="Calibri"/>
        <family val="2"/>
        <charset val="238"/>
        <scheme val="minor"/>
      </rPr>
      <t xml:space="preserve">hodnoty RR u </t>
    </r>
  </si>
  <si>
    <r>
      <rPr>
        <vertAlign val="superscript"/>
        <sz val="9"/>
        <color theme="1"/>
        <rFont val="Calibri"/>
        <family val="2"/>
        <charset val="238"/>
        <scheme val="minor"/>
      </rPr>
      <t>6</t>
    </r>
    <r>
      <rPr>
        <sz val="9"/>
        <color theme="1"/>
        <rFont val="Calibri"/>
        <family val="2"/>
        <charset val="238"/>
        <scheme val="minor"/>
      </rPr>
      <t xml:space="preserve"> Jako parametr účinnosti jsem vzal RR dosažení</t>
    </r>
    <r>
      <rPr>
        <u/>
        <sz val="9"/>
        <color theme="1"/>
        <rFont val="Calibri"/>
        <family val="2"/>
        <charset val="238"/>
        <scheme val="minor"/>
      </rPr>
      <t xml:space="preserve"> ACR20 </t>
    </r>
    <r>
      <rPr>
        <sz val="9"/>
        <color theme="1"/>
        <rFont val="Calibri"/>
        <family val="2"/>
        <charset val="238"/>
        <scheme val="minor"/>
      </rPr>
      <t>nebo ještě lépe u dané látky</t>
    </r>
    <r>
      <rPr>
        <u/>
        <sz val="9"/>
        <color theme="1"/>
        <rFont val="Calibri"/>
        <family val="2"/>
        <charset val="238"/>
        <scheme val="minor"/>
      </rPr>
      <t xml:space="preserve"> </t>
    </r>
    <r>
      <rPr>
        <b/>
        <u/>
        <sz val="9"/>
        <color theme="1"/>
        <rFont val="Calibri"/>
        <family val="2"/>
        <charset val="238"/>
        <scheme val="minor"/>
      </rPr>
      <t>s kombinací csDMARD</t>
    </r>
    <r>
      <rPr>
        <sz val="9"/>
        <color theme="1"/>
        <rFont val="Calibri"/>
        <family val="2"/>
        <charset val="238"/>
        <scheme val="minor"/>
      </rPr>
      <t xml:space="preserve"> </t>
    </r>
    <r>
      <rPr>
        <u/>
        <sz val="9"/>
        <color theme="1"/>
        <rFont val="Calibri"/>
        <family val="2"/>
        <charset val="238"/>
        <scheme val="minor"/>
      </rPr>
      <t>vůči rituximabu</t>
    </r>
    <r>
      <rPr>
        <sz val="9"/>
        <color theme="1"/>
        <rFont val="Calibri"/>
        <family val="2"/>
        <charset val="238"/>
        <scheme val="minor"/>
      </rPr>
      <t xml:space="preserve"> s csDMARD </t>
    </r>
    <r>
      <rPr>
        <b/>
        <u/>
        <sz val="9"/>
        <color theme="1"/>
        <rFont val="Calibri"/>
        <family val="2"/>
        <charset val="238"/>
        <scheme val="minor"/>
      </rPr>
      <t>(nejméně účinný)</t>
    </r>
    <r>
      <rPr>
        <sz val="9"/>
        <color theme="1"/>
        <rFont val="Calibri"/>
        <family val="2"/>
        <charset val="238"/>
        <scheme val="minor"/>
      </rPr>
      <t xml:space="preserve"> jako komparátoru dle: Institute for Clinical and Economic Review. Evidence Report: Targeted Immune Modulators </t>
    </r>
  </si>
  <si>
    <r>
      <t xml:space="preserve">  </t>
    </r>
    <r>
      <rPr>
        <b/>
        <sz val="9"/>
        <color theme="1"/>
        <rFont val="Calibri"/>
        <family val="2"/>
        <charset val="238"/>
        <scheme val="minor"/>
      </rPr>
      <t xml:space="preserve"> </t>
    </r>
    <r>
      <rPr>
        <b/>
        <u/>
        <sz val="9"/>
        <color theme="1"/>
        <rFont val="Calibri"/>
        <family val="2"/>
        <charset val="238"/>
        <scheme val="minor"/>
      </rPr>
      <t>jednotlivých látek pro monoterapii uvádím jen pro tocilizumab, sarilumab, adalimumab a etanercept vůči adalimumabu jako komparátoru (nejméně účinný)!!</t>
    </r>
  </si>
  <si>
    <r>
      <t>relativní účinnost</t>
    </r>
    <r>
      <rPr>
        <vertAlign val="superscript"/>
        <sz val="9"/>
        <rFont val="Arial"/>
        <family val="2"/>
        <charset val="238"/>
      </rPr>
      <t xml:space="preserve">5,6  </t>
    </r>
    <r>
      <rPr>
        <sz val="7"/>
        <rFont val="Arial"/>
        <family val="2"/>
        <charset val="238"/>
      </rPr>
      <t>(malým písmem je monoterapie)</t>
    </r>
  </si>
  <si>
    <r>
      <rPr>
        <vertAlign val="superscript"/>
        <sz val="9"/>
        <color theme="1"/>
        <rFont val="Calibri"/>
        <family val="2"/>
        <charset val="238"/>
        <scheme val="minor"/>
      </rPr>
      <t>7</t>
    </r>
    <r>
      <rPr>
        <sz val="9"/>
        <color theme="1"/>
        <rFont val="Calibri"/>
        <family val="2"/>
        <charset val="238"/>
        <scheme val="minor"/>
      </rPr>
      <t xml:space="preserve"> </t>
    </r>
    <r>
      <rPr>
        <u/>
        <sz val="9"/>
        <color theme="1"/>
        <rFont val="Calibri"/>
        <family val="2"/>
        <charset val="238"/>
        <scheme val="minor"/>
      </rPr>
      <t>Relativní poměr QALYs</t>
    </r>
    <r>
      <rPr>
        <sz val="9"/>
        <color theme="1"/>
        <rFont val="Calibri"/>
        <family val="2"/>
        <charset val="238"/>
        <scheme val="minor"/>
      </rPr>
      <t xml:space="preserve"> je u každé látky (v kombinaci s csDMARD) </t>
    </r>
    <r>
      <rPr>
        <u/>
        <sz val="9"/>
        <color theme="1"/>
        <rFont val="Calibri"/>
        <family val="2"/>
        <charset val="238"/>
        <scheme val="minor"/>
      </rPr>
      <t>vztažen vůči tofacitinibu (v kombinaci s csDMARD) jako komparátoru a to z celoživotního horizontu dle utilit z USA</t>
    </r>
    <r>
      <rPr>
        <u/>
        <sz val="9"/>
        <color theme="1"/>
        <rFont val="Calibri"/>
        <family val="2"/>
        <charset val="238"/>
      </rPr>
      <t>; u monoterapie je komparátorem adalimumab -</t>
    </r>
    <r>
      <rPr>
        <b/>
        <u/>
        <sz val="9"/>
        <color theme="1"/>
        <rFont val="Calibri"/>
        <family val="2"/>
        <charset val="238"/>
      </rPr>
      <t xml:space="preserve"> oba jsou nejméně utilitní.</t>
    </r>
    <r>
      <rPr>
        <sz val="9"/>
        <color theme="1"/>
        <rFont val="Calibri"/>
        <family val="2"/>
        <charset val="238"/>
      </rPr>
      <t xml:space="preserve"> Obojí</t>
    </r>
    <r>
      <rPr>
        <sz val="9"/>
        <color theme="1"/>
        <rFont val="Calibri"/>
        <family val="2"/>
        <charset val="238"/>
        <scheme val="minor"/>
      </rPr>
      <t xml:space="preserve"> dle:  Institute for </t>
    </r>
  </si>
  <si>
    <t xml:space="preserve">   Clinical and Economic Review.  Evidence Report: Targeted Immune Modulators for Rheumatoid Arthritis April 7, 2017</t>
  </si>
  <si>
    <r>
      <t>relativní poměr QALYs</t>
    </r>
    <r>
      <rPr>
        <vertAlign val="superscript"/>
        <sz val="8"/>
        <rFont val="Arial"/>
        <family val="2"/>
        <charset val="238"/>
      </rPr>
      <t xml:space="preserve">7 </t>
    </r>
    <r>
      <rPr>
        <sz val="7"/>
        <rFont val="Arial"/>
        <family val="2"/>
        <charset val="238"/>
      </rPr>
      <t>(malým písmem je monoterapie)</t>
    </r>
  </si>
  <si>
    <r>
      <t xml:space="preserve">nákladově nejefektivnější </t>
    </r>
    <r>
      <rPr>
        <i/>
        <sz val="9"/>
        <rFont val="Calibri"/>
        <family val="2"/>
        <charset val="238"/>
        <scheme val="minor"/>
      </rPr>
      <t>(monoterapie)</t>
    </r>
  </si>
  <si>
    <r>
      <t xml:space="preserve">nákladově nejefektivnější </t>
    </r>
    <r>
      <rPr>
        <i/>
        <u/>
        <sz val="9"/>
        <rFont val="Calibri"/>
        <family val="2"/>
        <charset val="238"/>
        <scheme val="minor"/>
      </rPr>
      <t>(monoterapie)</t>
    </r>
  </si>
  <si>
    <r>
      <t xml:space="preserve">nákladově nejužitečnější </t>
    </r>
    <r>
      <rPr>
        <i/>
        <sz val="9"/>
        <rFont val="Calibri"/>
        <family val="2"/>
        <charset val="238"/>
        <scheme val="minor"/>
      </rPr>
      <t>(monoterapie)</t>
    </r>
  </si>
  <si>
    <r>
      <t xml:space="preserve">linie léčby </t>
    </r>
    <r>
      <rPr>
        <sz val="7"/>
        <rFont val="Arial"/>
        <family val="2"/>
        <charset val="238"/>
      </rPr>
      <t>(s ohledem na výsledky FE analýzy a na úhrad. podmínky v ČR)</t>
    </r>
  </si>
  <si>
    <t>1. při kombinaci s MTX                                 (již od DAS28  &gt;3,2)</t>
  </si>
  <si>
    <t>1. při monoterapii                                 (již od DAS28  &gt;3,2)</t>
  </si>
  <si>
    <t>použít biosimilární Enbrel</t>
  </si>
  <si>
    <t>použít biosimilární Hyrimoz</t>
  </si>
  <si>
    <t>2. při kombinaci s MTX (pokud chci další iTNF)                                (až od DAS28 5,1 !!!)</t>
  </si>
  <si>
    <t>2. při kombinaci s MTX  (pokud chci další iTNF)                                   (již od DAS28  &gt;3,2)</t>
  </si>
  <si>
    <t>2. při monoterapii  (pokud chci další iTNF)                                   (již od DAS28  &gt;3,2)</t>
  </si>
  <si>
    <t>3. při monoterapii  (pokud chci další iTNF)                                   (již od DAS28  &gt;3,2)</t>
  </si>
  <si>
    <r>
      <t xml:space="preserve">1. při kombinaci s MTX  </t>
    </r>
    <r>
      <rPr>
        <b/>
        <u/>
        <sz val="9"/>
        <color theme="1"/>
        <rFont val="Calibri"/>
        <family val="2"/>
        <charset val="238"/>
        <scheme val="minor"/>
      </rPr>
      <t>(pokud chci nasadit bDMARD bez předchozího užívání csDMARD!!!)                 (až od DAS28 5,1 !!!)</t>
    </r>
  </si>
  <si>
    <t>3. při kombinaci s MTX  (pokud chci další iTNF)                                   (již od DAS28  &gt;3,2)</t>
  </si>
  <si>
    <t>2. při kombinaci s MTX (pokud již nechci 2. iTNF)                                (až od DAS28 5,1 !!!)</t>
  </si>
  <si>
    <t>3. při kombinaci s MTX (pokud již nechci 2. iTNF)                                (až od DAS28 5,1 !!!)</t>
  </si>
  <si>
    <t>2. při monoterapii (pokud již nechci 2. iTNF)                                (až od DAS28 5,1 !!!)</t>
  </si>
  <si>
    <t>2. při monoterapii (pokud již nechci 2. iTNF)                                 (již od DAS28  &gt;3,2)</t>
  </si>
  <si>
    <t>2. při kombinaci s MTX (pokud již nechci 2. iTNF)                                (již od DAS28  &gt;3,2)</t>
  </si>
  <si>
    <t>4. při kombinaci s MTX (pokud již nechci 2. iTNF)                                (až od DAS28 5,1 !!!)</t>
  </si>
  <si>
    <t>3. při monoterapii (pokud již nechci 2. iTNF)                                (až od DAS28 5,1 !!!)</t>
  </si>
  <si>
    <t>použít RoActemru s.c.</t>
  </si>
  <si>
    <t>použít biosimilární Rixathon</t>
  </si>
  <si>
    <t>použít Orenciu s.c.</t>
  </si>
  <si>
    <r>
      <rPr>
        <vertAlign val="superscript"/>
        <sz val="9"/>
        <color theme="1"/>
        <rFont val="Calibri"/>
        <family val="2"/>
        <charset val="238"/>
        <scheme val="minor"/>
      </rPr>
      <t>8</t>
    </r>
    <r>
      <rPr>
        <sz val="9"/>
        <color theme="1"/>
        <rFont val="Calibri"/>
        <family val="2"/>
        <charset val="238"/>
        <scheme val="minor"/>
      </rPr>
      <t xml:space="preserve"> Pro výpočet poměru cena/utilita (QALY)</t>
    </r>
    <r>
      <rPr>
        <vertAlign val="superscript"/>
        <sz val="9"/>
        <color theme="1"/>
        <rFont val="Calibri"/>
        <family val="2"/>
        <charset val="238"/>
        <scheme val="minor"/>
      </rPr>
      <t>7</t>
    </r>
    <r>
      <rPr>
        <sz val="9"/>
        <color theme="1"/>
        <rFont val="Calibri"/>
        <family val="2"/>
        <charset val="238"/>
        <scheme val="minor"/>
      </rPr>
      <t xml:space="preserve"> byl </t>
    </r>
    <r>
      <rPr>
        <u/>
        <sz val="9"/>
        <color theme="1"/>
        <rFont val="Calibri"/>
        <family val="2"/>
        <charset val="238"/>
        <scheme val="minor"/>
      </rPr>
      <t>pro ZJEDNODUŠENÍ použit předpoklad, že poměr QALY mezi jednotlivými léky zůstává v různém časovém úseku konstantní. Pro výpočet ceny byly použity jen náklady za přípravek !!!</t>
    </r>
    <r>
      <rPr>
        <sz val="9"/>
        <color theme="1"/>
        <rFont val="Calibri"/>
        <family val="2"/>
        <charset val="238"/>
        <scheme val="minor"/>
      </rPr>
      <t>, nebyly vzaty v potaz náklady na administraci,</t>
    </r>
  </si>
  <si>
    <r>
      <t>násobek poměru cena/účinnost</t>
    </r>
    <r>
      <rPr>
        <vertAlign val="superscript"/>
        <sz val="8"/>
        <rFont val="Arial"/>
        <family val="2"/>
        <charset val="238"/>
      </rPr>
      <t>9</t>
    </r>
    <r>
      <rPr>
        <sz val="8"/>
        <rFont val="Arial"/>
        <family val="2"/>
        <charset val="238"/>
      </rPr>
      <t xml:space="preserve"> vůči nákl. nejefekt. za první 3 měsíce se započtením bonusů - </t>
    </r>
    <r>
      <rPr>
        <b/>
        <sz val="8"/>
        <rFont val="Arial"/>
        <family val="2"/>
        <charset val="238"/>
      </rPr>
      <t>CEA</t>
    </r>
  </si>
  <si>
    <r>
      <t>násobek poměru cena/účinnost</t>
    </r>
    <r>
      <rPr>
        <vertAlign val="superscript"/>
        <sz val="8"/>
        <rFont val="Arial"/>
        <family val="2"/>
        <charset val="238"/>
      </rPr>
      <t>9</t>
    </r>
    <r>
      <rPr>
        <sz val="8"/>
        <rFont val="Arial"/>
        <family val="2"/>
        <charset val="238"/>
      </rPr>
      <t xml:space="preserve"> vůči nákl. nejefekt. za prvních 6 měsíců se započt. bonusů - </t>
    </r>
    <r>
      <rPr>
        <b/>
        <sz val="8"/>
        <rFont val="Arial"/>
        <family val="2"/>
        <charset val="238"/>
      </rPr>
      <t>CEA</t>
    </r>
  </si>
  <si>
    <r>
      <t>násobek poměru cena/utilita</t>
    </r>
    <r>
      <rPr>
        <vertAlign val="superscript"/>
        <sz val="8"/>
        <rFont val="Arial"/>
        <family val="2"/>
        <charset val="238"/>
      </rPr>
      <t>8,9</t>
    </r>
    <r>
      <rPr>
        <sz val="8"/>
        <rFont val="Arial"/>
        <family val="2"/>
        <charset val="238"/>
      </rPr>
      <t xml:space="preserve"> vůči nákl. nejužitečnějšímu za 1 rok udržov .léčby se započt. bonusů - </t>
    </r>
    <r>
      <rPr>
        <b/>
        <sz val="8"/>
        <rFont val="Arial"/>
        <family val="2"/>
        <charset val="238"/>
      </rPr>
      <t>CUA</t>
    </r>
  </si>
  <si>
    <t xml:space="preserve">  léčby pro NÚ se pohybovaly od 0,9 - 5 %, kromě sarilumabu (9,2%). Z dlouhodobých NÚ (vážné NÚ, vážné infekce) se z publikovaných dat mírné vymyká infliximab, který měl nejvyšší četnost (21,1%, resp. 9,2%). Čerpáno dle:  Institute for  Clinical and Economic Review.  </t>
  </si>
  <si>
    <t xml:space="preserve">  hospitalizaci, léčení NÚ - detaily FE modelu pro výpočet QALY viz:  Institute for  Clinical and Economic Review.  Evidence Report: Targeted Immune Modulators for Rheumatoid Arthritis April 7, 2017</t>
  </si>
  <si>
    <r>
      <rPr>
        <vertAlign val="superscript"/>
        <sz val="9"/>
        <color theme="1"/>
        <rFont val="Calibri"/>
        <family val="2"/>
        <charset val="238"/>
        <scheme val="minor"/>
      </rPr>
      <t>9</t>
    </r>
    <r>
      <rPr>
        <sz val="9"/>
        <color theme="1"/>
        <rFont val="Calibri"/>
        <family val="2"/>
        <charset val="238"/>
        <scheme val="minor"/>
      </rPr>
      <t xml:space="preserve"> </t>
    </r>
    <r>
      <rPr>
        <u/>
        <sz val="9"/>
        <color theme="1"/>
        <rFont val="Calibri"/>
        <family val="2"/>
        <charset val="238"/>
        <scheme val="minor"/>
      </rPr>
      <t>Mezi jednotlivými úč. látkami nebyly výrazné NÚ a ukončení léčby pro NÚ, proto náklady na léčbu NÚ či četnost vysazení nebyly zahrnuty do CEA či CUA</t>
    </r>
    <r>
      <rPr>
        <sz val="9"/>
        <color theme="1"/>
        <rFont val="Calibri"/>
        <family val="2"/>
        <charset val="238"/>
        <scheme val="minor"/>
      </rPr>
      <t>. Např. vážné NÚ se pohybovaly v rozmezí 3,1-6%, kromě rituximabu (9%), infliximabu (8,9%), certolizumabu (7,9%)</t>
    </r>
    <r>
      <rPr>
        <sz val="9"/>
        <color theme="1"/>
        <rFont val="Calibri"/>
        <family val="2"/>
        <charset val="238"/>
      </rPr>
      <t xml:space="preserve">; ukončení </t>
    </r>
  </si>
  <si>
    <t xml:space="preserve">  Evidence Report: Targeted Immune Modulators for Rheumatoid Arthritis April 7, 2017 - viz níže tabulky 11 a 12 z tohoto zdroje.</t>
  </si>
  <si>
    <t>* pravděpod. nejvyšší četnost vážných NÚ z krátkodobého (spolu s rituximabem) i dlouhodobého horizontu,                                                                         * pravděpod. nejvyšší četnost vážných infekcí z dlouhodobého horizontu,                                                                                                     * i.v. podávání infuzí</t>
  </si>
  <si>
    <t xml:space="preserve">* pravděpod. nejvyšší četnost vážných NÚ z krátkodobého hlediska (spolu s infliximabem),                                                                                                                                              * i.v. podávání infuzí </t>
  </si>
  <si>
    <t>* pravděpodobně nejvyšší četnost ukončení léčby pro NÚ</t>
  </si>
  <si>
    <t>* pravděpodobně nejnižší četnost ukončení léčby pro NÚ</t>
  </si>
  <si>
    <t xml:space="preserve">* i.v. podávání infuzí </t>
  </si>
  <si>
    <r>
      <t>nejlevnější</t>
    </r>
    <r>
      <rPr>
        <i/>
        <sz val="9"/>
        <rFont val="Calibri"/>
        <family val="2"/>
        <charset val="238"/>
        <scheme val="minor"/>
      </rPr>
      <t xml:space="preserve"> (monoterapie)</t>
    </r>
  </si>
  <si>
    <t>Ve sloupcích W - AC jsou podtržením zvýrazněny hodnoty, které se výrazněji odlišují !!!!</t>
  </si>
  <si>
    <r>
      <t>násobek poměru cena/účinnost</t>
    </r>
    <r>
      <rPr>
        <vertAlign val="superscript"/>
        <sz val="8"/>
        <rFont val="Arial"/>
        <family val="2"/>
        <charset val="238"/>
      </rPr>
      <t>9</t>
    </r>
    <r>
      <rPr>
        <sz val="8"/>
        <rFont val="Arial"/>
        <family val="2"/>
        <charset val="238"/>
      </rPr>
      <t xml:space="preserve"> vůči nákl. nejefekt. za 1 rok udrž. léčby se započt. bonusů - </t>
    </r>
    <r>
      <rPr>
        <b/>
        <sz val="8"/>
        <rFont val="Arial"/>
        <family val="2"/>
        <charset val="238"/>
      </rPr>
      <t>CEA</t>
    </r>
  </si>
  <si>
    <r>
      <t xml:space="preserve">nákladově nejefektivnější </t>
    </r>
    <r>
      <rPr>
        <u/>
        <sz val="12"/>
        <rFont val="Calibri"/>
        <family val="2"/>
        <charset val="238"/>
        <scheme val="minor"/>
      </rPr>
      <t>(komb.s MTX)</t>
    </r>
  </si>
  <si>
    <r>
      <t xml:space="preserve">nákladově nejužitečnější </t>
    </r>
    <r>
      <rPr>
        <u/>
        <sz val="12"/>
        <rFont val="Calibri"/>
        <family val="2"/>
        <charset val="238"/>
        <scheme val="minor"/>
      </rPr>
      <t>(komb.s MTX)</t>
    </r>
  </si>
  <si>
    <t>použít biosimilární Zessly</t>
  </si>
  <si>
    <t>3. při kombinaci s MTX (pokud již nechci 2. iTNF)                                (již od DAS28  &gt;3,2)</t>
  </si>
  <si>
    <t>3. při monoterapii (pokud již nechci 2. iTNF)                                 (již od DAS28  &gt;3,2)</t>
  </si>
  <si>
    <t>* možnost p.o. podání</t>
  </si>
  <si>
    <t>* podávání i.v. infuzí</t>
  </si>
</sst>
</file>

<file path=xl/styles.xml><?xml version="1.0" encoding="utf-8"?>
<styleSheet xmlns="http://schemas.openxmlformats.org/spreadsheetml/2006/main">
  <numFmts count="5">
    <numFmt numFmtId="164" formatCode="#,##0.00\ &quot;Kč&quot;"/>
    <numFmt numFmtId="165" formatCode="#,##0\ &quot;Kč&quot;"/>
    <numFmt numFmtId="166" formatCode="_-* #,##0\ [$Kč-405]_-;\-* #,##0\ [$Kč-405]_-;_-* &quot;-&quot;??\ [$Kč-405]_-;_-@_-"/>
    <numFmt numFmtId="167" formatCode="_-* #,##0.00\ [$Kč-405]_-;\-* #,##0.00\ [$Kč-405]_-;_-* &quot;-&quot;??\ [$Kč-405]_-;_-@_-"/>
    <numFmt numFmtId="168" formatCode="0.0"/>
  </numFmts>
  <fonts count="50">
    <font>
      <sz val="11"/>
      <color theme="1"/>
      <name val="Calibri"/>
      <family val="2"/>
      <charset val="238"/>
      <scheme val="minor"/>
    </font>
    <font>
      <sz val="9"/>
      <name val="Arial"/>
      <family val="2"/>
      <charset val="238"/>
    </font>
    <font>
      <sz val="10"/>
      <color theme="1"/>
      <name val="Calibri"/>
      <family val="2"/>
      <charset val="238"/>
      <scheme val="minor"/>
    </font>
    <font>
      <sz val="9"/>
      <color theme="1"/>
      <name val="Calibri"/>
      <family val="2"/>
      <charset val="238"/>
      <scheme val="minor"/>
    </font>
    <font>
      <b/>
      <sz val="9"/>
      <name val="Arial"/>
      <family val="2"/>
      <charset val="238"/>
    </font>
    <font>
      <sz val="8"/>
      <name val="Arial"/>
      <family val="2"/>
      <charset val="238"/>
    </font>
    <font>
      <b/>
      <sz val="10"/>
      <name val="Arial"/>
      <family val="2"/>
      <charset val="238"/>
    </font>
    <font>
      <sz val="10"/>
      <color theme="5" tint="-0.249977111117893"/>
      <name val="Arial"/>
      <family val="2"/>
      <charset val="238"/>
    </font>
    <font>
      <sz val="10"/>
      <name val="Calibri"/>
      <family val="2"/>
      <charset val="238"/>
      <scheme val="minor"/>
    </font>
    <font>
      <b/>
      <sz val="10"/>
      <name val="Calibri"/>
      <family val="2"/>
      <charset val="238"/>
      <scheme val="minor"/>
    </font>
    <font>
      <sz val="8"/>
      <color theme="1"/>
      <name val="Calibri"/>
      <family val="2"/>
      <charset val="238"/>
      <scheme val="minor"/>
    </font>
    <font>
      <u/>
      <sz val="8"/>
      <color theme="1"/>
      <name val="Calibri"/>
      <family val="2"/>
      <charset val="238"/>
      <scheme val="minor"/>
    </font>
    <font>
      <vertAlign val="superscript"/>
      <sz val="8"/>
      <name val="Arial"/>
      <family val="2"/>
      <charset val="238"/>
    </font>
    <font>
      <sz val="10"/>
      <name val="Arial"/>
      <family val="2"/>
      <charset val="238"/>
    </font>
    <font>
      <sz val="8"/>
      <color rgb="FF000000"/>
      <name val="Calibri"/>
      <family val="2"/>
      <charset val="238"/>
      <scheme val="minor"/>
    </font>
    <font>
      <vertAlign val="superscript"/>
      <sz val="9"/>
      <color theme="1"/>
      <name val="Calibri"/>
      <family val="2"/>
      <charset val="238"/>
      <scheme val="minor"/>
    </font>
    <font>
      <vertAlign val="superscript"/>
      <sz val="9"/>
      <name val="Arial"/>
      <family val="2"/>
      <charset val="238"/>
    </font>
    <font>
      <b/>
      <sz val="9"/>
      <color theme="1"/>
      <name val="Calibri"/>
      <family val="2"/>
      <charset val="238"/>
      <scheme val="minor"/>
    </font>
    <font>
      <b/>
      <sz val="8"/>
      <name val="Arial"/>
      <family val="2"/>
      <charset val="238"/>
    </font>
    <font>
      <i/>
      <sz val="9"/>
      <color theme="1"/>
      <name val="Calibri"/>
      <family val="2"/>
      <charset val="238"/>
      <scheme val="minor"/>
    </font>
    <font>
      <b/>
      <vertAlign val="superscript"/>
      <sz val="9"/>
      <name val="Arial"/>
      <family val="2"/>
      <charset val="238"/>
    </font>
    <font>
      <u/>
      <sz val="9"/>
      <color theme="1"/>
      <name val="Calibri"/>
      <family val="2"/>
      <charset val="238"/>
      <scheme val="minor"/>
    </font>
    <font>
      <b/>
      <vertAlign val="superscript"/>
      <sz val="10"/>
      <name val="Arial"/>
      <family val="2"/>
      <charset val="238"/>
    </font>
    <font>
      <vertAlign val="superscript"/>
      <sz val="10"/>
      <color theme="1"/>
      <name val="Calibri"/>
      <family val="2"/>
      <charset val="238"/>
      <scheme val="minor"/>
    </font>
    <font>
      <sz val="9"/>
      <color theme="1"/>
      <name val="Calibri"/>
      <family val="2"/>
      <charset val="238"/>
    </font>
    <font>
      <b/>
      <sz val="9"/>
      <color theme="1"/>
      <name val="Calibri"/>
      <family val="2"/>
      <charset val="238"/>
    </font>
    <font>
      <b/>
      <u/>
      <sz val="9"/>
      <color theme="1"/>
      <name val="Calibri"/>
      <family val="2"/>
      <charset val="238"/>
      <scheme val="minor"/>
    </font>
    <font>
      <sz val="8"/>
      <color theme="1"/>
      <name val="Calibri"/>
      <family val="2"/>
      <charset val="238"/>
    </font>
    <font>
      <sz val="10"/>
      <color theme="1"/>
      <name val="Calibri"/>
      <family val="2"/>
      <charset val="238"/>
    </font>
    <font>
      <u/>
      <sz val="10"/>
      <color theme="1"/>
      <name val="Calibri"/>
      <family val="2"/>
      <charset val="238"/>
    </font>
    <font>
      <u/>
      <sz val="8"/>
      <color rgb="FF000000"/>
      <name val="Calibri"/>
      <family val="2"/>
      <charset val="238"/>
      <scheme val="minor"/>
    </font>
    <font>
      <b/>
      <u/>
      <sz val="10"/>
      <name val="Calibri"/>
      <family val="2"/>
      <charset val="238"/>
      <scheme val="minor"/>
    </font>
    <font>
      <b/>
      <u val="singleAccounting"/>
      <sz val="10"/>
      <name val="Calibri"/>
      <family val="2"/>
      <charset val="238"/>
      <scheme val="minor"/>
    </font>
    <font>
      <b/>
      <sz val="12"/>
      <name val="Calibri"/>
      <family val="2"/>
      <charset val="238"/>
      <scheme val="minor"/>
    </font>
    <font>
      <u/>
      <sz val="9"/>
      <color theme="1"/>
      <name val="Calibri"/>
      <family val="2"/>
      <charset val="238"/>
    </font>
    <font>
      <b/>
      <u/>
      <sz val="9"/>
      <color theme="1"/>
      <name val="Calibri"/>
      <family val="2"/>
      <charset val="238"/>
    </font>
    <font>
      <sz val="7"/>
      <name val="Arial"/>
      <family val="2"/>
      <charset val="238"/>
    </font>
    <font>
      <sz val="7.5"/>
      <color theme="1"/>
      <name val="Calibri"/>
      <family val="2"/>
      <charset val="238"/>
      <scheme val="minor"/>
    </font>
    <font>
      <b/>
      <u/>
      <sz val="12"/>
      <name val="Calibri"/>
      <family val="2"/>
      <charset val="238"/>
      <scheme val="minor"/>
    </font>
    <font>
      <b/>
      <i/>
      <sz val="7.5"/>
      <name val="Calibri"/>
      <family val="2"/>
      <charset val="238"/>
      <scheme val="minor"/>
    </font>
    <font>
      <b/>
      <i/>
      <sz val="9"/>
      <name val="Calibri"/>
      <family val="2"/>
      <charset val="238"/>
      <scheme val="minor"/>
    </font>
    <font>
      <i/>
      <sz val="9"/>
      <name val="Calibri"/>
      <family val="2"/>
      <charset val="238"/>
      <scheme val="minor"/>
    </font>
    <font>
      <b/>
      <i/>
      <u/>
      <sz val="7.5"/>
      <name val="Calibri"/>
      <family val="2"/>
      <charset val="238"/>
      <scheme val="minor"/>
    </font>
    <font>
      <b/>
      <i/>
      <u/>
      <sz val="9"/>
      <name val="Calibri"/>
      <family val="2"/>
      <charset val="238"/>
      <scheme val="minor"/>
    </font>
    <font>
      <i/>
      <u/>
      <sz val="9"/>
      <name val="Calibri"/>
      <family val="2"/>
      <charset val="238"/>
      <scheme val="minor"/>
    </font>
    <font>
      <b/>
      <sz val="11"/>
      <color theme="1"/>
      <name val="Calibri"/>
      <family val="2"/>
      <charset val="238"/>
      <scheme val="minor"/>
    </font>
    <font>
      <b/>
      <u/>
      <sz val="10"/>
      <color theme="1"/>
      <name val="Calibri"/>
      <family val="2"/>
      <charset val="238"/>
      <scheme val="minor"/>
    </font>
    <font>
      <b/>
      <sz val="8"/>
      <name val="Calibri"/>
      <family val="2"/>
      <charset val="238"/>
      <scheme val="minor"/>
    </font>
    <font>
      <sz val="8"/>
      <name val="Calibri"/>
      <family val="2"/>
      <charset val="238"/>
      <scheme val="minor"/>
    </font>
    <font>
      <u/>
      <sz val="12"/>
      <name val="Calibri"/>
      <family val="2"/>
      <charset val="238"/>
      <scheme val="minor"/>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6"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cellStyleXfs>
  <cellXfs count="173">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165" fontId="7" fillId="0" borderId="0" xfId="0" applyNumberFormat="1" applyFont="1"/>
    <xf numFmtId="10" fontId="0" fillId="0" borderId="0" xfId="0" applyNumberFormat="1"/>
    <xf numFmtId="164" fontId="0" fillId="0" borderId="0" xfId="0" applyNumberFormat="1"/>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Font="1"/>
    <xf numFmtId="0" fontId="2" fillId="0" borderId="0" xfId="0" applyFont="1"/>
    <xf numFmtId="0" fontId="0" fillId="0" borderId="0" xfId="0" applyAlignment="1">
      <alignment vertical="center"/>
    </xf>
    <xf numFmtId="0" fontId="13" fillId="2" borderId="1" xfId="0" applyFont="1" applyFill="1" applyBorder="1" applyAlignment="1">
      <alignment horizontal="center" vertical="center" wrapText="1"/>
    </xf>
    <xf numFmtId="0" fontId="0" fillId="0" borderId="0" xfId="0" applyAlignment="1">
      <alignment wrapText="1"/>
    </xf>
    <xf numFmtId="167" fontId="0" fillId="0" borderId="0" xfId="0" applyNumberFormat="1" applyFont="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164" fontId="0" fillId="7" borderId="1" xfId="0" applyNumberFormat="1" applyFont="1" applyFill="1" applyBorder="1" applyAlignment="1">
      <alignment horizontal="center" vertical="center"/>
    </xf>
    <xf numFmtId="164" fontId="8" fillId="7" borderId="1" xfId="0" applyNumberFormat="1" applyFont="1" applyFill="1" applyBorder="1" applyAlignment="1">
      <alignment horizontal="center" vertical="center" wrapText="1"/>
    </xf>
    <xf numFmtId="10" fontId="0" fillId="7" borderId="1" xfId="0" applyNumberFormat="1" applyFill="1" applyBorder="1"/>
    <xf numFmtId="0" fontId="2" fillId="8" borderId="1" xfId="0" applyFont="1" applyFill="1" applyBorder="1" applyAlignment="1">
      <alignment vertical="center" wrapText="1"/>
    </xf>
    <xf numFmtId="0" fontId="2" fillId="8" borderId="1" xfId="0" applyFont="1" applyFill="1" applyBorder="1" applyAlignment="1">
      <alignment horizontal="center" vertical="center" wrapText="1"/>
    </xf>
    <xf numFmtId="164" fontId="0" fillId="8" borderId="1" xfId="0" applyNumberFormat="1" applyFont="1" applyFill="1" applyBorder="1" applyAlignment="1">
      <alignment horizontal="center" vertical="center"/>
    </xf>
    <xf numFmtId="164" fontId="8" fillId="8" borderId="1" xfId="0" applyNumberFormat="1" applyFont="1" applyFill="1" applyBorder="1" applyAlignment="1">
      <alignment horizontal="center" vertical="center" wrapText="1"/>
    </xf>
    <xf numFmtId="166" fontId="8" fillId="8" borderId="1" xfId="0" applyNumberFormat="1" applyFont="1" applyFill="1" applyBorder="1" applyAlignment="1">
      <alignment horizontal="center" vertical="center" wrapText="1"/>
    </xf>
    <xf numFmtId="9" fontId="0" fillId="8" borderId="1" xfId="0" applyNumberFormat="1" applyFill="1" applyBorder="1"/>
    <xf numFmtId="0" fontId="10" fillId="8" borderId="1" xfId="0" applyFont="1" applyFill="1" applyBorder="1" applyAlignment="1">
      <alignment horizontal="center" vertical="center" wrapText="1"/>
    </xf>
    <xf numFmtId="0" fontId="2" fillId="0" borderId="0" xfId="0" applyFont="1" applyAlignment="1">
      <alignment vertical="center"/>
    </xf>
    <xf numFmtId="0" fontId="2" fillId="9" borderId="1" xfId="0" applyFont="1" applyFill="1" applyBorder="1" applyAlignment="1">
      <alignment vertical="center" wrapText="1"/>
    </xf>
    <xf numFmtId="0" fontId="2"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164" fontId="0" fillId="9" borderId="1" xfId="0" applyNumberFormat="1" applyFont="1" applyFill="1" applyBorder="1" applyAlignment="1">
      <alignment horizontal="center" vertical="center"/>
    </xf>
    <xf numFmtId="164" fontId="8" fillId="9" borderId="1" xfId="0" applyNumberFormat="1" applyFont="1" applyFill="1" applyBorder="1" applyAlignment="1">
      <alignment horizontal="center" vertical="center" wrapText="1"/>
    </xf>
    <xf numFmtId="10" fontId="0" fillId="9" borderId="1" xfId="0" applyNumberFormat="1" applyFill="1" applyBorder="1"/>
    <xf numFmtId="0" fontId="3" fillId="7" borderId="1" xfId="0" applyFont="1" applyFill="1" applyBorder="1" applyAlignment="1">
      <alignment horizontal="center" vertical="center" wrapText="1"/>
    </xf>
    <xf numFmtId="0" fontId="10" fillId="7" borderId="1" xfId="0" applyNumberFormat="1" applyFont="1" applyFill="1" applyBorder="1" applyAlignment="1">
      <alignment horizontal="left" vertical="center" wrapText="1"/>
    </xf>
    <xf numFmtId="0" fontId="2" fillId="8" borderId="1" xfId="0" applyFont="1" applyFill="1" applyBorder="1" applyAlignment="1">
      <alignment horizontal="center" vertical="center"/>
    </xf>
    <xf numFmtId="0" fontId="3" fillId="0" borderId="0" xfId="0" applyFont="1" applyAlignment="1"/>
    <xf numFmtId="0" fontId="3" fillId="0" borderId="0" xfId="0" applyFont="1"/>
    <xf numFmtId="168" fontId="0" fillId="0" borderId="0" xfId="0" applyNumberFormat="1" applyFont="1"/>
    <xf numFmtId="168" fontId="0" fillId="0" borderId="0" xfId="0" applyNumberFormat="1"/>
    <xf numFmtId="0" fontId="21" fillId="0" borderId="0" xfId="0" applyFont="1"/>
    <xf numFmtId="0" fontId="3" fillId="0" borderId="0" xfId="0" applyNumberFormat="1" applyFont="1"/>
    <xf numFmtId="0" fontId="1" fillId="10"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1" xfId="0" applyNumberFormat="1" applyFont="1" applyFill="1" applyBorder="1" applyAlignment="1">
      <alignment horizontal="center" vertical="center" wrapText="1"/>
    </xf>
    <xf numFmtId="0" fontId="2" fillId="8" borderId="2" xfId="0" applyNumberFormat="1"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3" fillId="8" borderId="2" xfId="0" applyNumberFormat="1" applyFont="1" applyFill="1" applyBorder="1" applyAlignment="1">
      <alignment horizontal="center" vertical="center" wrapText="1"/>
    </xf>
    <xf numFmtId="0" fontId="3" fillId="8" borderId="1" xfId="0" applyNumberFormat="1" applyFont="1" applyFill="1" applyBorder="1" applyAlignment="1">
      <alignment horizontal="center" vertical="center" wrapText="1"/>
    </xf>
    <xf numFmtId="0" fontId="3" fillId="9"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0" fontId="29" fillId="10"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2" fillId="10" borderId="1" xfId="0" applyNumberFormat="1" applyFont="1" applyFill="1" applyBorder="1" applyAlignment="1">
      <alignment horizontal="center" vertical="center" wrapText="1"/>
    </xf>
    <xf numFmtId="0" fontId="3" fillId="10" borderId="0" xfId="0" applyFont="1" applyFill="1"/>
    <xf numFmtId="0" fontId="3" fillId="3" borderId="0" xfId="0" applyFont="1" applyFill="1"/>
    <xf numFmtId="0" fontId="0" fillId="10" borderId="0" xfId="0" applyFill="1"/>
    <xf numFmtId="0" fontId="3" fillId="10" borderId="0" xfId="0" applyFont="1" applyFill="1" applyBorder="1" applyAlignment="1"/>
    <xf numFmtId="0" fontId="2" fillId="10" borderId="0" xfId="0" applyFont="1" applyFill="1" applyBorder="1" applyAlignment="1"/>
    <xf numFmtId="0" fontId="10" fillId="11" borderId="1" xfId="0" applyFont="1" applyFill="1" applyBorder="1" applyAlignment="1">
      <alignment horizontal="left" vertical="center" wrapText="1"/>
    </xf>
    <xf numFmtId="0" fontId="10" fillId="11" borderId="0" xfId="0" applyFont="1" applyFill="1" applyAlignment="1">
      <alignment horizontal="left" vertical="center" wrapText="1"/>
    </xf>
    <xf numFmtId="0" fontId="11" fillId="11" borderId="1" xfId="0" applyFont="1" applyFill="1" applyBorder="1" applyAlignment="1">
      <alignment horizontal="left" vertical="center" wrapText="1"/>
    </xf>
    <xf numFmtId="0" fontId="10" fillId="11" borderId="2" xfId="0" applyFont="1" applyFill="1" applyBorder="1" applyAlignment="1">
      <alignment horizontal="left" vertical="center" wrapText="1"/>
    </xf>
    <xf numFmtId="0" fontId="10" fillId="11" borderId="0" xfId="0" applyFont="1" applyFill="1" applyAlignment="1">
      <alignment vertical="center" wrapText="1"/>
    </xf>
    <xf numFmtId="0" fontId="28" fillId="10" borderId="1" xfId="0" applyNumberFormat="1" applyFont="1" applyFill="1" applyBorder="1" applyAlignment="1">
      <alignment horizontal="center" vertical="center" wrapText="1"/>
    </xf>
    <xf numFmtId="0" fontId="10" fillId="9" borderId="0" xfId="0" applyFont="1" applyFill="1" applyAlignment="1">
      <alignment horizontal="left" vertical="center" wrapText="1"/>
    </xf>
    <xf numFmtId="0" fontId="2" fillId="10" borderId="1" xfId="0" applyFont="1" applyFill="1" applyBorder="1" applyAlignment="1">
      <alignment horizontal="center" vertical="center" wrapText="1"/>
    </xf>
    <xf numFmtId="1" fontId="10" fillId="7" borderId="1" xfId="0" applyNumberFormat="1" applyFont="1" applyFill="1" applyBorder="1" applyAlignment="1">
      <alignment horizontal="left" vertical="center" wrapText="1"/>
    </xf>
    <xf numFmtId="0" fontId="2" fillId="13" borderId="1" xfId="0" applyFont="1" applyFill="1" applyBorder="1" applyAlignment="1">
      <alignment vertical="center" wrapText="1"/>
    </xf>
    <xf numFmtId="0" fontId="2" fillId="13"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164" fontId="0" fillId="13" borderId="1" xfId="0" applyNumberFormat="1" applyFont="1" applyFill="1" applyBorder="1" applyAlignment="1">
      <alignment horizontal="center" vertical="center"/>
    </xf>
    <xf numFmtId="164" fontId="8" fillId="13" borderId="1" xfId="0" applyNumberFormat="1" applyFont="1" applyFill="1" applyBorder="1" applyAlignment="1">
      <alignment horizontal="center" vertical="center" wrapText="1"/>
    </xf>
    <xf numFmtId="10" fontId="0" fillId="13" borderId="1" xfId="0" applyNumberFormat="1" applyFill="1" applyBorder="1"/>
    <xf numFmtId="1" fontId="10" fillId="13" borderId="1" xfId="0" applyNumberFormat="1" applyFont="1" applyFill="1" applyBorder="1" applyAlignment="1">
      <alignment horizontal="left" vertical="center" wrapText="1"/>
    </xf>
    <xf numFmtId="0" fontId="10" fillId="13" borderId="1" xfId="0" applyFont="1" applyFill="1" applyBorder="1" applyAlignment="1">
      <alignment horizontal="left" vertical="center" wrapText="1"/>
    </xf>
    <xf numFmtId="0" fontId="2" fillId="13" borderId="1" xfId="0" applyNumberFormat="1" applyFont="1" applyFill="1" applyBorder="1" applyAlignment="1">
      <alignment horizontal="center" vertical="center" wrapText="1"/>
    </xf>
    <xf numFmtId="0" fontId="10" fillId="13" borderId="1" xfId="0" applyNumberFormat="1" applyFont="1" applyFill="1" applyBorder="1" applyAlignment="1">
      <alignment vertical="center" wrapText="1"/>
    </xf>
    <xf numFmtId="164" fontId="0" fillId="9" borderId="1" xfId="0" applyNumberFormat="1" applyFill="1" applyBorder="1" applyAlignment="1">
      <alignment horizontal="center" vertical="center"/>
    </xf>
    <xf numFmtId="166" fontId="8" fillId="9" borderId="1" xfId="0" applyNumberFormat="1" applyFont="1" applyFill="1" applyBorder="1" applyAlignment="1">
      <alignment horizontal="center" vertical="center" wrapText="1"/>
    </xf>
    <xf numFmtId="166" fontId="8" fillId="7" borderId="1" xfId="0" applyNumberFormat="1" applyFont="1" applyFill="1" applyBorder="1" applyAlignment="1">
      <alignment horizontal="center" vertical="center" wrapText="1"/>
    </xf>
    <xf numFmtId="166" fontId="8" fillId="13" borderId="1" xfId="0" applyNumberFormat="1" applyFont="1" applyFill="1" applyBorder="1" applyAlignment="1">
      <alignment horizontal="center" vertical="center" wrapText="1"/>
    </xf>
    <xf numFmtId="0" fontId="10" fillId="13" borderId="0" xfId="0" applyNumberFormat="1" applyFont="1" applyFill="1" applyAlignment="1">
      <alignment vertical="center" wrapText="1"/>
    </xf>
    <xf numFmtId="0" fontId="10" fillId="11" borderId="1" xfId="0" applyFont="1" applyFill="1" applyBorder="1" applyAlignment="1">
      <alignment vertical="center" wrapText="1"/>
    </xf>
    <xf numFmtId="0" fontId="11" fillId="11" borderId="0" xfId="0" applyFont="1" applyFill="1" applyAlignment="1">
      <alignment horizontal="left" vertical="center" wrapText="1"/>
    </xf>
    <xf numFmtId="0" fontId="10" fillId="11" borderId="3" xfId="0" applyFont="1" applyFill="1" applyBorder="1" applyAlignment="1">
      <alignment horizontal="left" vertical="center" wrapText="1"/>
    </xf>
    <xf numFmtId="166" fontId="31" fillId="8" borderId="1" xfId="0" applyNumberFormat="1" applyFont="1" applyFill="1" applyBorder="1" applyAlignment="1">
      <alignment horizontal="center" vertical="center" wrapText="1"/>
    </xf>
    <xf numFmtId="166" fontId="32" fillId="8" borderId="1" xfId="0" applyNumberFormat="1" applyFont="1" applyFill="1" applyBorder="1" applyAlignment="1">
      <alignment horizontal="center" vertical="center" wrapText="1"/>
    </xf>
    <xf numFmtId="168" fontId="9" fillId="3" borderId="1" xfId="0" applyNumberFormat="1" applyFont="1" applyFill="1" applyBorder="1" applyAlignment="1">
      <alignment horizontal="center" vertical="center" wrapText="1"/>
    </xf>
    <xf numFmtId="0" fontId="37" fillId="8" borderId="1" xfId="0" applyFont="1" applyFill="1" applyBorder="1" applyAlignment="1">
      <alignment horizontal="center" vertical="center" wrapText="1"/>
    </xf>
    <xf numFmtId="0" fontId="37" fillId="9" borderId="1" xfId="0" applyFont="1" applyFill="1" applyBorder="1" applyAlignment="1">
      <alignment horizontal="center" vertical="center" wrapText="1"/>
    </xf>
    <xf numFmtId="168" fontId="38" fillId="3" borderId="1" xfId="0" applyNumberFormat="1" applyFont="1" applyFill="1" applyBorder="1" applyAlignment="1">
      <alignment horizontal="center" vertical="center" wrapText="1"/>
    </xf>
    <xf numFmtId="168" fontId="31" fillId="3" borderId="1" xfId="0" applyNumberFormat="1" applyFont="1" applyFill="1" applyBorder="1" applyAlignment="1">
      <alignment horizontal="center" vertical="center" wrapText="1"/>
    </xf>
    <xf numFmtId="168" fontId="33" fillId="3" borderId="1" xfId="0" applyNumberFormat="1" applyFont="1" applyFill="1" applyBorder="1" applyAlignment="1">
      <alignment horizontal="center" vertical="center" wrapText="1"/>
    </xf>
    <xf numFmtId="168" fontId="39" fillId="3" borderId="1" xfId="0" applyNumberFormat="1" applyFont="1" applyFill="1" applyBorder="1" applyAlignment="1">
      <alignment horizontal="center" vertical="center" wrapText="1"/>
    </xf>
    <xf numFmtId="2" fontId="40" fillId="3" borderId="1" xfId="0" applyNumberFormat="1" applyFont="1" applyFill="1" applyBorder="1" applyAlignment="1">
      <alignment horizontal="center" vertical="center" wrapText="1"/>
    </xf>
    <xf numFmtId="168" fontId="42" fillId="3" borderId="1" xfId="0" applyNumberFormat="1"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10" fillId="14" borderId="1" xfId="0" applyFont="1" applyFill="1" applyBorder="1" applyAlignment="1">
      <alignment horizontal="left" vertical="center" wrapText="1"/>
    </xf>
    <xf numFmtId="164" fontId="0" fillId="14" borderId="1" xfId="0" applyNumberFormat="1" applyFont="1" applyFill="1" applyBorder="1" applyAlignment="1">
      <alignment horizontal="center" vertical="center"/>
    </xf>
    <xf numFmtId="164" fontId="8" fillId="14" borderId="1" xfId="0" applyNumberFormat="1" applyFont="1" applyFill="1" applyBorder="1" applyAlignment="1">
      <alignment horizontal="center" vertical="center" wrapText="1"/>
    </xf>
    <xf numFmtId="166" fontId="8" fillId="14" borderId="1" xfId="0" applyNumberFormat="1" applyFont="1" applyFill="1" applyBorder="1" applyAlignment="1">
      <alignment horizontal="center" vertical="center" wrapText="1"/>
    </xf>
    <xf numFmtId="10" fontId="0" fillId="14" borderId="1" xfId="0" applyNumberFormat="1" applyFill="1" applyBorder="1"/>
    <xf numFmtId="0" fontId="14" fillId="14" borderId="1" xfId="0" applyFont="1" applyFill="1" applyBorder="1" applyAlignment="1">
      <alignment horizontal="left" vertical="center" wrapText="1"/>
    </xf>
    <xf numFmtId="0" fontId="45" fillId="10" borderId="0" xfId="0" applyFont="1" applyFill="1"/>
    <xf numFmtId="0" fontId="2" fillId="3" borderId="2"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46" fillId="3" borderId="1" xfId="0" applyNumberFormat="1" applyFont="1" applyFill="1" applyBorder="1" applyAlignment="1">
      <alignment horizontal="center" vertical="center" wrapText="1"/>
    </xf>
    <xf numFmtId="168" fontId="9" fillId="6" borderId="1" xfId="0" applyNumberFormat="1" applyFont="1" applyFill="1" applyBorder="1" applyAlignment="1">
      <alignment horizontal="center" vertical="center" wrapText="1"/>
    </xf>
    <xf numFmtId="168" fontId="39" fillId="6" borderId="1" xfId="0" applyNumberFormat="1" applyFont="1" applyFill="1" applyBorder="1" applyAlignment="1">
      <alignment horizontal="center" vertical="center" wrapText="1"/>
    </xf>
    <xf numFmtId="2" fontId="40" fillId="6" borderId="1" xfId="0" applyNumberFormat="1" applyFont="1" applyFill="1" applyBorder="1" applyAlignment="1">
      <alignment horizontal="center" vertical="center" wrapText="1"/>
    </xf>
    <xf numFmtId="168" fontId="31" fillId="6" borderId="1" xfId="0" applyNumberFormat="1" applyFont="1" applyFill="1" applyBorder="1" applyAlignment="1">
      <alignment horizontal="center" vertical="center" wrapText="1"/>
    </xf>
    <xf numFmtId="168" fontId="42" fillId="6" borderId="1" xfId="0" applyNumberFormat="1" applyFont="1" applyFill="1" applyBorder="1" applyAlignment="1">
      <alignment horizontal="center" vertical="center" wrapText="1"/>
    </xf>
    <xf numFmtId="0" fontId="2" fillId="10" borderId="0" xfId="0" applyFont="1" applyFill="1" applyAlignment="1">
      <alignment vertical="center"/>
    </xf>
    <xf numFmtId="0" fontId="2" fillId="10" borderId="0" xfId="0" applyFont="1" applyFill="1"/>
    <xf numFmtId="0" fontId="0" fillId="10" borderId="0" xfId="0" applyFill="1" applyAlignment="1">
      <alignment wrapText="1"/>
    </xf>
    <xf numFmtId="164" fontId="10" fillId="8" borderId="1" xfId="0" applyNumberFormat="1" applyFont="1" applyFill="1" applyBorder="1" applyAlignment="1">
      <alignment horizontal="left" vertical="center" wrapText="1"/>
    </xf>
    <xf numFmtId="164" fontId="10" fillId="14" borderId="1" xfId="0" applyNumberFormat="1" applyFont="1" applyFill="1" applyBorder="1" applyAlignment="1">
      <alignment horizontal="left" vertical="center" wrapText="1"/>
    </xf>
    <xf numFmtId="164" fontId="10" fillId="13" borderId="1" xfId="0" applyNumberFormat="1" applyFont="1" applyFill="1" applyBorder="1" applyAlignment="1">
      <alignment horizontal="left" vertical="center" wrapText="1"/>
    </xf>
    <xf numFmtId="164" fontId="10" fillId="9" borderId="1" xfId="0" applyNumberFormat="1" applyFont="1" applyFill="1" applyBorder="1" applyAlignment="1">
      <alignment horizontal="left" vertical="center" wrapText="1"/>
    </xf>
    <xf numFmtId="164" fontId="10" fillId="7" borderId="1" xfId="0" applyNumberFormat="1" applyFont="1" applyFill="1" applyBorder="1" applyAlignment="1">
      <alignment horizontal="left" vertical="center" wrapText="1"/>
    </xf>
    <xf numFmtId="2" fontId="47" fillId="8" borderId="1" xfId="0" applyNumberFormat="1" applyFont="1" applyFill="1" applyBorder="1" applyAlignment="1">
      <alignment horizontal="left" vertical="center" wrapText="1"/>
    </xf>
    <xf numFmtId="168" fontId="47" fillId="14" borderId="1" xfId="0" applyNumberFormat="1" applyFont="1" applyFill="1" applyBorder="1" applyAlignment="1">
      <alignment horizontal="left" vertical="center" wrapText="1"/>
    </xf>
    <xf numFmtId="2" fontId="48" fillId="8" borderId="1" xfId="0" applyNumberFormat="1" applyFont="1" applyFill="1" applyBorder="1" applyAlignment="1">
      <alignment horizontal="left" vertical="center" wrapText="1"/>
    </xf>
    <xf numFmtId="166" fontId="48" fillId="8" borderId="1" xfId="0" applyNumberFormat="1" applyFont="1" applyFill="1" applyBorder="1" applyAlignment="1">
      <alignment horizontal="left" vertical="center" wrapText="1"/>
    </xf>
    <xf numFmtId="168" fontId="47" fillId="9" borderId="1" xfId="0" applyNumberFormat="1" applyFont="1" applyFill="1" applyBorder="1" applyAlignment="1">
      <alignment horizontal="left" vertical="center" wrapText="1"/>
    </xf>
    <xf numFmtId="0" fontId="2" fillId="13" borderId="2"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11" fillId="11" borderId="3" xfId="0" applyFont="1" applyFill="1" applyBorder="1" applyAlignment="1">
      <alignment horizontal="left" vertical="center" wrapText="1"/>
    </xf>
    <xf numFmtId="0" fontId="5" fillId="3" borderId="4" xfId="0" applyFont="1" applyFill="1" applyBorder="1" applyAlignment="1">
      <alignment horizontal="center" vertical="center" wrapText="1"/>
    </xf>
    <xf numFmtId="166" fontId="8" fillId="8" borderId="4" xfId="0" applyNumberFormat="1" applyFont="1" applyFill="1" applyBorder="1" applyAlignment="1">
      <alignment horizontal="center" vertical="center" wrapText="1"/>
    </xf>
    <xf numFmtId="166" fontId="32" fillId="8" borderId="4" xfId="0" applyNumberFormat="1" applyFont="1" applyFill="1" applyBorder="1" applyAlignment="1">
      <alignment horizontal="center" vertical="center" wrapText="1"/>
    </xf>
    <xf numFmtId="166" fontId="8" fillId="14" borderId="4" xfId="0" applyNumberFormat="1" applyFont="1" applyFill="1" applyBorder="1" applyAlignment="1">
      <alignment horizontal="center" vertical="center" wrapText="1"/>
    </xf>
    <xf numFmtId="166" fontId="8" fillId="13" borderId="4" xfId="0" applyNumberFormat="1" applyFont="1" applyFill="1" applyBorder="1" applyAlignment="1">
      <alignment horizontal="center" vertical="center" wrapText="1"/>
    </xf>
    <xf numFmtId="166" fontId="8" fillId="9" borderId="4" xfId="0" applyNumberFormat="1" applyFont="1" applyFill="1" applyBorder="1" applyAlignment="1">
      <alignment horizontal="center" vertical="center" wrapText="1"/>
    </xf>
    <xf numFmtId="166" fontId="8" fillId="7" borderId="4" xfId="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168" fontId="9" fillId="3" borderId="3" xfId="0" applyNumberFormat="1" applyFont="1" applyFill="1" applyBorder="1" applyAlignment="1">
      <alignment horizontal="center" vertical="center" wrapText="1"/>
    </xf>
    <xf numFmtId="168" fontId="39" fillId="3" borderId="3" xfId="0" applyNumberFormat="1" applyFont="1" applyFill="1" applyBorder="1" applyAlignment="1">
      <alignment horizontal="center" vertical="center" wrapText="1"/>
    </xf>
    <xf numFmtId="2" fontId="40" fillId="3" borderId="3" xfId="0" applyNumberFormat="1" applyFont="1" applyFill="1" applyBorder="1" applyAlignment="1">
      <alignment horizontal="center" vertical="center" wrapText="1"/>
    </xf>
    <xf numFmtId="2" fontId="43" fillId="3" borderId="3" xfId="0" applyNumberFormat="1" applyFont="1" applyFill="1" applyBorder="1" applyAlignment="1">
      <alignment horizontal="center" vertical="center" wrapText="1"/>
    </xf>
    <xf numFmtId="168" fontId="31" fillId="3" borderId="3" xfId="0" applyNumberFormat="1" applyFont="1" applyFill="1" applyBorder="1" applyAlignment="1">
      <alignment horizontal="center" vertical="center" wrapText="1"/>
    </xf>
    <xf numFmtId="168" fontId="42" fillId="3" borderId="3" xfId="0" applyNumberFormat="1"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168" fontId="33" fillId="3" borderId="8" xfId="0" applyNumberFormat="1" applyFont="1" applyFill="1" applyBorder="1" applyAlignment="1">
      <alignment horizontal="center" vertical="center" wrapText="1"/>
    </xf>
    <xf numFmtId="168" fontId="33" fillId="6" borderId="9" xfId="0" applyNumberFormat="1" applyFont="1" applyFill="1" applyBorder="1" applyAlignment="1">
      <alignment horizontal="center" vertical="center" wrapText="1"/>
    </xf>
    <xf numFmtId="168" fontId="40" fillId="6" borderId="9" xfId="0" applyNumberFormat="1" applyFont="1" applyFill="1" applyBorder="1" applyAlignment="1">
      <alignment horizontal="center" vertical="center" wrapText="1"/>
    </xf>
    <xf numFmtId="168" fontId="38" fillId="3" borderId="8" xfId="0" applyNumberFormat="1" applyFont="1" applyFill="1" applyBorder="1" applyAlignment="1">
      <alignment horizontal="center" vertical="center" wrapText="1"/>
    </xf>
    <xf numFmtId="168" fontId="38" fillId="6" borderId="9" xfId="0" applyNumberFormat="1" applyFont="1" applyFill="1" applyBorder="1" applyAlignment="1">
      <alignment horizontal="center" vertical="center" wrapText="1"/>
    </xf>
    <xf numFmtId="168" fontId="38" fillId="3" borderId="10" xfId="0" applyNumberFormat="1" applyFont="1" applyFill="1" applyBorder="1" applyAlignment="1">
      <alignment horizontal="center" vertical="center" wrapText="1"/>
    </xf>
    <xf numFmtId="168" fontId="38" fillId="3" borderId="11" xfId="0" applyNumberFormat="1" applyFont="1" applyFill="1" applyBorder="1" applyAlignment="1">
      <alignment horizontal="center" vertical="center" wrapText="1"/>
    </xf>
    <xf numFmtId="168" fontId="38" fillId="6" borderId="12" xfId="0" applyNumberFormat="1" applyFont="1" applyFill="1" applyBorder="1" applyAlignment="1">
      <alignment horizontal="center" vertical="center" wrapText="1"/>
    </xf>
    <xf numFmtId="2" fontId="38" fillId="3" borderId="3" xfId="0" applyNumberFormat="1" applyFont="1" applyFill="1" applyBorder="1" applyAlignment="1">
      <alignment horizontal="center" vertical="center" wrapText="1"/>
    </xf>
    <xf numFmtId="2" fontId="38" fillId="3" borderId="1" xfId="0" applyNumberFormat="1" applyFont="1" applyFill="1" applyBorder="1" applyAlignment="1">
      <alignment horizontal="center" vertical="center" wrapText="1"/>
    </xf>
    <xf numFmtId="2" fontId="31" fillId="3" borderId="1" xfId="0" applyNumberFormat="1" applyFont="1" applyFill="1" applyBorder="1" applyAlignment="1">
      <alignment horizontal="center" vertical="center" wrapText="1"/>
    </xf>
    <xf numFmtId="2" fontId="38" fillId="6" borderId="1" xfId="0" applyNumberFormat="1" applyFont="1" applyFill="1" applyBorder="1" applyAlignment="1">
      <alignment horizontal="center" vertical="center" wrapText="1"/>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85</xdr:row>
      <xdr:rowOff>47625</xdr:rowOff>
    </xdr:from>
    <xdr:to>
      <xdr:col>5</xdr:col>
      <xdr:colOff>600075</xdr:colOff>
      <xdr:row>94</xdr:row>
      <xdr:rowOff>91424</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7151" y="29346525"/>
          <a:ext cx="4629149" cy="1758299"/>
        </a:xfrm>
        <a:prstGeom prst="rect">
          <a:avLst/>
        </a:prstGeom>
        <a:noFill/>
      </xdr:spPr>
    </xdr:pic>
    <xdr:clientData/>
  </xdr:twoCellAnchor>
  <xdr:twoCellAnchor editAs="oneCell">
    <xdr:from>
      <xdr:col>0</xdr:col>
      <xdr:colOff>38100</xdr:colOff>
      <xdr:row>96</xdr:row>
      <xdr:rowOff>0</xdr:rowOff>
    </xdr:from>
    <xdr:to>
      <xdr:col>10</xdr:col>
      <xdr:colOff>714375</xdr:colOff>
      <xdr:row>128</xdr:row>
      <xdr:rowOff>142875</xdr:rowOff>
    </xdr:to>
    <xdr:pic>
      <xdr:nvPicPr>
        <xdr:cNvPr id="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8100" y="88106250"/>
          <a:ext cx="8562975" cy="6238875"/>
        </a:xfrm>
        <a:prstGeom prst="rect">
          <a:avLst/>
        </a:prstGeom>
        <a:noFill/>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85"/>
  <sheetViews>
    <sheetView tabSelected="1" topLeftCell="A2" zoomScale="90" zoomScaleNormal="90" workbookViewId="0">
      <pane xSplit="4" ySplit="1" topLeftCell="E3" activePane="bottomRight" state="frozen"/>
      <selection activeCell="A2" sqref="A2"/>
      <selection pane="topRight" activeCell="D2" sqref="D2"/>
      <selection pane="bottomLeft" activeCell="A3" sqref="A3"/>
      <selection pane="bottomRight" activeCell="A52" sqref="A52"/>
    </sheetView>
  </sheetViews>
  <sheetFormatPr defaultRowHeight="15"/>
  <cols>
    <col min="1" max="1" width="17.85546875" customWidth="1"/>
    <col min="2" max="2" width="10.28515625" customWidth="1"/>
    <col min="3" max="3" width="11.7109375" customWidth="1"/>
    <col min="4" max="5" width="10.7109375" customWidth="1"/>
    <col min="6" max="6" width="10.28515625" customWidth="1"/>
    <col min="7" max="7" width="10.5703125" customWidth="1"/>
    <col min="8" max="8" width="10.7109375" customWidth="1"/>
    <col min="9" max="9" width="11.7109375" customWidth="1"/>
    <col min="10" max="10" width="13.7109375" customWidth="1"/>
    <col min="11" max="11" width="12.140625" customWidth="1"/>
    <col min="12" max="12" width="14.7109375" customWidth="1"/>
    <col min="13" max="13" width="15.85546875" customWidth="1"/>
    <col min="14" max="14" width="13.5703125" customWidth="1"/>
    <col min="15" max="15" width="39" customWidth="1"/>
    <col min="16" max="16" width="68.42578125" customWidth="1"/>
    <col min="17" max="17" width="47.5703125" customWidth="1"/>
    <col min="18" max="18" width="12.85546875" customWidth="1"/>
    <col min="19" max="19" width="13.85546875" customWidth="1"/>
    <col min="20" max="20" width="11" customWidth="1"/>
    <col min="21" max="22" width="10.7109375" customWidth="1"/>
    <col min="23" max="25" width="15.28515625" customWidth="1"/>
    <col min="26" max="28" width="17.42578125" customWidth="1"/>
    <col min="29" max="29" width="18.140625" customWidth="1"/>
    <col min="30" max="30" width="14.28515625" customWidth="1"/>
    <col min="31" max="31" width="24.85546875" customWidth="1"/>
    <col min="32" max="32" width="25.140625" customWidth="1"/>
    <col min="34" max="34" width="11" bestFit="1" customWidth="1"/>
  </cols>
  <sheetData>
    <row r="1" spans="1:34" ht="15.75" thickBot="1"/>
    <row r="2" spans="1:34" ht="61.5" customHeight="1" thickTop="1">
      <c r="A2" s="8" t="s">
        <v>14</v>
      </c>
      <c r="B2" s="18" t="s">
        <v>5</v>
      </c>
      <c r="C2" s="1" t="s">
        <v>0</v>
      </c>
      <c r="D2" s="7" t="s">
        <v>13</v>
      </c>
      <c r="E2" s="7" t="s">
        <v>10</v>
      </c>
      <c r="F2" s="7" t="s">
        <v>32</v>
      </c>
      <c r="G2" s="2" t="s">
        <v>193</v>
      </c>
      <c r="H2" s="7" t="s">
        <v>196</v>
      </c>
      <c r="I2" s="2" t="s">
        <v>4</v>
      </c>
      <c r="J2" s="7" t="s">
        <v>51</v>
      </c>
      <c r="K2" s="7" t="s">
        <v>123</v>
      </c>
      <c r="L2" s="7" t="s">
        <v>103</v>
      </c>
      <c r="M2" s="7" t="s">
        <v>120</v>
      </c>
      <c r="N2" s="14" t="s">
        <v>200</v>
      </c>
      <c r="O2" s="50" t="s">
        <v>138</v>
      </c>
      <c r="P2" s="9" t="s">
        <v>139</v>
      </c>
      <c r="Q2" s="2" t="s">
        <v>9</v>
      </c>
      <c r="R2" s="5" t="s">
        <v>182</v>
      </c>
      <c r="S2" s="13" t="s">
        <v>183</v>
      </c>
      <c r="T2" s="14" t="s">
        <v>17</v>
      </c>
      <c r="U2" s="14" t="s">
        <v>18</v>
      </c>
      <c r="V2" s="144" t="s">
        <v>33</v>
      </c>
      <c r="W2" s="158" t="s">
        <v>92</v>
      </c>
      <c r="X2" s="159" t="s">
        <v>93</v>
      </c>
      <c r="Y2" s="160" t="s">
        <v>94</v>
      </c>
      <c r="Z2" s="151" t="s">
        <v>222</v>
      </c>
      <c r="AA2" s="6" t="s">
        <v>223</v>
      </c>
      <c r="AB2" s="6" t="s">
        <v>236</v>
      </c>
      <c r="AC2" s="62" t="s">
        <v>224</v>
      </c>
      <c r="AD2" s="14" t="s">
        <v>200</v>
      </c>
      <c r="AE2" s="6" t="s">
        <v>7</v>
      </c>
      <c r="AF2" s="6" t="s">
        <v>2</v>
      </c>
      <c r="AG2" s="4" t="s">
        <v>1</v>
      </c>
      <c r="AH2" s="3"/>
    </row>
    <row r="3" spans="1:34" ht="103.5" hidden="1" customHeight="1">
      <c r="A3" s="27" t="s">
        <v>56</v>
      </c>
      <c r="B3" s="28" t="s">
        <v>65</v>
      </c>
      <c r="C3" s="28" t="s">
        <v>48</v>
      </c>
      <c r="D3" s="52" t="s">
        <v>42</v>
      </c>
      <c r="E3" s="52" t="s">
        <v>63</v>
      </c>
      <c r="F3" s="53" t="s">
        <v>31</v>
      </c>
      <c r="G3" s="53">
        <v>1.06</v>
      </c>
      <c r="H3" s="53">
        <v>1.01</v>
      </c>
      <c r="I3" s="57" t="s">
        <v>64</v>
      </c>
      <c r="J3" s="54" t="s">
        <v>52</v>
      </c>
      <c r="K3" s="55"/>
      <c r="L3" s="55"/>
      <c r="M3" s="55"/>
      <c r="N3" s="119"/>
      <c r="O3" s="69" t="s">
        <v>57</v>
      </c>
      <c r="P3" s="72" t="s">
        <v>80</v>
      </c>
      <c r="Q3" s="70" t="s">
        <v>58</v>
      </c>
      <c r="R3" s="29"/>
      <c r="S3" s="30">
        <f t="shared" ref="S3:S34" si="0">R3-AH3</f>
        <v>0</v>
      </c>
      <c r="T3" s="31">
        <f t="shared" ref="T3:T11" si="1">PRODUCT(S3,3.5)</f>
        <v>0</v>
      </c>
      <c r="U3" s="31">
        <f>PRODUCT(S3,7)</f>
        <v>0</v>
      </c>
      <c r="V3" s="145">
        <f>PRODUCT(S3,13.5)</f>
        <v>0</v>
      </c>
      <c r="W3" s="161">
        <f xml:space="preserve"> T3/T14</f>
        <v>0</v>
      </c>
      <c r="X3" s="104">
        <f xml:space="preserve"> U3/U14</f>
        <v>0</v>
      </c>
      <c r="Y3" s="162">
        <f xml:space="preserve"> V3/V17</f>
        <v>0</v>
      </c>
      <c r="Z3" s="152">
        <f>PRODUCT(T3/T14,G14/ G3)</f>
        <v>0</v>
      </c>
      <c r="AA3" s="99">
        <f>PRODUCT(U3/U14,G14/ G3)</f>
        <v>0</v>
      </c>
      <c r="AB3" s="123">
        <f>PRODUCT(V3/V17,G17/ G3)</f>
        <v>0</v>
      </c>
      <c r="AC3" s="123">
        <f>PRODUCT(V3/V17,H17/ H3)</f>
        <v>0</v>
      </c>
      <c r="AD3" s="119"/>
      <c r="AE3" s="136"/>
      <c r="AF3" s="131"/>
      <c r="AG3" s="32"/>
      <c r="AH3" s="10">
        <f t="shared" ref="AH3:AH34" si="2">AG3*R3</f>
        <v>0</v>
      </c>
    </row>
    <row r="4" spans="1:34" ht="109.5" hidden="1" customHeight="1">
      <c r="A4" s="27" t="s">
        <v>66</v>
      </c>
      <c r="B4" s="28" t="s">
        <v>65</v>
      </c>
      <c r="C4" s="28" t="s">
        <v>61</v>
      </c>
      <c r="D4" s="43" t="s">
        <v>42</v>
      </c>
      <c r="E4" s="43" t="s">
        <v>63</v>
      </c>
      <c r="F4" s="28" t="s">
        <v>31</v>
      </c>
      <c r="G4" s="142">
        <v>1</v>
      </c>
      <c r="H4" s="100">
        <v>1</v>
      </c>
      <c r="I4" s="58" t="s">
        <v>64</v>
      </c>
      <c r="J4" s="54" t="s">
        <v>52</v>
      </c>
      <c r="K4" s="54" t="s">
        <v>54</v>
      </c>
      <c r="L4" s="54"/>
      <c r="M4" s="54"/>
      <c r="N4" s="120"/>
      <c r="O4" s="69" t="s">
        <v>57</v>
      </c>
      <c r="P4" s="69" t="s">
        <v>79</v>
      </c>
      <c r="Q4" s="96" t="s">
        <v>60</v>
      </c>
      <c r="R4" s="29"/>
      <c r="S4" s="30">
        <f t="shared" si="0"/>
        <v>0</v>
      </c>
      <c r="T4" s="31">
        <f t="shared" si="1"/>
        <v>0</v>
      </c>
      <c r="U4" s="31">
        <f>PRODUCT(S4,7)</f>
        <v>0</v>
      </c>
      <c r="V4" s="145">
        <f>PRODUCT(S4,13.5)</f>
        <v>0</v>
      </c>
      <c r="W4" s="161">
        <f xml:space="preserve"> T4/T14</f>
        <v>0</v>
      </c>
      <c r="X4" s="104">
        <f xml:space="preserve"> U4/U14</f>
        <v>0</v>
      </c>
      <c r="Y4" s="162">
        <f xml:space="preserve"> V4/V15</f>
        <v>0</v>
      </c>
      <c r="Z4" s="153">
        <f>PRODUCT(T4/T15,G15/ G4)</f>
        <v>0</v>
      </c>
      <c r="AA4" s="105">
        <f>PRODUCT(U4/U15,G15/ G4)</f>
        <v>0</v>
      </c>
      <c r="AB4" s="124">
        <f>PRODUCT(V4/V15,G15/ G4)</f>
        <v>0</v>
      </c>
      <c r="AC4" s="124">
        <f>PRODUCT(V4/V15,H15/ H4)</f>
        <v>0</v>
      </c>
      <c r="AD4" s="120"/>
      <c r="AE4" s="136"/>
      <c r="AF4" s="131"/>
      <c r="AG4" s="32"/>
      <c r="AH4" s="10">
        <f t="shared" si="2"/>
        <v>0</v>
      </c>
    </row>
    <row r="5" spans="1:34" ht="103.5" hidden="1" customHeight="1">
      <c r="A5" s="27" t="s">
        <v>66</v>
      </c>
      <c r="B5" s="28" t="s">
        <v>65</v>
      </c>
      <c r="C5" s="28" t="s">
        <v>62</v>
      </c>
      <c r="D5" s="43" t="s">
        <v>42</v>
      </c>
      <c r="E5" s="43" t="s">
        <v>63</v>
      </c>
      <c r="F5" s="28" t="s">
        <v>31</v>
      </c>
      <c r="G5" s="100">
        <v>1</v>
      </c>
      <c r="H5" s="100">
        <v>1</v>
      </c>
      <c r="I5" s="58" t="s">
        <v>64</v>
      </c>
      <c r="J5" s="54" t="s">
        <v>52</v>
      </c>
      <c r="K5" s="54" t="s">
        <v>54</v>
      </c>
      <c r="L5" s="54"/>
      <c r="M5" s="54"/>
      <c r="N5" s="120"/>
      <c r="O5" s="69" t="s">
        <v>57</v>
      </c>
      <c r="P5" s="69" t="s">
        <v>80</v>
      </c>
      <c r="Q5" s="96" t="s">
        <v>60</v>
      </c>
      <c r="R5" s="29"/>
      <c r="S5" s="30">
        <f t="shared" si="0"/>
        <v>0</v>
      </c>
      <c r="T5" s="31">
        <f t="shared" si="1"/>
        <v>0</v>
      </c>
      <c r="U5" s="31">
        <f>PRODUCT(S5,10)</f>
        <v>0</v>
      </c>
      <c r="V5" s="145">
        <f>PRODUCT(S5,26.5)</f>
        <v>0</v>
      </c>
      <c r="W5" s="161">
        <f xml:space="preserve"> T5/T14</f>
        <v>0</v>
      </c>
      <c r="X5" s="104">
        <f xml:space="preserve"> U5/U14</f>
        <v>0</v>
      </c>
      <c r="Y5" s="162">
        <f xml:space="preserve"> V5/V15</f>
        <v>0</v>
      </c>
      <c r="Z5" s="153">
        <f>PRODUCT(T5/T15,G15/ G5)</f>
        <v>0</v>
      </c>
      <c r="AA5" s="105">
        <f>PRODUCT(U5/U15,G15/ G5)</f>
        <v>0</v>
      </c>
      <c r="AB5" s="124">
        <f>PRODUCT(V5/V15,G15/ G5)</f>
        <v>0</v>
      </c>
      <c r="AC5" s="124">
        <f>PRODUCT(V5/V15,H15/ H5)</f>
        <v>0</v>
      </c>
      <c r="AD5" s="120"/>
      <c r="AE5" s="136"/>
      <c r="AF5" s="131"/>
      <c r="AG5" s="32"/>
      <c r="AH5" s="10">
        <f t="shared" si="2"/>
        <v>0</v>
      </c>
    </row>
    <row r="6" spans="1:34" ht="104.25" hidden="1" customHeight="1">
      <c r="A6" s="27" t="s">
        <v>67</v>
      </c>
      <c r="B6" s="28" t="s">
        <v>68</v>
      </c>
      <c r="C6" s="28" t="s">
        <v>48</v>
      </c>
      <c r="D6" s="43" t="s">
        <v>42</v>
      </c>
      <c r="E6" s="43" t="s">
        <v>63</v>
      </c>
      <c r="F6" s="28" t="s">
        <v>31</v>
      </c>
      <c r="G6" s="28">
        <v>1.06</v>
      </c>
      <c r="H6" s="28">
        <v>1.01</v>
      </c>
      <c r="I6" s="58" t="s">
        <v>64</v>
      </c>
      <c r="J6" s="61" t="s">
        <v>53</v>
      </c>
      <c r="K6" s="54"/>
      <c r="L6" s="54"/>
      <c r="M6" s="54"/>
      <c r="N6" s="120"/>
      <c r="O6" s="69" t="s">
        <v>57</v>
      </c>
      <c r="P6" s="69" t="s">
        <v>81</v>
      </c>
      <c r="Q6" s="96" t="s">
        <v>58</v>
      </c>
      <c r="R6" s="29"/>
      <c r="S6" s="30">
        <f t="shared" si="0"/>
        <v>0</v>
      </c>
      <c r="T6" s="31">
        <f t="shared" si="1"/>
        <v>0</v>
      </c>
      <c r="U6" s="31">
        <f>PRODUCT(S6,7)</f>
        <v>0</v>
      </c>
      <c r="V6" s="145">
        <f>PRODUCT(S6,13.5)</f>
        <v>0</v>
      </c>
      <c r="W6" s="161">
        <f xml:space="preserve"> T6/T14</f>
        <v>0</v>
      </c>
      <c r="X6" s="104">
        <f xml:space="preserve"> U6/U14</f>
        <v>0</v>
      </c>
      <c r="Y6" s="162">
        <f xml:space="preserve"> V6/V17</f>
        <v>0</v>
      </c>
      <c r="Z6" s="152">
        <f>PRODUCT(T6/T14,G14/ G6)</f>
        <v>0</v>
      </c>
      <c r="AA6" s="99">
        <f>PRODUCT(U6/U14,G14/ G6)</f>
        <v>0</v>
      </c>
      <c r="AB6" s="123">
        <f>PRODUCT(V6/V17,G17/G6)</f>
        <v>0</v>
      </c>
      <c r="AC6" s="123">
        <f>PRODUCT(V6/V17,H17/H6)</f>
        <v>0</v>
      </c>
      <c r="AD6" s="120"/>
      <c r="AE6" s="136"/>
      <c r="AF6" s="131"/>
      <c r="AG6" s="32"/>
      <c r="AH6" s="10">
        <f t="shared" si="2"/>
        <v>0</v>
      </c>
    </row>
    <row r="7" spans="1:34" ht="104.25" hidden="1" customHeight="1">
      <c r="A7" s="27" t="s">
        <v>69</v>
      </c>
      <c r="B7" s="28" t="s">
        <v>68</v>
      </c>
      <c r="C7" s="28" t="s">
        <v>61</v>
      </c>
      <c r="D7" s="43" t="s">
        <v>42</v>
      </c>
      <c r="E7" s="43" t="s">
        <v>63</v>
      </c>
      <c r="F7" s="28" t="s">
        <v>31</v>
      </c>
      <c r="G7" s="100">
        <v>1</v>
      </c>
      <c r="H7" s="100">
        <v>1</v>
      </c>
      <c r="I7" s="58" t="s">
        <v>64</v>
      </c>
      <c r="J7" s="61" t="s">
        <v>53</v>
      </c>
      <c r="K7" s="54" t="s">
        <v>54</v>
      </c>
      <c r="L7" s="54"/>
      <c r="M7" s="54"/>
      <c r="N7" s="120"/>
      <c r="O7" s="69" t="s">
        <v>57</v>
      </c>
      <c r="P7" s="69" t="s">
        <v>82</v>
      </c>
      <c r="Q7" s="96" t="s">
        <v>60</v>
      </c>
      <c r="R7" s="29"/>
      <c r="S7" s="30">
        <f t="shared" si="0"/>
        <v>0</v>
      </c>
      <c r="T7" s="31">
        <f t="shared" si="1"/>
        <v>0</v>
      </c>
      <c r="U7" s="31">
        <f>PRODUCT(S7,7)</f>
        <v>0</v>
      </c>
      <c r="V7" s="145">
        <f>PRODUCT(S7,13.5)</f>
        <v>0</v>
      </c>
      <c r="W7" s="161">
        <f xml:space="preserve"> T7/T14</f>
        <v>0</v>
      </c>
      <c r="X7" s="104">
        <f xml:space="preserve"> U7/U14</f>
        <v>0</v>
      </c>
      <c r="Y7" s="162">
        <f xml:space="preserve"> V7/V15</f>
        <v>0</v>
      </c>
      <c r="Z7" s="153">
        <f>PRODUCT(T7/T15,G15/ G7)</f>
        <v>0</v>
      </c>
      <c r="AA7" s="105">
        <f>PRODUCT(U7/U15,G15/ G7)</f>
        <v>0</v>
      </c>
      <c r="AB7" s="124">
        <f>PRODUCT(V7/V15,G15/G7)</f>
        <v>0</v>
      </c>
      <c r="AC7" s="124">
        <f>PRODUCT(V7/V15,H15/H7)</f>
        <v>0</v>
      </c>
      <c r="AD7" s="120"/>
      <c r="AE7" s="136"/>
      <c r="AF7" s="131"/>
      <c r="AG7" s="32"/>
      <c r="AH7" s="10">
        <f t="shared" si="2"/>
        <v>0</v>
      </c>
    </row>
    <row r="8" spans="1:34" ht="104.25" hidden="1" customHeight="1">
      <c r="A8" s="27" t="s">
        <v>69</v>
      </c>
      <c r="B8" s="28" t="s">
        <v>68</v>
      </c>
      <c r="C8" s="28" t="s">
        <v>62</v>
      </c>
      <c r="D8" s="43" t="s">
        <v>42</v>
      </c>
      <c r="E8" s="43" t="s">
        <v>63</v>
      </c>
      <c r="F8" s="28" t="s">
        <v>31</v>
      </c>
      <c r="G8" s="100">
        <v>1</v>
      </c>
      <c r="H8" s="100">
        <v>1</v>
      </c>
      <c r="I8" s="58" t="s">
        <v>64</v>
      </c>
      <c r="J8" s="61" t="s">
        <v>53</v>
      </c>
      <c r="K8" s="54" t="s">
        <v>54</v>
      </c>
      <c r="L8" s="54"/>
      <c r="M8" s="54"/>
      <c r="N8" s="120"/>
      <c r="O8" s="69" t="s">
        <v>57</v>
      </c>
      <c r="P8" s="69" t="s">
        <v>81</v>
      </c>
      <c r="Q8" s="96" t="s">
        <v>60</v>
      </c>
      <c r="R8" s="29"/>
      <c r="S8" s="30">
        <f t="shared" si="0"/>
        <v>0</v>
      </c>
      <c r="T8" s="31">
        <f t="shared" si="1"/>
        <v>0</v>
      </c>
      <c r="U8" s="31">
        <f>PRODUCT(S8,10)</f>
        <v>0</v>
      </c>
      <c r="V8" s="145">
        <f>PRODUCT(S8,26.5)</f>
        <v>0</v>
      </c>
      <c r="W8" s="161">
        <f xml:space="preserve"> T8/T14</f>
        <v>0</v>
      </c>
      <c r="X8" s="104">
        <f xml:space="preserve"> U8/U14</f>
        <v>0</v>
      </c>
      <c r="Y8" s="162">
        <f xml:space="preserve"> V8/V15</f>
        <v>0</v>
      </c>
      <c r="Z8" s="153">
        <f>PRODUCT(T8/T15,G15/ G8)</f>
        <v>0</v>
      </c>
      <c r="AA8" s="105">
        <f>PRODUCT(U8/U15,G15/ G8)</f>
        <v>0</v>
      </c>
      <c r="AB8" s="124">
        <f>PRODUCT(V8/V15,G15/ G8)</f>
        <v>0</v>
      </c>
      <c r="AC8" s="124">
        <f>PRODUCT(V8/V15,H15/ H8)</f>
        <v>0</v>
      </c>
      <c r="AD8" s="120"/>
      <c r="AE8" s="136"/>
      <c r="AF8" s="131"/>
      <c r="AG8" s="32"/>
      <c r="AH8" s="10">
        <f t="shared" si="2"/>
        <v>0</v>
      </c>
    </row>
    <row r="9" spans="1:34" ht="104.25" hidden="1" customHeight="1">
      <c r="A9" s="27" t="s">
        <v>72</v>
      </c>
      <c r="B9" s="28" t="s">
        <v>73</v>
      </c>
      <c r="C9" s="28" t="s">
        <v>48</v>
      </c>
      <c r="D9" s="43" t="s">
        <v>42</v>
      </c>
      <c r="E9" s="43" t="s">
        <v>63</v>
      </c>
      <c r="F9" s="28" t="s">
        <v>31</v>
      </c>
      <c r="G9" s="28">
        <v>1.06</v>
      </c>
      <c r="H9" s="28">
        <v>1.01</v>
      </c>
      <c r="I9" s="58" t="s">
        <v>64</v>
      </c>
      <c r="J9" s="54" t="s">
        <v>52</v>
      </c>
      <c r="K9" s="54"/>
      <c r="L9" s="54"/>
      <c r="M9" s="54"/>
      <c r="N9" s="120"/>
      <c r="O9" s="69" t="s">
        <v>57</v>
      </c>
      <c r="P9" s="69" t="s">
        <v>79</v>
      </c>
      <c r="Q9" s="96" t="s">
        <v>58</v>
      </c>
      <c r="R9" s="29"/>
      <c r="S9" s="30">
        <f t="shared" si="0"/>
        <v>0</v>
      </c>
      <c r="T9" s="31">
        <f t="shared" si="1"/>
        <v>0</v>
      </c>
      <c r="U9" s="31">
        <f>PRODUCT(S9,7)</f>
        <v>0</v>
      </c>
      <c r="V9" s="145">
        <f>PRODUCT(S9,13.5)</f>
        <v>0</v>
      </c>
      <c r="W9" s="161">
        <f xml:space="preserve"> T9/T14</f>
        <v>0</v>
      </c>
      <c r="X9" s="104">
        <f xml:space="preserve"> U9/U14</f>
        <v>0</v>
      </c>
      <c r="Y9" s="162">
        <f xml:space="preserve"> V9/V17</f>
        <v>0</v>
      </c>
      <c r="Z9" s="152">
        <f>PRODUCT(T9/T14,G14/ G9)</f>
        <v>0</v>
      </c>
      <c r="AA9" s="99">
        <f>PRODUCT(U9/U14,G14/ G9)</f>
        <v>0</v>
      </c>
      <c r="AB9" s="123">
        <f>PRODUCT(V9/V17,G17/ G9)</f>
        <v>0</v>
      </c>
      <c r="AC9" s="123">
        <f>PRODUCT(V9/V17,H17/ H9)</f>
        <v>0</v>
      </c>
      <c r="AD9" s="120"/>
      <c r="AE9" s="136"/>
      <c r="AF9" s="131"/>
      <c r="AG9" s="32"/>
      <c r="AH9" s="10">
        <f t="shared" si="2"/>
        <v>0</v>
      </c>
    </row>
    <row r="10" spans="1:34" ht="104.25" hidden="1" customHeight="1">
      <c r="A10" s="27" t="s">
        <v>74</v>
      </c>
      <c r="B10" s="28" t="s">
        <v>73</v>
      </c>
      <c r="C10" s="28" t="s">
        <v>61</v>
      </c>
      <c r="D10" s="43" t="s">
        <v>42</v>
      </c>
      <c r="E10" s="43" t="s">
        <v>63</v>
      </c>
      <c r="F10" s="28" t="s">
        <v>31</v>
      </c>
      <c r="G10" s="100">
        <v>1</v>
      </c>
      <c r="H10" s="100">
        <v>1</v>
      </c>
      <c r="I10" s="58" t="s">
        <v>64</v>
      </c>
      <c r="J10" s="54" t="s">
        <v>52</v>
      </c>
      <c r="K10" s="54" t="s">
        <v>54</v>
      </c>
      <c r="L10" s="54"/>
      <c r="M10" s="54"/>
      <c r="N10" s="120"/>
      <c r="O10" s="69" t="s">
        <v>57</v>
      </c>
      <c r="P10" s="69" t="s">
        <v>79</v>
      </c>
      <c r="Q10" s="96" t="s">
        <v>60</v>
      </c>
      <c r="R10" s="29"/>
      <c r="S10" s="30">
        <f t="shared" si="0"/>
        <v>0</v>
      </c>
      <c r="T10" s="31">
        <f t="shared" si="1"/>
        <v>0</v>
      </c>
      <c r="U10" s="31">
        <f>PRODUCT(S10,7)</f>
        <v>0</v>
      </c>
      <c r="V10" s="145">
        <f>PRODUCT(S10,13.5)</f>
        <v>0</v>
      </c>
      <c r="W10" s="161">
        <f xml:space="preserve"> T10/T14</f>
        <v>0</v>
      </c>
      <c r="X10" s="104">
        <f xml:space="preserve"> U10/U14</f>
        <v>0</v>
      </c>
      <c r="Y10" s="162">
        <f xml:space="preserve"> V10/V15</f>
        <v>0</v>
      </c>
      <c r="Z10" s="153">
        <f>PRODUCT(T10/T15,G15/ G10)</f>
        <v>0</v>
      </c>
      <c r="AA10" s="105">
        <f>PRODUCT(U10/U15,G15/ G10)</f>
        <v>0</v>
      </c>
      <c r="AB10" s="124">
        <f>PRODUCT(V10/V15,G15/ G10)</f>
        <v>0</v>
      </c>
      <c r="AC10" s="124">
        <f>PRODUCT(V10/V15,H15/ H10)</f>
        <v>0</v>
      </c>
      <c r="AD10" s="120"/>
      <c r="AE10" s="136"/>
      <c r="AF10" s="131"/>
      <c r="AG10" s="32"/>
      <c r="AH10" s="10">
        <f t="shared" si="2"/>
        <v>0</v>
      </c>
    </row>
    <row r="11" spans="1:34" ht="104.25" hidden="1" customHeight="1">
      <c r="A11" s="27" t="s">
        <v>74</v>
      </c>
      <c r="B11" s="28" t="s">
        <v>73</v>
      </c>
      <c r="C11" s="28" t="s">
        <v>62</v>
      </c>
      <c r="D11" s="43" t="s">
        <v>42</v>
      </c>
      <c r="E11" s="43" t="s">
        <v>63</v>
      </c>
      <c r="F11" s="28" t="s">
        <v>31</v>
      </c>
      <c r="G11" s="100">
        <v>1</v>
      </c>
      <c r="H11" s="100">
        <v>1</v>
      </c>
      <c r="I11" s="58" t="s">
        <v>64</v>
      </c>
      <c r="J11" s="54" t="s">
        <v>52</v>
      </c>
      <c r="K11" s="54" t="s">
        <v>54</v>
      </c>
      <c r="L11" s="54"/>
      <c r="M11" s="54"/>
      <c r="N11" s="120"/>
      <c r="O11" s="69" t="s">
        <v>57</v>
      </c>
      <c r="P11" s="69" t="s">
        <v>79</v>
      </c>
      <c r="Q11" s="96" t="s">
        <v>60</v>
      </c>
      <c r="R11" s="29"/>
      <c r="S11" s="30">
        <f t="shared" si="0"/>
        <v>0</v>
      </c>
      <c r="T11" s="31">
        <f t="shared" si="1"/>
        <v>0</v>
      </c>
      <c r="U11" s="31">
        <f>PRODUCT(S11,10)</f>
        <v>0</v>
      </c>
      <c r="V11" s="145">
        <f>PRODUCT(S11,26.5)</f>
        <v>0</v>
      </c>
      <c r="W11" s="161">
        <f xml:space="preserve"> T11/T14</f>
        <v>0</v>
      </c>
      <c r="X11" s="104">
        <f xml:space="preserve"> U11/U14</f>
        <v>0</v>
      </c>
      <c r="Y11" s="162">
        <f xml:space="preserve"> V11/V15</f>
        <v>0</v>
      </c>
      <c r="Z11" s="153">
        <f>PRODUCT(T11/T15,G15/ G11)</f>
        <v>0</v>
      </c>
      <c r="AA11" s="105">
        <f>PRODUCT(U11/U15,G15/ G11)</f>
        <v>0</v>
      </c>
      <c r="AB11" s="124">
        <f>PRODUCT(V11/V15,G15/G11)</f>
        <v>0</v>
      </c>
      <c r="AC11" s="124">
        <f>PRODUCT(V11/V15,H15/H11)</f>
        <v>0</v>
      </c>
      <c r="AD11" s="120"/>
      <c r="AE11" s="136"/>
      <c r="AF11" s="131"/>
      <c r="AG11" s="32"/>
      <c r="AH11" s="10">
        <f t="shared" si="2"/>
        <v>0</v>
      </c>
    </row>
    <row r="12" spans="1:34" ht="104.25" hidden="1" customHeight="1">
      <c r="A12" s="27" t="s">
        <v>115</v>
      </c>
      <c r="B12" s="28" t="s">
        <v>6</v>
      </c>
      <c r="C12" s="28" t="s">
        <v>105</v>
      </c>
      <c r="D12" s="43" t="s">
        <v>42</v>
      </c>
      <c r="E12" s="43" t="s">
        <v>106</v>
      </c>
      <c r="F12" s="28" t="s">
        <v>31</v>
      </c>
      <c r="G12" s="28">
        <v>1.35</v>
      </c>
      <c r="H12" s="28">
        <v>1.04</v>
      </c>
      <c r="I12" s="58" t="s">
        <v>64</v>
      </c>
      <c r="J12" s="54" t="s">
        <v>52</v>
      </c>
      <c r="K12" s="54"/>
      <c r="L12" s="54"/>
      <c r="M12" s="54"/>
      <c r="N12" s="120"/>
      <c r="O12" s="69" t="s">
        <v>107</v>
      </c>
      <c r="P12" s="69" t="s">
        <v>109</v>
      </c>
      <c r="Q12" s="143" t="s">
        <v>108</v>
      </c>
      <c r="R12" s="29"/>
      <c r="S12" s="30">
        <f t="shared" si="0"/>
        <v>0</v>
      </c>
      <c r="T12" s="31">
        <f>PRODUCT(S12,3.25)</f>
        <v>0</v>
      </c>
      <c r="U12" s="31">
        <f>PRODUCT(S12,6.75)</f>
        <v>0</v>
      </c>
      <c r="V12" s="145">
        <f>PRODUCT(S12,13.25)</f>
        <v>0</v>
      </c>
      <c r="W12" s="161">
        <f xml:space="preserve"> T12/T14</f>
        <v>0</v>
      </c>
      <c r="X12" s="104">
        <f xml:space="preserve"> U12/U14</f>
        <v>0</v>
      </c>
      <c r="Y12" s="162">
        <f xml:space="preserve"> V12/V17</f>
        <v>0</v>
      </c>
      <c r="Z12" s="152">
        <f>PRODUCT(T12/T14,G14/ G12)</f>
        <v>0</v>
      </c>
      <c r="AA12" s="99">
        <f>PRODUCT(U12/U14,G14/ G12)</f>
        <v>0</v>
      </c>
      <c r="AB12" s="123">
        <f>PRODUCT(V12/V17,G17/ G12)</f>
        <v>0</v>
      </c>
      <c r="AC12" s="123">
        <f>PRODUCT(V12/V17,H17/ H12)</f>
        <v>0</v>
      </c>
      <c r="AD12" s="120"/>
      <c r="AE12" s="136"/>
      <c r="AF12" s="131"/>
      <c r="AG12" s="32"/>
      <c r="AH12" s="10">
        <f t="shared" si="2"/>
        <v>0</v>
      </c>
    </row>
    <row r="13" spans="1:34" ht="129.75" hidden="1" customHeight="1">
      <c r="A13" s="27" t="s">
        <v>116</v>
      </c>
      <c r="B13" s="28" t="s">
        <v>6</v>
      </c>
      <c r="C13" s="28" t="s">
        <v>105</v>
      </c>
      <c r="D13" s="52" t="s">
        <v>42</v>
      </c>
      <c r="E13" s="43" t="s">
        <v>106</v>
      </c>
      <c r="F13" s="28" t="s">
        <v>31</v>
      </c>
      <c r="G13" s="100">
        <v>1.27</v>
      </c>
      <c r="H13" s="100">
        <v>1.02</v>
      </c>
      <c r="I13" s="58" t="s">
        <v>64</v>
      </c>
      <c r="J13" s="54" t="s">
        <v>52</v>
      </c>
      <c r="K13" s="54" t="s">
        <v>54</v>
      </c>
      <c r="L13" s="54"/>
      <c r="M13" s="54"/>
      <c r="N13" s="120"/>
      <c r="O13" s="70" t="s">
        <v>107</v>
      </c>
      <c r="P13" s="69" t="s">
        <v>109</v>
      </c>
      <c r="Q13" s="95" t="s">
        <v>108</v>
      </c>
      <c r="R13" s="29"/>
      <c r="S13" s="30">
        <f t="shared" si="0"/>
        <v>0</v>
      </c>
      <c r="T13" s="31">
        <f>PRODUCT(S13,3.25)</f>
        <v>0</v>
      </c>
      <c r="U13" s="31">
        <f>PRODUCT(S13,6.75)</f>
        <v>0</v>
      </c>
      <c r="V13" s="145">
        <f>PRODUCT(S13,13.25)</f>
        <v>0</v>
      </c>
      <c r="W13" s="161">
        <f xml:space="preserve"> T13/T14</f>
        <v>0</v>
      </c>
      <c r="X13" s="104">
        <f xml:space="preserve"> U13/U14</f>
        <v>0</v>
      </c>
      <c r="Y13" s="162">
        <f xml:space="preserve"> V13/V15</f>
        <v>0</v>
      </c>
      <c r="Z13" s="153">
        <f>PRODUCT(T13/T15,G15/ G13)</f>
        <v>0</v>
      </c>
      <c r="AA13" s="105">
        <f>PRODUCT(U13/U15,G15/ G13)</f>
        <v>0</v>
      </c>
      <c r="AB13" s="124">
        <f>PRODUCT(V13/V15,G15/G13)</f>
        <v>0</v>
      </c>
      <c r="AC13" s="124">
        <f>PRODUCT(V13/V15,H15/H13)</f>
        <v>0</v>
      </c>
      <c r="AD13" s="120"/>
      <c r="AE13" s="136"/>
      <c r="AF13" s="131"/>
      <c r="AG13" s="32"/>
      <c r="AH13" s="10">
        <f t="shared" si="2"/>
        <v>0</v>
      </c>
    </row>
    <row r="14" spans="1:34" ht="119.25" customHeight="1">
      <c r="A14" s="27" t="s">
        <v>70</v>
      </c>
      <c r="B14" s="28" t="s">
        <v>6</v>
      </c>
      <c r="C14" s="28" t="s">
        <v>48</v>
      </c>
      <c r="D14" s="52" t="s">
        <v>42</v>
      </c>
      <c r="E14" s="43" t="s">
        <v>63</v>
      </c>
      <c r="F14" s="28" t="s">
        <v>31</v>
      </c>
      <c r="G14" s="28">
        <v>1.06</v>
      </c>
      <c r="H14" s="28">
        <v>1.01</v>
      </c>
      <c r="I14" s="58" t="s">
        <v>64</v>
      </c>
      <c r="J14" s="54" t="s">
        <v>52</v>
      </c>
      <c r="K14" s="54"/>
      <c r="L14" s="54"/>
      <c r="M14" s="54"/>
      <c r="N14" s="122" t="s">
        <v>201</v>
      </c>
      <c r="O14" s="69" t="s">
        <v>57</v>
      </c>
      <c r="P14" s="69" t="s">
        <v>79</v>
      </c>
      <c r="Q14" s="69" t="s">
        <v>58</v>
      </c>
      <c r="R14" s="29">
        <v>3795</v>
      </c>
      <c r="S14" s="30">
        <f t="shared" si="0"/>
        <v>3795</v>
      </c>
      <c r="T14" s="97">
        <f>PRODUCT(S14,3.5)</f>
        <v>13282.5</v>
      </c>
      <c r="U14" s="97">
        <f>PRODUCT(S14,7)</f>
        <v>26565</v>
      </c>
      <c r="V14" s="145">
        <f>PRODUCT(S14,13.5)</f>
        <v>51232.5</v>
      </c>
      <c r="W14" s="164" t="s">
        <v>3</v>
      </c>
      <c r="X14" s="102" t="s">
        <v>3</v>
      </c>
      <c r="Y14" s="165">
        <f xml:space="preserve"> V14/V17</f>
        <v>1.3053897250483477</v>
      </c>
      <c r="Z14" s="169" t="s">
        <v>237</v>
      </c>
      <c r="AA14" s="170" t="s">
        <v>237</v>
      </c>
      <c r="AB14" s="126">
        <f>PRODUCT(V14/V17,G17/ G14)</f>
        <v>1.3177047224544642</v>
      </c>
      <c r="AC14" s="126">
        <f>PRODUCT(V14/V17,H17/ H14)</f>
        <v>1.3053897250483477</v>
      </c>
      <c r="AD14" s="122" t="s">
        <v>201</v>
      </c>
      <c r="AE14" s="136"/>
      <c r="AF14" s="131"/>
      <c r="AG14" s="32"/>
      <c r="AH14" s="10">
        <f t="shared" si="2"/>
        <v>0</v>
      </c>
    </row>
    <row r="15" spans="1:34" ht="119.25" customHeight="1">
      <c r="A15" s="27" t="s">
        <v>71</v>
      </c>
      <c r="B15" s="28" t="s">
        <v>6</v>
      </c>
      <c r="C15" s="28" t="s">
        <v>61</v>
      </c>
      <c r="D15" s="52" t="s">
        <v>42</v>
      </c>
      <c r="E15" s="43" t="s">
        <v>63</v>
      </c>
      <c r="F15" s="28" t="s">
        <v>31</v>
      </c>
      <c r="G15" s="100">
        <v>1</v>
      </c>
      <c r="H15" s="100">
        <v>1</v>
      </c>
      <c r="I15" s="58" t="s">
        <v>64</v>
      </c>
      <c r="J15" s="54" t="s">
        <v>52</v>
      </c>
      <c r="K15" s="54" t="s">
        <v>54</v>
      </c>
      <c r="L15" s="54"/>
      <c r="M15" s="54"/>
      <c r="N15" s="122" t="s">
        <v>202</v>
      </c>
      <c r="O15" s="69" t="s">
        <v>57</v>
      </c>
      <c r="P15" s="69" t="s">
        <v>79</v>
      </c>
      <c r="Q15" s="69" t="s">
        <v>60</v>
      </c>
      <c r="R15" s="29">
        <v>3795</v>
      </c>
      <c r="S15" s="30">
        <f t="shared" si="0"/>
        <v>3795</v>
      </c>
      <c r="T15" s="98">
        <f>PRODUCT(S15,3.5)</f>
        <v>13282.5</v>
      </c>
      <c r="U15" s="98">
        <f>PRODUCT(S15,7)</f>
        <v>26565</v>
      </c>
      <c r="V15" s="145">
        <f>PRODUCT(S15,13.5)</f>
        <v>51232.5</v>
      </c>
      <c r="W15" s="161" t="s">
        <v>3</v>
      </c>
      <c r="X15" s="104" t="s">
        <v>3</v>
      </c>
      <c r="Y15" s="163" t="s">
        <v>234</v>
      </c>
      <c r="Z15" s="154" t="s">
        <v>197</v>
      </c>
      <c r="AA15" s="106" t="s">
        <v>197</v>
      </c>
      <c r="AB15" s="125" t="s">
        <v>197</v>
      </c>
      <c r="AC15" s="125" t="s">
        <v>199</v>
      </c>
      <c r="AD15" s="122" t="s">
        <v>202</v>
      </c>
      <c r="AE15" s="136"/>
      <c r="AF15" s="131"/>
      <c r="AG15" s="32"/>
      <c r="AH15" s="10">
        <f t="shared" si="2"/>
        <v>0</v>
      </c>
    </row>
    <row r="16" spans="1:34" ht="119.25" customHeight="1">
      <c r="A16" s="27" t="s">
        <v>71</v>
      </c>
      <c r="B16" s="28" t="s">
        <v>6</v>
      </c>
      <c r="C16" s="28" t="s">
        <v>62</v>
      </c>
      <c r="D16" s="52" t="s">
        <v>42</v>
      </c>
      <c r="E16" s="43" t="s">
        <v>63</v>
      </c>
      <c r="F16" s="28" t="s">
        <v>31</v>
      </c>
      <c r="G16" s="100">
        <v>1</v>
      </c>
      <c r="H16" s="100">
        <v>1</v>
      </c>
      <c r="I16" s="58" t="s">
        <v>64</v>
      </c>
      <c r="J16" s="54" t="s">
        <v>52</v>
      </c>
      <c r="K16" s="54" t="s">
        <v>54</v>
      </c>
      <c r="L16" s="54"/>
      <c r="M16" s="54"/>
      <c r="N16" s="122" t="s">
        <v>202</v>
      </c>
      <c r="O16" s="69" t="s">
        <v>57</v>
      </c>
      <c r="P16" s="69" t="s">
        <v>79</v>
      </c>
      <c r="Q16" s="70" t="s">
        <v>60</v>
      </c>
      <c r="R16" s="29">
        <v>3795</v>
      </c>
      <c r="S16" s="30">
        <f t="shared" si="0"/>
        <v>3795</v>
      </c>
      <c r="T16" s="98">
        <f>PRODUCT(S16,3.5)</f>
        <v>13282.5</v>
      </c>
      <c r="U16" s="31">
        <f>PRODUCT(S16,10)</f>
        <v>37950</v>
      </c>
      <c r="V16" s="145">
        <f>PRODUCT(S16,26.5)</f>
        <v>100567.5</v>
      </c>
      <c r="W16" s="164" t="s">
        <v>3</v>
      </c>
      <c r="X16" s="102">
        <f xml:space="preserve"> U16/U14</f>
        <v>1.4285714285714286</v>
      </c>
      <c r="Y16" s="165">
        <f xml:space="preserve"> V16/V15</f>
        <v>1.962962962962963</v>
      </c>
      <c r="Z16" s="155" t="s">
        <v>198</v>
      </c>
      <c r="AA16" s="107">
        <f>PRODUCT(U16/U15,G15/ G16)</f>
        <v>1.4285714285714286</v>
      </c>
      <c r="AB16" s="127">
        <f>PRODUCT(V16/V15,G15/G16)</f>
        <v>1.962962962962963</v>
      </c>
      <c r="AC16" s="127">
        <f>PRODUCT(V16/V15,H15/H16)</f>
        <v>1.962962962962963</v>
      </c>
      <c r="AD16" s="122" t="s">
        <v>202</v>
      </c>
      <c r="AE16" s="136"/>
      <c r="AF16" s="131"/>
      <c r="AG16" s="32"/>
      <c r="AH16" s="10">
        <f t="shared" si="2"/>
        <v>0</v>
      </c>
    </row>
    <row r="17" spans="1:34" ht="119.25" customHeight="1">
      <c r="A17" s="27" t="s">
        <v>47</v>
      </c>
      <c r="B17" s="28" t="s">
        <v>6</v>
      </c>
      <c r="C17" s="28" t="s">
        <v>35</v>
      </c>
      <c r="D17" s="52" t="s">
        <v>42</v>
      </c>
      <c r="E17" s="43" t="s">
        <v>29</v>
      </c>
      <c r="F17" s="28" t="s">
        <v>31</v>
      </c>
      <c r="G17" s="28">
        <v>1.07</v>
      </c>
      <c r="H17" s="28">
        <v>1.01</v>
      </c>
      <c r="I17" s="58" t="s">
        <v>36</v>
      </c>
      <c r="J17" s="74" t="s">
        <v>53</v>
      </c>
      <c r="K17" s="54"/>
      <c r="L17" s="54"/>
      <c r="M17" s="54"/>
      <c r="N17" s="120" t="s">
        <v>205</v>
      </c>
      <c r="O17" s="69" t="s">
        <v>40</v>
      </c>
      <c r="P17" s="69" t="s">
        <v>88</v>
      </c>
      <c r="Q17" s="94" t="s">
        <v>34</v>
      </c>
      <c r="R17" s="29">
        <v>1868.9</v>
      </c>
      <c r="S17" s="30">
        <f t="shared" si="0"/>
        <v>1868.9</v>
      </c>
      <c r="T17" s="31">
        <f>PRODUCT(S17,9)</f>
        <v>16820.100000000002</v>
      </c>
      <c r="U17" s="31">
        <f>PRODUCT(S17,15)</f>
        <v>28033.5</v>
      </c>
      <c r="V17" s="146">
        <f>PRODUCT(S17,21)</f>
        <v>39246.9</v>
      </c>
      <c r="W17" s="164">
        <f xml:space="preserve"> T17/T14</f>
        <v>1.2663354037267083</v>
      </c>
      <c r="X17" s="170">
        <f xml:space="preserve"> U17/U14</f>
        <v>1.0552795031055902</v>
      </c>
      <c r="Y17" s="165" t="s">
        <v>3</v>
      </c>
      <c r="Z17" s="156">
        <f>PRODUCT(T17/T14,G14/ G17)</f>
        <v>1.2545004934115054</v>
      </c>
      <c r="AA17" s="171">
        <f>PRODUCT(U17/U14,G14/ G17)</f>
        <v>1.045417077842921</v>
      </c>
      <c r="AB17" s="172" t="s">
        <v>237</v>
      </c>
      <c r="AC17" s="172" t="s">
        <v>238</v>
      </c>
      <c r="AD17" s="120" t="s">
        <v>205</v>
      </c>
      <c r="AE17" s="136"/>
      <c r="AF17" s="131" t="s">
        <v>229</v>
      </c>
      <c r="AG17" s="32"/>
      <c r="AH17" s="10">
        <f t="shared" si="2"/>
        <v>0</v>
      </c>
    </row>
    <row r="18" spans="1:34" ht="119.25" customHeight="1">
      <c r="A18" s="27" t="s">
        <v>47</v>
      </c>
      <c r="B18" s="28" t="s">
        <v>6</v>
      </c>
      <c r="C18" s="28" t="s">
        <v>39</v>
      </c>
      <c r="D18" s="52" t="s">
        <v>42</v>
      </c>
      <c r="E18" s="43" t="s">
        <v>29</v>
      </c>
      <c r="F18" s="28" t="s">
        <v>31</v>
      </c>
      <c r="G18" s="28">
        <v>1.07</v>
      </c>
      <c r="H18" s="28">
        <v>1.01</v>
      </c>
      <c r="I18" s="58" t="s">
        <v>36</v>
      </c>
      <c r="J18" s="74" t="s">
        <v>53</v>
      </c>
      <c r="K18" s="54"/>
      <c r="L18" s="54"/>
      <c r="M18" s="54"/>
      <c r="N18" s="120" t="s">
        <v>205</v>
      </c>
      <c r="O18" s="69" t="s">
        <v>40</v>
      </c>
      <c r="P18" s="69" t="s">
        <v>87</v>
      </c>
      <c r="Q18" s="94" t="s">
        <v>34</v>
      </c>
      <c r="R18" s="29">
        <v>1868.9</v>
      </c>
      <c r="S18" s="30">
        <f t="shared" si="0"/>
        <v>1868.9</v>
      </c>
      <c r="T18" s="31">
        <f>PRODUCT(S18,9)</f>
        <v>16820.100000000002</v>
      </c>
      <c r="U18" s="31">
        <f>PRODUCT(S18,21)</f>
        <v>39246.9</v>
      </c>
      <c r="V18" s="145">
        <f>PRODUCT(S18,42)</f>
        <v>78493.8</v>
      </c>
      <c r="W18" s="164">
        <f xml:space="preserve"> T18/T14</f>
        <v>1.2663354037267083</v>
      </c>
      <c r="X18" s="102">
        <f xml:space="preserve"> U18/U14</f>
        <v>1.4773913043478262</v>
      </c>
      <c r="Y18" s="165">
        <f xml:space="preserve"> V18/V17</f>
        <v>2</v>
      </c>
      <c r="Z18" s="152">
        <f>PRODUCT(T18/T14,G14/ G18)</f>
        <v>1.2545004934115054</v>
      </c>
      <c r="AA18" s="99">
        <f>PRODUCT(U18/U14,G14/ G18)</f>
        <v>1.4635839089800895</v>
      </c>
      <c r="AB18" s="123">
        <f>PRODUCT(V18/V17,G17/ G18)</f>
        <v>2</v>
      </c>
      <c r="AC18" s="123">
        <f>PRODUCT(V18/V17,H17/ H18)</f>
        <v>2</v>
      </c>
      <c r="AD18" s="120" t="s">
        <v>205</v>
      </c>
      <c r="AE18" s="136"/>
      <c r="AF18" s="131" t="s">
        <v>229</v>
      </c>
      <c r="AG18" s="32"/>
      <c r="AH18" s="10">
        <f t="shared" si="2"/>
        <v>0</v>
      </c>
    </row>
    <row r="19" spans="1:34" ht="119.25" customHeight="1">
      <c r="A19" s="27" t="s">
        <v>49</v>
      </c>
      <c r="B19" s="28" t="s">
        <v>59</v>
      </c>
      <c r="C19" s="28" t="s">
        <v>48</v>
      </c>
      <c r="D19" s="52" t="s">
        <v>30</v>
      </c>
      <c r="E19" s="43" t="s">
        <v>63</v>
      </c>
      <c r="F19" s="28" t="s">
        <v>31</v>
      </c>
      <c r="G19" s="28">
        <v>1.06</v>
      </c>
      <c r="H19" s="28">
        <v>1.01</v>
      </c>
      <c r="I19" s="58" t="s">
        <v>64</v>
      </c>
      <c r="J19" s="54" t="s">
        <v>52</v>
      </c>
      <c r="K19" s="54"/>
      <c r="L19" s="54"/>
      <c r="M19" s="54"/>
      <c r="N19" s="120" t="s">
        <v>204</v>
      </c>
      <c r="O19" s="69" t="s">
        <v>57</v>
      </c>
      <c r="P19" s="69" t="s">
        <v>79</v>
      </c>
      <c r="Q19" s="70" t="s">
        <v>58</v>
      </c>
      <c r="R19" s="29">
        <v>12150.99</v>
      </c>
      <c r="S19" s="30">
        <f t="shared" si="0"/>
        <v>7646.618007</v>
      </c>
      <c r="T19" s="31">
        <f>PRODUCT(S19,3.5)</f>
        <v>26763.163024500001</v>
      </c>
      <c r="U19" s="31">
        <f>PRODUCT(S19,7)</f>
        <v>53526.326049000003</v>
      </c>
      <c r="V19" s="145">
        <f>PRODUCT(S19,13.5)</f>
        <v>103229.3430945</v>
      </c>
      <c r="W19" s="164">
        <f xml:space="preserve"> T19/T14</f>
        <v>2.014919105928854</v>
      </c>
      <c r="X19" s="102">
        <f xml:space="preserve"> U19/U14</f>
        <v>2.014919105928854</v>
      </c>
      <c r="Y19" s="165">
        <f xml:space="preserve"> V19/V17</f>
        <v>2.6302546976831289</v>
      </c>
      <c r="Z19" s="152">
        <f>PRODUCT(T19/T14, G14/G19)</f>
        <v>2.014919105928854</v>
      </c>
      <c r="AA19" s="99">
        <f>PRODUCT(U19/U14, G14/G19)</f>
        <v>2.014919105928854</v>
      </c>
      <c r="AB19" s="123">
        <f>PRODUCT(V19/V17,G17/ G19)</f>
        <v>2.6550684212461775</v>
      </c>
      <c r="AC19" s="123">
        <f>PRODUCT(V19/V17,H17/ H19)</f>
        <v>2.6302546976831289</v>
      </c>
      <c r="AD19" s="120" t="s">
        <v>204</v>
      </c>
      <c r="AE19" s="136"/>
      <c r="AF19" s="131"/>
      <c r="AG19" s="32">
        <v>0.37069999999999997</v>
      </c>
      <c r="AH19" s="10">
        <f t="shared" si="2"/>
        <v>4504.3719929999997</v>
      </c>
    </row>
    <row r="20" spans="1:34" ht="119.25" customHeight="1">
      <c r="A20" s="27" t="s">
        <v>50</v>
      </c>
      <c r="B20" s="28" t="s">
        <v>59</v>
      </c>
      <c r="C20" s="28" t="s">
        <v>61</v>
      </c>
      <c r="D20" s="52" t="s">
        <v>30</v>
      </c>
      <c r="E20" s="43" t="s">
        <v>63</v>
      </c>
      <c r="F20" s="28" t="s">
        <v>31</v>
      </c>
      <c r="G20" s="100">
        <v>1</v>
      </c>
      <c r="H20" s="100">
        <v>1</v>
      </c>
      <c r="I20" s="58" t="s">
        <v>64</v>
      </c>
      <c r="J20" s="54" t="s">
        <v>52</v>
      </c>
      <c r="K20" s="54" t="s">
        <v>54</v>
      </c>
      <c r="L20" s="54"/>
      <c r="M20" s="54"/>
      <c r="N20" s="120" t="s">
        <v>204</v>
      </c>
      <c r="O20" s="69" t="s">
        <v>57</v>
      </c>
      <c r="P20" s="69" t="s">
        <v>79</v>
      </c>
      <c r="Q20" s="69" t="s">
        <v>60</v>
      </c>
      <c r="R20" s="29">
        <v>12150.99</v>
      </c>
      <c r="S20" s="30">
        <f t="shared" si="0"/>
        <v>7646.618007</v>
      </c>
      <c r="T20" s="31">
        <f>PRODUCT(S20,3.5)</f>
        <v>26763.163024500001</v>
      </c>
      <c r="U20" s="31">
        <f>PRODUCT(S20,7)</f>
        <v>53526.326049000003</v>
      </c>
      <c r="V20" s="145">
        <f>PRODUCT(S20,13.5)</f>
        <v>103229.3430945</v>
      </c>
      <c r="W20" s="161">
        <f xml:space="preserve"> T20/T14</f>
        <v>2.014919105928854</v>
      </c>
      <c r="X20" s="104">
        <f xml:space="preserve"> U20/U14</f>
        <v>2.014919105928854</v>
      </c>
      <c r="Y20" s="162">
        <f xml:space="preserve"> V20/V15</f>
        <v>2.0149191059288536</v>
      </c>
      <c r="Z20" s="153">
        <f>PRODUCT(T20/T15,G15/ G20)</f>
        <v>2.014919105928854</v>
      </c>
      <c r="AA20" s="105">
        <f>PRODUCT(U20/U15,G15/ G20)</f>
        <v>2.014919105928854</v>
      </c>
      <c r="AB20" s="124">
        <f>PRODUCT(V20/V15,G15/G20)</f>
        <v>2.0149191059288536</v>
      </c>
      <c r="AC20" s="124">
        <f>PRODUCT(V20/V15,H15/H20)</f>
        <v>2.0149191059288536</v>
      </c>
      <c r="AD20" s="120" t="s">
        <v>204</v>
      </c>
      <c r="AE20" s="136"/>
      <c r="AF20" s="131"/>
      <c r="AG20" s="32">
        <v>0.37069999999999997</v>
      </c>
      <c r="AH20" s="10">
        <f t="shared" si="2"/>
        <v>4504.3719929999997</v>
      </c>
    </row>
    <row r="21" spans="1:34" ht="119.25" customHeight="1">
      <c r="A21" s="27" t="s">
        <v>50</v>
      </c>
      <c r="B21" s="28" t="s">
        <v>59</v>
      </c>
      <c r="C21" s="28" t="s">
        <v>62</v>
      </c>
      <c r="D21" s="52" t="s">
        <v>30</v>
      </c>
      <c r="E21" s="43" t="s">
        <v>63</v>
      </c>
      <c r="F21" s="28" t="s">
        <v>31</v>
      </c>
      <c r="G21" s="100">
        <v>1</v>
      </c>
      <c r="H21" s="100">
        <v>1</v>
      </c>
      <c r="I21" s="58" t="s">
        <v>64</v>
      </c>
      <c r="J21" s="54" t="s">
        <v>52</v>
      </c>
      <c r="K21" s="54" t="s">
        <v>54</v>
      </c>
      <c r="L21" s="54"/>
      <c r="M21" s="54"/>
      <c r="N21" s="120" t="s">
        <v>204</v>
      </c>
      <c r="O21" s="69" t="s">
        <v>57</v>
      </c>
      <c r="P21" s="69" t="s">
        <v>79</v>
      </c>
      <c r="Q21" s="69" t="s">
        <v>60</v>
      </c>
      <c r="R21" s="29">
        <v>12150.99</v>
      </c>
      <c r="S21" s="30">
        <f t="shared" si="0"/>
        <v>7646.618007</v>
      </c>
      <c r="T21" s="31">
        <f>PRODUCT(S21,3.5)</f>
        <v>26763.163024500001</v>
      </c>
      <c r="U21" s="31">
        <f>PRODUCT(S21,10)</f>
        <v>76466.180070000002</v>
      </c>
      <c r="V21" s="145">
        <f>PRODUCT(S21,26.5)</f>
        <v>202635.37718549999</v>
      </c>
      <c r="W21" s="164">
        <f xml:space="preserve"> T21/T14</f>
        <v>2.014919105928854</v>
      </c>
      <c r="X21" s="102">
        <f xml:space="preserve"> U21/U14</f>
        <v>2.8784558656126484</v>
      </c>
      <c r="Y21" s="165">
        <f xml:space="preserve"> V21/V15</f>
        <v>3.955211578304787</v>
      </c>
      <c r="Z21" s="153">
        <f>PRODUCT(T21/T15,G15/ G21)</f>
        <v>2.014919105928854</v>
      </c>
      <c r="AA21" s="105">
        <f>PRODUCT(U21/U15,G15/ G21)</f>
        <v>2.8784558656126484</v>
      </c>
      <c r="AB21" s="124">
        <f>PRODUCT(V21/V15,G15/G21)</f>
        <v>3.955211578304787</v>
      </c>
      <c r="AC21" s="124">
        <f>PRODUCT(V21/V15,H15/H21)</f>
        <v>3.955211578304787</v>
      </c>
      <c r="AD21" s="120" t="s">
        <v>204</v>
      </c>
      <c r="AE21" s="136"/>
      <c r="AF21" s="131"/>
      <c r="AG21" s="32">
        <v>0.37069999999999997</v>
      </c>
      <c r="AH21" s="10">
        <f t="shared" si="2"/>
        <v>4504.3719929999997</v>
      </c>
    </row>
    <row r="22" spans="1:34" ht="119.25" customHeight="1">
      <c r="A22" s="27" t="s">
        <v>104</v>
      </c>
      <c r="B22" s="28" t="s">
        <v>45</v>
      </c>
      <c r="C22" s="28" t="s">
        <v>105</v>
      </c>
      <c r="D22" s="52" t="s">
        <v>30</v>
      </c>
      <c r="E22" s="43" t="s">
        <v>106</v>
      </c>
      <c r="F22" s="28" t="s">
        <v>31</v>
      </c>
      <c r="G22" s="28">
        <v>1.35</v>
      </c>
      <c r="H22" s="28">
        <v>1.04</v>
      </c>
      <c r="I22" s="58" t="s">
        <v>64</v>
      </c>
      <c r="J22" s="54" t="s">
        <v>52</v>
      </c>
      <c r="K22" s="54"/>
      <c r="L22" s="54"/>
      <c r="M22" s="54"/>
      <c r="N22" s="120" t="s">
        <v>206</v>
      </c>
      <c r="O22" s="69" t="s">
        <v>107</v>
      </c>
      <c r="P22" s="69" t="s">
        <v>109</v>
      </c>
      <c r="Q22" s="95" t="s">
        <v>108</v>
      </c>
      <c r="R22" s="29">
        <v>11148.18</v>
      </c>
      <c r="S22" s="30">
        <f t="shared" si="0"/>
        <v>8494.9131600000001</v>
      </c>
      <c r="T22" s="31">
        <f>PRODUCT(S22,3.25)</f>
        <v>27608.467769999999</v>
      </c>
      <c r="U22" s="31">
        <f>PRODUCT(S22,6.75)</f>
        <v>57340.663829999998</v>
      </c>
      <c r="V22" s="145">
        <f>PRODUCT(S22,13.25)</f>
        <v>112557.59937</v>
      </c>
      <c r="W22" s="164">
        <f xml:space="preserve"> T22/T14</f>
        <v>2.0785595911914174</v>
      </c>
      <c r="X22" s="102">
        <f xml:space="preserve"> U22/U14</f>
        <v>2.1585041908526255</v>
      </c>
      <c r="Y22" s="165">
        <f xml:space="preserve"> V22/V17</f>
        <v>2.8679360502358144</v>
      </c>
      <c r="Z22" s="156">
        <f>PRODUCT(T22/T14, G14/G22)</f>
        <v>1.632054197528076</v>
      </c>
      <c r="AA22" s="103">
        <f>PRODUCT(U22/U14, G14/G22)</f>
        <v>1.6948255128176171</v>
      </c>
      <c r="AB22" s="126">
        <f>PRODUCT(V22/V17,G17/ G22)</f>
        <v>2.273104869446164</v>
      </c>
      <c r="AC22" s="126">
        <f>PRODUCT(V22/V17,H17/ H22)</f>
        <v>2.7852071257097815</v>
      </c>
      <c r="AD22" s="120" t="s">
        <v>206</v>
      </c>
      <c r="AE22" s="136"/>
      <c r="AF22" s="131"/>
      <c r="AG22" s="32">
        <v>0.23799999999999999</v>
      </c>
      <c r="AH22" s="10">
        <f t="shared" si="2"/>
        <v>2653.2668399999998</v>
      </c>
    </row>
    <row r="23" spans="1:34" ht="119.25" customHeight="1">
      <c r="A23" s="27" t="s">
        <v>111</v>
      </c>
      <c r="B23" s="28" t="s">
        <v>45</v>
      </c>
      <c r="C23" s="28" t="s">
        <v>105</v>
      </c>
      <c r="D23" s="52" t="s">
        <v>30</v>
      </c>
      <c r="E23" s="43" t="s">
        <v>106</v>
      </c>
      <c r="F23" s="28" t="s">
        <v>31</v>
      </c>
      <c r="G23" s="100">
        <v>1.27</v>
      </c>
      <c r="H23" s="100">
        <v>1.02</v>
      </c>
      <c r="I23" s="58" t="s">
        <v>64</v>
      </c>
      <c r="J23" s="54" t="s">
        <v>52</v>
      </c>
      <c r="K23" s="54" t="s">
        <v>54</v>
      </c>
      <c r="L23" s="54"/>
      <c r="M23" s="54"/>
      <c r="N23" s="120" t="s">
        <v>207</v>
      </c>
      <c r="O23" s="69" t="s">
        <v>107</v>
      </c>
      <c r="P23" s="69" t="s">
        <v>109</v>
      </c>
      <c r="Q23" s="71" t="s">
        <v>108</v>
      </c>
      <c r="R23" s="29">
        <v>11148.18</v>
      </c>
      <c r="S23" s="30">
        <f t="shared" si="0"/>
        <v>8494.9131600000001</v>
      </c>
      <c r="T23" s="31">
        <f>PRODUCT(S23,3.25)</f>
        <v>27608.467769999999</v>
      </c>
      <c r="U23" s="31">
        <f>PRODUCT(S23,6.75)</f>
        <v>57340.663829999998</v>
      </c>
      <c r="V23" s="145">
        <f>PRODUCT(S23,13.25)</f>
        <v>112557.59937</v>
      </c>
      <c r="W23" s="164">
        <f xml:space="preserve"> T23/T14</f>
        <v>2.0785595911914174</v>
      </c>
      <c r="X23" s="102">
        <f xml:space="preserve"> U23/U14</f>
        <v>2.1585041908526255</v>
      </c>
      <c r="Y23" s="165">
        <f xml:space="preserve"> V23/V15</f>
        <v>2.1969960351339481</v>
      </c>
      <c r="Z23" s="157">
        <f>PRODUCT(T23/T15,G15/ G23)</f>
        <v>1.6366610954263128</v>
      </c>
      <c r="AA23" s="107">
        <f>PRODUCT(U23/U15,G15/ G23)</f>
        <v>1.6996095990965554</v>
      </c>
      <c r="AB23" s="127">
        <f>PRODUCT(V23/V15,G15/G23)</f>
        <v>1.7299181379007464</v>
      </c>
      <c r="AC23" s="127">
        <f>PRODUCT(V23/V15,H15/H23)</f>
        <v>2.1539176815038705</v>
      </c>
      <c r="AD23" s="120" t="s">
        <v>207</v>
      </c>
      <c r="AE23" s="136"/>
      <c r="AF23" s="131"/>
      <c r="AG23" s="32">
        <v>0.23799999999999999</v>
      </c>
      <c r="AH23" s="10">
        <f t="shared" si="2"/>
        <v>2653.2668399999998</v>
      </c>
    </row>
    <row r="24" spans="1:34" ht="119.25" customHeight="1">
      <c r="A24" s="27" t="s">
        <v>44</v>
      </c>
      <c r="B24" s="28" t="s">
        <v>45</v>
      </c>
      <c r="C24" s="28" t="s">
        <v>35</v>
      </c>
      <c r="D24" s="52" t="s">
        <v>42</v>
      </c>
      <c r="E24" s="43" t="s">
        <v>29</v>
      </c>
      <c r="F24" s="28" t="s">
        <v>31</v>
      </c>
      <c r="G24" s="28">
        <v>1.07</v>
      </c>
      <c r="H24" s="28">
        <v>1.01</v>
      </c>
      <c r="I24" s="58" t="s">
        <v>36</v>
      </c>
      <c r="J24" s="74" t="s">
        <v>53</v>
      </c>
      <c r="K24" s="54"/>
      <c r="L24" s="54"/>
      <c r="M24" s="54"/>
      <c r="N24" s="120" t="s">
        <v>239</v>
      </c>
      <c r="O24" s="69" t="s">
        <v>40</v>
      </c>
      <c r="P24" s="69" t="s">
        <v>88</v>
      </c>
      <c r="Q24" s="94" t="s">
        <v>34</v>
      </c>
      <c r="R24" s="29">
        <v>3358.07</v>
      </c>
      <c r="S24" s="30">
        <f t="shared" si="0"/>
        <v>3358.07</v>
      </c>
      <c r="T24" s="31">
        <f>PRODUCT(S24,9)</f>
        <v>30222.63</v>
      </c>
      <c r="U24" s="31">
        <f>PRODUCT(S24,15)</f>
        <v>50371.05</v>
      </c>
      <c r="V24" s="145">
        <f>PRODUCT(S24,21)</f>
        <v>70519.47</v>
      </c>
      <c r="W24" s="164">
        <f xml:space="preserve"> T24/T14</f>
        <v>2.2753721061547147</v>
      </c>
      <c r="X24" s="102">
        <f xml:space="preserve"> U24/U14</f>
        <v>1.8961434217955959</v>
      </c>
      <c r="Y24" s="165">
        <f xml:space="preserve"> V24/V17</f>
        <v>1.7968163090588045</v>
      </c>
      <c r="Z24" s="152">
        <f>PRODUCT(T24/T14, G14/G24)</f>
        <v>2.2541069462841099</v>
      </c>
      <c r="AA24" s="99">
        <f>PRODUCT(U24/U14, G14/G24)</f>
        <v>1.8784224552367585</v>
      </c>
      <c r="AB24" s="123">
        <f>PRODUCT(V24/V17,G17/ G24)</f>
        <v>1.7968163090588045</v>
      </c>
      <c r="AC24" s="123">
        <f>PRODUCT(V24/V17,H17/ H24)</f>
        <v>1.7968163090588045</v>
      </c>
      <c r="AD24" s="120" t="s">
        <v>239</v>
      </c>
      <c r="AE24" s="136"/>
      <c r="AF24" s="131" t="s">
        <v>229</v>
      </c>
      <c r="AG24" s="32"/>
      <c r="AH24" s="10">
        <f t="shared" si="2"/>
        <v>0</v>
      </c>
    </row>
    <row r="25" spans="1:34" ht="119.25" customHeight="1">
      <c r="A25" s="27" t="s">
        <v>44</v>
      </c>
      <c r="B25" s="28" t="s">
        <v>45</v>
      </c>
      <c r="C25" s="28" t="s">
        <v>39</v>
      </c>
      <c r="D25" s="52" t="s">
        <v>42</v>
      </c>
      <c r="E25" s="43" t="s">
        <v>29</v>
      </c>
      <c r="F25" s="28" t="s">
        <v>31</v>
      </c>
      <c r="G25" s="28">
        <v>1.07</v>
      </c>
      <c r="H25" s="28">
        <v>1.01</v>
      </c>
      <c r="I25" s="58" t="s">
        <v>36</v>
      </c>
      <c r="J25" s="74" t="s">
        <v>53</v>
      </c>
      <c r="K25" s="54"/>
      <c r="L25" s="54"/>
      <c r="M25" s="54"/>
      <c r="N25" s="120" t="s">
        <v>239</v>
      </c>
      <c r="O25" s="69" t="s">
        <v>40</v>
      </c>
      <c r="P25" s="69" t="s">
        <v>87</v>
      </c>
      <c r="Q25" s="73" t="s">
        <v>34</v>
      </c>
      <c r="R25" s="29">
        <v>3358.07</v>
      </c>
      <c r="S25" s="30">
        <f t="shared" si="0"/>
        <v>3358.07</v>
      </c>
      <c r="T25" s="31">
        <f>PRODUCT(S25,9)</f>
        <v>30222.63</v>
      </c>
      <c r="U25" s="31">
        <f>PRODUCT(S25,21)</f>
        <v>70519.47</v>
      </c>
      <c r="V25" s="145">
        <f>PRODUCT(S25,42)</f>
        <v>141038.94</v>
      </c>
      <c r="W25" s="164">
        <f xml:space="preserve"> T25/T14</f>
        <v>2.2753721061547147</v>
      </c>
      <c r="X25" s="102">
        <f xml:space="preserve"> U25/U14</f>
        <v>2.6546007905138342</v>
      </c>
      <c r="Y25" s="165">
        <f xml:space="preserve"> V25/V17</f>
        <v>3.593632618117609</v>
      </c>
      <c r="Z25" s="152">
        <f>PRODUCT(T25/T14, G14/G25)</f>
        <v>2.2541069462841099</v>
      </c>
      <c r="AA25" s="99">
        <f>PRODUCT(U25/U14, G14/G25)</f>
        <v>2.6297914373314621</v>
      </c>
      <c r="AB25" s="123">
        <f>PRODUCT(V25/V17,G17/ G25)</f>
        <v>3.593632618117609</v>
      </c>
      <c r="AC25" s="123">
        <f>PRODUCT(V25/V17,H17/ H25)</f>
        <v>3.593632618117609</v>
      </c>
      <c r="AD25" s="120" t="s">
        <v>239</v>
      </c>
      <c r="AE25" s="136"/>
      <c r="AF25" s="131" t="s">
        <v>229</v>
      </c>
      <c r="AG25" s="32"/>
      <c r="AH25" s="10">
        <f t="shared" si="2"/>
        <v>0</v>
      </c>
    </row>
    <row r="26" spans="1:34" ht="119.25" customHeight="1">
      <c r="A26" s="108" t="s">
        <v>185</v>
      </c>
      <c r="B26" s="109" t="s">
        <v>6</v>
      </c>
      <c r="C26" s="109" t="s">
        <v>140</v>
      </c>
      <c r="D26" s="110" t="s">
        <v>42</v>
      </c>
      <c r="E26" s="109" t="s">
        <v>141</v>
      </c>
      <c r="F26" s="111" t="s">
        <v>142</v>
      </c>
      <c r="G26" s="109">
        <v>1</v>
      </c>
      <c r="H26" s="109">
        <v>1.01</v>
      </c>
      <c r="I26" s="111" t="s">
        <v>36</v>
      </c>
      <c r="J26" s="61" t="s">
        <v>53</v>
      </c>
      <c r="K26" s="109"/>
      <c r="L26" s="109"/>
      <c r="M26" s="76" t="s">
        <v>122</v>
      </c>
      <c r="N26" s="120" t="s">
        <v>211</v>
      </c>
      <c r="O26" s="112" t="s">
        <v>144</v>
      </c>
      <c r="P26" s="112" t="s">
        <v>145</v>
      </c>
      <c r="Q26" s="112" t="s">
        <v>143</v>
      </c>
      <c r="R26" s="113">
        <v>8036.29</v>
      </c>
      <c r="S26" s="114">
        <f t="shared" si="0"/>
        <v>8036.29</v>
      </c>
      <c r="T26" s="115">
        <f>PRODUCT(S26,4)</f>
        <v>32145.16</v>
      </c>
      <c r="U26" s="115">
        <f>PRODUCT(S26,6)</f>
        <v>48217.74</v>
      </c>
      <c r="V26" s="147">
        <f>PRODUCT(S26,12)</f>
        <v>96435.48</v>
      </c>
      <c r="W26" s="164">
        <f xml:space="preserve"> T26/T14</f>
        <v>2.4201136834180312</v>
      </c>
      <c r="X26" s="102">
        <f xml:space="preserve"> U26/U14</f>
        <v>1.8150852625635234</v>
      </c>
      <c r="Y26" s="165">
        <f xml:space="preserve"> V26/V17</f>
        <v>2.4571489722755171</v>
      </c>
      <c r="Z26" s="152">
        <f>PRODUCT(T26/T14, G14/G26)</f>
        <v>2.5653205044231133</v>
      </c>
      <c r="AA26" s="99">
        <f>PRODUCT(U26/U14, G14/G26)</f>
        <v>1.9239903783173349</v>
      </c>
      <c r="AB26" s="123">
        <f>PRODUCT(V26/V17,G17/ G26)</f>
        <v>2.6291494003348035</v>
      </c>
      <c r="AC26" s="123">
        <f>PRODUCT(V26/V17,H17/ H26)</f>
        <v>2.4571489722755171</v>
      </c>
      <c r="AD26" s="120" t="s">
        <v>211</v>
      </c>
      <c r="AE26" s="137"/>
      <c r="AF26" s="132" t="s">
        <v>230</v>
      </c>
      <c r="AG26" s="116"/>
      <c r="AH26" s="10">
        <f t="shared" si="2"/>
        <v>0</v>
      </c>
    </row>
    <row r="27" spans="1:34" ht="119.25" customHeight="1">
      <c r="A27" s="27" t="s">
        <v>113</v>
      </c>
      <c r="B27" s="28" t="s">
        <v>43</v>
      </c>
      <c r="C27" s="28" t="s">
        <v>105</v>
      </c>
      <c r="D27" s="52" t="s">
        <v>42</v>
      </c>
      <c r="E27" s="43" t="s">
        <v>106</v>
      </c>
      <c r="F27" s="28" t="s">
        <v>31</v>
      </c>
      <c r="G27" s="28">
        <v>1.35</v>
      </c>
      <c r="H27" s="28">
        <v>1.04</v>
      </c>
      <c r="I27" s="58" t="s">
        <v>64</v>
      </c>
      <c r="J27" s="61" t="s">
        <v>53</v>
      </c>
      <c r="K27" s="54"/>
      <c r="L27" s="54"/>
      <c r="M27" s="54"/>
      <c r="N27" s="120" t="s">
        <v>203</v>
      </c>
      <c r="O27" s="69" t="s">
        <v>107</v>
      </c>
      <c r="P27" s="69" t="s">
        <v>81</v>
      </c>
      <c r="Q27" s="71" t="s">
        <v>108</v>
      </c>
      <c r="R27" s="29">
        <v>11137.26</v>
      </c>
      <c r="S27" s="30">
        <f t="shared" si="0"/>
        <v>11137.26</v>
      </c>
      <c r="T27" s="31">
        <f>PRODUCT(S27,3.25)</f>
        <v>36196.095000000001</v>
      </c>
      <c r="U27" s="31">
        <f>PRODUCT(S27,6.75)</f>
        <v>75176.505000000005</v>
      </c>
      <c r="V27" s="145">
        <f>PRODUCT(S27,13.25)</f>
        <v>147568.69500000001</v>
      </c>
      <c r="W27" s="164">
        <f xml:space="preserve"> T27/T14</f>
        <v>2.7250965556182947</v>
      </c>
      <c r="X27" s="102">
        <f xml:space="preserve"> U27/U14</f>
        <v>2.829907961603614</v>
      </c>
      <c r="Y27" s="165">
        <f xml:space="preserve"> V27/V17</f>
        <v>3.7600089433815156</v>
      </c>
      <c r="Z27" s="156">
        <f>PRODUCT(T27/T14, G14/G27)</f>
        <v>2.1397054436706608</v>
      </c>
      <c r="AA27" s="103">
        <f>PRODUCT(U27/U14, G14/G27)</f>
        <v>2.2220018068887635</v>
      </c>
      <c r="AB27" s="126">
        <f>PRODUCT(V27/V17,G17/ G27)</f>
        <v>2.9801552366060902</v>
      </c>
      <c r="AC27" s="126">
        <f>PRODUCT(V27/V17,H17/ H27)</f>
        <v>3.6515471469378178</v>
      </c>
      <c r="AD27" s="120" t="s">
        <v>203</v>
      </c>
      <c r="AE27" s="136"/>
      <c r="AF27" s="131"/>
      <c r="AG27" s="32"/>
      <c r="AH27" s="10">
        <f t="shared" si="2"/>
        <v>0</v>
      </c>
    </row>
    <row r="28" spans="1:34" ht="119.25" customHeight="1">
      <c r="A28" s="27" t="s">
        <v>114</v>
      </c>
      <c r="B28" s="28" t="s">
        <v>43</v>
      </c>
      <c r="C28" s="28" t="s">
        <v>105</v>
      </c>
      <c r="D28" s="52" t="s">
        <v>42</v>
      </c>
      <c r="E28" s="43" t="s">
        <v>106</v>
      </c>
      <c r="F28" s="28" t="s">
        <v>31</v>
      </c>
      <c r="G28" s="100">
        <v>1.27</v>
      </c>
      <c r="H28" s="100">
        <v>1.02</v>
      </c>
      <c r="I28" s="58" t="s">
        <v>64</v>
      </c>
      <c r="J28" s="61" t="s">
        <v>53</v>
      </c>
      <c r="K28" s="54" t="s">
        <v>54</v>
      </c>
      <c r="L28" s="54"/>
      <c r="M28" s="54"/>
      <c r="N28" s="120" t="s">
        <v>203</v>
      </c>
      <c r="O28" s="69" t="s">
        <v>107</v>
      </c>
      <c r="P28" s="69" t="s">
        <v>81</v>
      </c>
      <c r="Q28" s="95" t="s">
        <v>108</v>
      </c>
      <c r="R28" s="29">
        <v>11137.26</v>
      </c>
      <c r="S28" s="30">
        <f t="shared" si="0"/>
        <v>11137.26</v>
      </c>
      <c r="T28" s="31">
        <f>PRODUCT(S28,3.25)</f>
        <v>36196.095000000001</v>
      </c>
      <c r="U28" s="31">
        <f>PRODUCT(S28,6.75)</f>
        <v>75176.505000000005</v>
      </c>
      <c r="V28" s="145">
        <f>PRODUCT(S28,13.25)</f>
        <v>147568.69500000001</v>
      </c>
      <c r="W28" s="164">
        <f xml:space="preserve"> T28/T14</f>
        <v>2.7250965556182947</v>
      </c>
      <c r="X28" s="102">
        <f xml:space="preserve"> U28/U14</f>
        <v>2.829907961603614</v>
      </c>
      <c r="Y28" s="162">
        <f xml:space="preserve"> V28/V15</f>
        <v>2.8803727126335823</v>
      </c>
      <c r="Z28" s="157">
        <f>PRODUCT(T28/T15,G15/ G28)</f>
        <v>2.145745319384484</v>
      </c>
      <c r="AA28" s="107">
        <f>PRODUCT(U28/U15,G15/ G28)</f>
        <v>2.2282739855146567</v>
      </c>
      <c r="AB28" s="124">
        <f>PRODUCT(V28/V15,G15/G28)</f>
        <v>2.2680100099477025</v>
      </c>
      <c r="AC28" s="124">
        <f>PRODUCT(V28/V15,H15/H28)</f>
        <v>2.8238948163074333</v>
      </c>
      <c r="AD28" s="120" t="s">
        <v>203</v>
      </c>
      <c r="AE28" s="136"/>
      <c r="AF28" s="131"/>
      <c r="AG28" s="32"/>
      <c r="AH28" s="10">
        <f t="shared" si="2"/>
        <v>0</v>
      </c>
    </row>
    <row r="29" spans="1:34" ht="119.25" customHeight="1">
      <c r="A29" s="27" t="s">
        <v>41</v>
      </c>
      <c r="B29" s="28" t="s">
        <v>43</v>
      </c>
      <c r="C29" s="28" t="s">
        <v>35</v>
      </c>
      <c r="D29" s="52" t="s">
        <v>42</v>
      </c>
      <c r="E29" s="43" t="s">
        <v>29</v>
      </c>
      <c r="F29" s="28" t="s">
        <v>31</v>
      </c>
      <c r="G29" s="28">
        <v>1.07</v>
      </c>
      <c r="H29" s="28">
        <v>1.01</v>
      </c>
      <c r="I29" s="58" t="s">
        <v>36</v>
      </c>
      <c r="J29" s="74" t="s">
        <v>53</v>
      </c>
      <c r="K29" s="54"/>
      <c r="L29" s="54"/>
      <c r="M29" s="54"/>
      <c r="N29" s="120" t="s">
        <v>239</v>
      </c>
      <c r="O29" s="69" t="s">
        <v>40</v>
      </c>
      <c r="P29" s="69" t="s">
        <v>86</v>
      </c>
      <c r="Q29" s="94" t="s">
        <v>34</v>
      </c>
      <c r="R29" s="29">
        <v>4236.2</v>
      </c>
      <c r="S29" s="30">
        <f t="shared" si="0"/>
        <v>4236.2</v>
      </c>
      <c r="T29" s="31">
        <f>PRODUCT(S29,9)</f>
        <v>38125.799999999996</v>
      </c>
      <c r="U29" s="31">
        <f>PRODUCT(S29,15)</f>
        <v>63543</v>
      </c>
      <c r="V29" s="145">
        <f>PRODUCT(S29,21)</f>
        <v>88960.2</v>
      </c>
      <c r="W29" s="164">
        <f xml:space="preserve"> T29/T14</f>
        <v>2.8703783173348389</v>
      </c>
      <c r="X29" s="102">
        <f xml:space="preserve"> U29/U14</f>
        <v>2.3919819311123658</v>
      </c>
      <c r="Y29" s="165">
        <f xml:space="preserve"> V29/V17</f>
        <v>2.2666809353095401</v>
      </c>
      <c r="Z29" s="152">
        <f>PRODUCT(T29/T14, G14/G29)</f>
        <v>2.8435523517522703</v>
      </c>
      <c r="AA29" s="99">
        <f>PRODUCT(U29/U14, G14/G29)</f>
        <v>2.3696269597935586</v>
      </c>
      <c r="AB29" s="123">
        <f>PRODUCT(V29/V17,G17/ G29)</f>
        <v>2.2666809353095401</v>
      </c>
      <c r="AC29" s="123">
        <f>PRODUCT(V29/V17,H17/ H29)</f>
        <v>2.2666809353095401</v>
      </c>
      <c r="AD29" s="120" t="s">
        <v>239</v>
      </c>
      <c r="AE29" s="138"/>
      <c r="AF29" s="131" t="s">
        <v>229</v>
      </c>
      <c r="AG29" s="32"/>
      <c r="AH29" s="10">
        <f t="shared" si="2"/>
        <v>0</v>
      </c>
    </row>
    <row r="30" spans="1:34" ht="119.25" customHeight="1">
      <c r="A30" s="27" t="s">
        <v>41</v>
      </c>
      <c r="B30" s="28" t="s">
        <v>43</v>
      </c>
      <c r="C30" s="28" t="s">
        <v>39</v>
      </c>
      <c r="D30" s="52" t="s">
        <v>42</v>
      </c>
      <c r="E30" s="43" t="s">
        <v>29</v>
      </c>
      <c r="F30" s="28" t="s">
        <v>31</v>
      </c>
      <c r="G30" s="28">
        <v>1.07</v>
      </c>
      <c r="H30" s="28">
        <v>1.01</v>
      </c>
      <c r="I30" s="58" t="s">
        <v>36</v>
      </c>
      <c r="J30" s="74" t="s">
        <v>53</v>
      </c>
      <c r="K30" s="54"/>
      <c r="L30" s="54"/>
      <c r="M30" s="54"/>
      <c r="N30" s="120" t="s">
        <v>239</v>
      </c>
      <c r="O30" s="69" t="s">
        <v>40</v>
      </c>
      <c r="P30" s="69" t="s">
        <v>87</v>
      </c>
      <c r="Q30" s="94" t="s">
        <v>34</v>
      </c>
      <c r="R30" s="29">
        <v>4236.2</v>
      </c>
      <c r="S30" s="30">
        <f t="shared" si="0"/>
        <v>4236.2</v>
      </c>
      <c r="T30" s="31">
        <f>PRODUCT(S30,9)</f>
        <v>38125.799999999996</v>
      </c>
      <c r="U30" s="31">
        <f>PRODUCT(S30,21)</f>
        <v>88960.2</v>
      </c>
      <c r="V30" s="145">
        <f>PRODUCT(S30,42)</f>
        <v>177920.4</v>
      </c>
      <c r="W30" s="164">
        <f xml:space="preserve"> T30/T14</f>
        <v>2.8703783173348389</v>
      </c>
      <c r="X30" s="102">
        <f xml:space="preserve"> U30/U14</f>
        <v>3.3487747035573121</v>
      </c>
      <c r="Y30" s="165">
        <f xml:space="preserve"> V30/V17</f>
        <v>4.5333618706190801</v>
      </c>
      <c r="Z30" s="152">
        <f>PRODUCT(T30/T14, G14/G30)</f>
        <v>2.8435523517522703</v>
      </c>
      <c r="AA30" s="99">
        <f>PRODUCT(U30/U14, G14/G30)</f>
        <v>3.3174777437109819</v>
      </c>
      <c r="AB30" s="123">
        <f>PRODUCT(V30/V17,G17/ G30)</f>
        <v>4.5333618706190801</v>
      </c>
      <c r="AC30" s="123">
        <f>PRODUCT(V30/V17,H17/ H30)</f>
        <v>4.5333618706190801</v>
      </c>
      <c r="AD30" s="120" t="s">
        <v>239</v>
      </c>
      <c r="AE30" s="136"/>
      <c r="AF30" s="131" t="s">
        <v>229</v>
      </c>
      <c r="AG30" s="32"/>
      <c r="AH30" s="10">
        <f t="shared" si="2"/>
        <v>0</v>
      </c>
    </row>
    <row r="31" spans="1:34" ht="119.25" customHeight="1">
      <c r="A31" s="27" t="s">
        <v>75</v>
      </c>
      <c r="B31" s="28" t="s">
        <v>43</v>
      </c>
      <c r="C31" s="28" t="s">
        <v>48</v>
      </c>
      <c r="D31" s="52" t="s">
        <v>42</v>
      </c>
      <c r="E31" s="43" t="s">
        <v>63</v>
      </c>
      <c r="F31" s="28" t="s">
        <v>31</v>
      </c>
      <c r="G31" s="28">
        <v>1.06</v>
      </c>
      <c r="H31" s="28">
        <v>1.01</v>
      </c>
      <c r="I31" s="58" t="s">
        <v>64</v>
      </c>
      <c r="J31" s="61" t="s">
        <v>53</v>
      </c>
      <c r="K31" s="54"/>
      <c r="L31" s="54"/>
      <c r="M31" s="54"/>
      <c r="N31" s="120" t="s">
        <v>204</v>
      </c>
      <c r="O31" s="69" t="s">
        <v>57</v>
      </c>
      <c r="P31" s="69" t="s">
        <v>82</v>
      </c>
      <c r="Q31" s="70" t="s">
        <v>58</v>
      </c>
      <c r="R31" s="29">
        <v>11137.51</v>
      </c>
      <c r="S31" s="30">
        <f t="shared" si="0"/>
        <v>11137.51</v>
      </c>
      <c r="T31" s="31">
        <f>PRODUCT(S31,3.5)</f>
        <v>38981.285000000003</v>
      </c>
      <c r="U31" s="31">
        <f>PRODUCT(S31,7)</f>
        <v>77962.570000000007</v>
      </c>
      <c r="V31" s="145">
        <f>PRODUCT(S31,13.5)</f>
        <v>150356.38500000001</v>
      </c>
      <c r="W31" s="164">
        <f xml:space="preserve"> T31/T14</f>
        <v>2.9347852437417656</v>
      </c>
      <c r="X31" s="102">
        <f xml:space="preserve"> U31/U14</f>
        <v>2.9347852437417656</v>
      </c>
      <c r="Y31" s="165">
        <f xml:space="preserve"> V31/V17</f>
        <v>3.8310385024040117</v>
      </c>
      <c r="Z31" s="152">
        <f>PRODUCT(T31/T14, G14/G31)</f>
        <v>2.9347852437417656</v>
      </c>
      <c r="AA31" s="99">
        <f>PRODUCT(U31/U14, G14/G31)</f>
        <v>2.9347852437417656</v>
      </c>
      <c r="AB31" s="123">
        <f>PRODUCT(V31/V17,G17/ G31)</f>
        <v>3.8671803750682008</v>
      </c>
      <c r="AC31" s="123">
        <f>PRODUCT(V31/V17,H17/ H31)</f>
        <v>3.8310385024040117</v>
      </c>
      <c r="AD31" s="120" t="s">
        <v>204</v>
      </c>
      <c r="AE31" s="136"/>
      <c r="AF31" s="131"/>
      <c r="AG31" s="32"/>
      <c r="AH31" s="10">
        <f t="shared" si="2"/>
        <v>0</v>
      </c>
    </row>
    <row r="32" spans="1:34" ht="161.25" customHeight="1">
      <c r="A32" s="27" t="s">
        <v>76</v>
      </c>
      <c r="B32" s="28" t="s">
        <v>43</v>
      </c>
      <c r="C32" s="28" t="s">
        <v>61</v>
      </c>
      <c r="D32" s="52" t="s">
        <v>42</v>
      </c>
      <c r="E32" s="43" t="s">
        <v>63</v>
      </c>
      <c r="F32" s="28" t="s">
        <v>31</v>
      </c>
      <c r="G32" s="100">
        <v>1</v>
      </c>
      <c r="H32" s="100">
        <v>1</v>
      </c>
      <c r="I32" s="58" t="s">
        <v>64</v>
      </c>
      <c r="J32" s="61" t="s">
        <v>53</v>
      </c>
      <c r="K32" s="54" t="s">
        <v>54</v>
      </c>
      <c r="L32" s="54"/>
      <c r="M32" s="54"/>
      <c r="N32" s="120" t="s">
        <v>204</v>
      </c>
      <c r="O32" s="69" t="s">
        <v>57</v>
      </c>
      <c r="P32" s="69" t="s">
        <v>81</v>
      </c>
      <c r="Q32" s="69" t="s">
        <v>60</v>
      </c>
      <c r="R32" s="29">
        <v>11137.51</v>
      </c>
      <c r="S32" s="30">
        <f t="shared" si="0"/>
        <v>11137.51</v>
      </c>
      <c r="T32" s="31">
        <f>PRODUCT(S32,3.5)</f>
        <v>38981.285000000003</v>
      </c>
      <c r="U32" s="31">
        <f>PRODUCT(S32,7)</f>
        <v>77962.570000000007</v>
      </c>
      <c r="V32" s="145">
        <f>PRODUCT(S32,13.5)</f>
        <v>150356.38500000001</v>
      </c>
      <c r="W32" s="161">
        <f xml:space="preserve"> T32/T14</f>
        <v>2.9347852437417656</v>
      </c>
      <c r="X32" s="104">
        <f xml:space="preserve"> U32/U14</f>
        <v>2.9347852437417656</v>
      </c>
      <c r="Y32" s="162">
        <f xml:space="preserve"> V32/V15</f>
        <v>2.9347852437417656</v>
      </c>
      <c r="Z32" s="153">
        <f>PRODUCT(T32/T15,G15/ G32)</f>
        <v>2.9347852437417656</v>
      </c>
      <c r="AA32" s="105">
        <f>PRODUCT(U32/U15,G15/ G32)</f>
        <v>2.9347852437417656</v>
      </c>
      <c r="AB32" s="124">
        <f>PRODUCT(V32/V15,G15/G32)</f>
        <v>2.9347852437417656</v>
      </c>
      <c r="AC32" s="124">
        <f>PRODUCT(V32/V15,H15/H32)</f>
        <v>2.9347852437417656</v>
      </c>
      <c r="AD32" s="120" t="s">
        <v>204</v>
      </c>
      <c r="AE32" s="136"/>
      <c r="AF32" s="131"/>
      <c r="AG32" s="32"/>
      <c r="AH32" s="10">
        <f t="shared" si="2"/>
        <v>0</v>
      </c>
    </row>
    <row r="33" spans="1:34" ht="165" customHeight="1">
      <c r="A33" s="27" t="s">
        <v>76</v>
      </c>
      <c r="B33" s="28" t="s">
        <v>43</v>
      </c>
      <c r="C33" s="28" t="s">
        <v>62</v>
      </c>
      <c r="D33" s="52" t="s">
        <v>42</v>
      </c>
      <c r="E33" s="43" t="s">
        <v>63</v>
      </c>
      <c r="F33" s="28" t="s">
        <v>31</v>
      </c>
      <c r="G33" s="100">
        <v>1</v>
      </c>
      <c r="H33" s="100">
        <v>1</v>
      </c>
      <c r="I33" s="58" t="s">
        <v>64</v>
      </c>
      <c r="J33" s="61" t="s">
        <v>53</v>
      </c>
      <c r="K33" s="54" t="s">
        <v>54</v>
      </c>
      <c r="L33" s="54"/>
      <c r="M33" s="54"/>
      <c r="N33" s="120" t="s">
        <v>204</v>
      </c>
      <c r="O33" s="69" t="s">
        <v>57</v>
      </c>
      <c r="P33" s="69" t="s">
        <v>82</v>
      </c>
      <c r="Q33" s="69" t="s">
        <v>60</v>
      </c>
      <c r="R33" s="29">
        <v>11137.51</v>
      </c>
      <c r="S33" s="30">
        <f t="shared" si="0"/>
        <v>11137.51</v>
      </c>
      <c r="T33" s="31">
        <f>PRODUCT(S33,3.5)</f>
        <v>38981.285000000003</v>
      </c>
      <c r="U33" s="31">
        <f>PRODUCT(S33,10)</f>
        <v>111375.1</v>
      </c>
      <c r="V33" s="145">
        <f>PRODUCT(S33,26.5)</f>
        <v>295144.01500000001</v>
      </c>
      <c r="W33" s="164">
        <f xml:space="preserve"> T33/T14</f>
        <v>2.9347852437417656</v>
      </c>
      <c r="X33" s="102">
        <f xml:space="preserve"> U33/U14</f>
        <v>4.1925503482025226</v>
      </c>
      <c r="Y33" s="165">
        <f xml:space="preserve"> V33/V15</f>
        <v>5.7608747377153176</v>
      </c>
      <c r="Z33" s="153">
        <f>PRODUCT(T33/T15,G15/ G33)</f>
        <v>2.9347852437417656</v>
      </c>
      <c r="AA33" s="105">
        <f>PRODUCT(U33/U15,G15/ G33)</f>
        <v>4.1925503482025226</v>
      </c>
      <c r="AB33" s="124">
        <f>PRODUCT(V33/V15,G15/G33)</f>
        <v>5.7608747377153176</v>
      </c>
      <c r="AC33" s="124">
        <f>PRODUCT(V33/V15,H15/H33)</f>
        <v>5.7608747377153176</v>
      </c>
      <c r="AD33" s="120" t="s">
        <v>204</v>
      </c>
      <c r="AE33" s="136"/>
      <c r="AF33" s="131"/>
      <c r="AG33" s="32"/>
      <c r="AH33" s="10">
        <f t="shared" si="2"/>
        <v>0</v>
      </c>
    </row>
    <row r="34" spans="1:34" ht="117.75" customHeight="1">
      <c r="A34" s="27" t="s">
        <v>77</v>
      </c>
      <c r="B34" s="28" t="s">
        <v>37</v>
      </c>
      <c r="C34" s="28" t="s">
        <v>78</v>
      </c>
      <c r="D34" s="52" t="s">
        <v>30</v>
      </c>
      <c r="E34" s="43" t="s">
        <v>91</v>
      </c>
      <c r="F34" s="28" t="s">
        <v>31</v>
      </c>
      <c r="G34" s="28">
        <v>1.1399999999999999</v>
      </c>
      <c r="H34" s="28">
        <v>1.01</v>
      </c>
      <c r="I34" s="58" t="s">
        <v>64</v>
      </c>
      <c r="J34" s="54" t="s">
        <v>52</v>
      </c>
      <c r="K34" s="54"/>
      <c r="L34" s="54"/>
      <c r="M34" s="54"/>
      <c r="N34" s="120" t="s">
        <v>210</v>
      </c>
      <c r="O34" s="69" t="s">
        <v>89</v>
      </c>
      <c r="P34" s="69" t="s">
        <v>83</v>
      </c>
      <c r="Q34" s="69" t="s">
        <v>90</v>
      </c>
      <c r="R34" s="29">
        <v>13004.94</v>
      </c>
      <c r="S34" s="30">
        <f t="shared" si="0"/>
        <v>10143.853200000001</v>
      </c>
      <c r="T34" s="31">
        <f>PRODUCT(S34,4)</f>
        <v>40575.412800000006</v>
      </c>
      <c r="U34" s="31">
        <f>PRODUCT(S34,7)</f>
        <v>71006.972400000013</v>
      </c>
      <c r="V34" s="145">
        <f>PRODUCT(S34,13)</f>
        <v>131870.09160000001</v>
      </c>
      <c r="W34" s="161">
        <f xml:space="preserve"> T34/T14</f>
        <v>3.0548023941276119</v>
      </c>
      <c r="X34" s="104">
        <f xml:space="preserve"> U34/U14</f>
        <v>2.6729520948616607</v>
      </c>
      <c r="Y34" s="162">
        <f xml:space="preserve"> V34/V17</f>
        <v>3.3600129335055766</v>
      </c>
      <c r="Z34" s="152">
        <f>PRODUCT(T34/T14, G14/G34)</f>
        <v>2.8404302962940955</v>
      </c>
      <c r="AA34" s="99">
        <f>PRODUCT(U34/U14, G14/G34)</f>
        <v>2.4853765092573341</v>
      </c>
      <c r="AB34" s="123">
        <f>PRODUCT(V34/V17,G17/ G34)</f>
        <v>3.1536963498692696</v>
      </c>
      <c r="AC34" s="123">
        <f>PRODUCT(V34/V17,H17/ H34)</f>
        <v>3.3600129335055766</v>
      </c>
      <c r="AD34" s="120" t="s">
        <v>210</v>
      </c>
      <c r="AE34" s="136"/>
      <c r="AF34" s="131"/>
      <c r="AG34" s="32">
        <v>0.22</v>
      </c>
      <c r="AH34" s="10">
        <f t="shared" si="2"/>
        <v>2861.0868</v>
      </c>
    </row>
    <row r="35" spans="1:34" ht="121.5" customHeight="1">
      <c r="A35" s="27" t="s">
        <v>38</v>
      </c>
      <c r="B35" s="28" t="s">
        <v>37</v>
      </c>
      <c r="C35" s="28" t="s">
        <v>35</v>
      </c>
      <c r="D35" s="52" t="s">
        <v>30</v>
      </c>
      <c r="E35" s="43" t="s">
        <v>29</v>
      </c>
      <c r="F35" s="28" t="s">
        <v>31</v>
      </c>
      <c r="G35" s="28">
        <v>1.07</v>
      </c>
      <c r="H35" s="28">
        <v>1.01</v>
      </c>
      <c r="I35" s="58" t="s">
        <v>36</v>
      </c>
      <c r="J35" s="74" t="s">
        <v>53</v>
      </c>
      <c r="K35" s="54"/>
      <c r="L35" s="54"/>
      <c r="M35" s="54"/>
      <c r="N35" s="120" t="s">
        <v>239</v>
      </c>
      <c r="O35" s="69" t="s">
        <v>40</v>
      </c>
      <c r="P35" s="69" t="s">
        <v>84</v>
      </c>
      <c r="Q35" s="94" t="s">
        <v>34</v>
      </c>
      <c r="R35" s="29">
        <v>5804.29</v>
      </c>
      <c r="S35" s="30">
        <f t="shared" ref="S35:S56" si="3">R35-AH35</f>
        <v>4527.3462</v>
      </c>
      <c r="T35" s="31">
        <f>PRODUCT(S35,9)</f>
        <v>40746.1158</v>
      </c>
      <c r="U35" s="31">
        <f>PRODUCT(S35,15)</f>
        <v>67910.192999999999</v>
      </c>
      <c r="V35" s="145">
        <f>PRODUCT(S35,21)</f>
        <v>95074.270199999999</v>
      </c>
      <c r="W35" s="164">
        <f xml:space="preserve"> T35/T14</f>
        <v>3.0676541163184643</v>
      </c>
      <c r="X35" s="102">
        <f xml:space="preserve"> U35/U14</f>
        <v>2.5563784302653869</v>
      </c>
      <c r="Y35" s="165">
        <f xml:space="preserve"> V35/V17</f>
        <v>2.4224657285033975</v>
      </c>
      <c r="Z35" s="152">
        <f>PRODUCT(T35/T14,G14/ G35)</f>
        <v>3.038984451679974</v>
      </c>
      <c r="AA35" s="99">
        <f>PRODUCT(U35/U14,G14/ G35)</f>
        <v>2.5324870430666451</v>
      </c>
      <c r="AB35" s="123">
        <f>PRODUCT(V35/V17,G17/ G35)</f>
        <v>2.4224657285033975</v>
      </c>
      <c r="AC35" s="123">
        <f>PRODUCT(V35/V17,H17/ H35)</f>
        <v>2.4224657285033975</v>
      </c>
      <c r="AD35" s="120" t="s">
        <v>239</v>
      </c>
      <c r="AE35" s="139"/>
      <c r="AF35" s="131" t="s">
        <v>229</v>
      </c>
      <c r="AG35" s="32">
        <v>0.22</v>
      </c>
      <c r="AH35" s="10">
        <f t="shared" ref="AH35:AH56" si="4">AG35*R35</f>
        <v>1276.9438</v>
      </c>
    </row>
    <row r="36" spans="1:34" ht="117" customHeight="1">
      <c r="A36" s="27" t="s">
        <v>38</v>
      </c>
      <c r="B36" s="28" t="s">
        <v>37</v>
      </c>
      <c r="C36" s="28" t="s">
        <v>39</v>
      </c>
      <c r="D36" s="52" t="s">
        <v>30</v>
      </c>
      <c r="E36" s="43" t="s">
        <v>29</v>
      </c>
      <c r="F36" s="28" t="s">
        <v>31</v>
      </c>
      <c r="G36" s="28">
        <v>1.07</v>
      </c>
      <c r="H36" s="28">
        <v>1.01</v>
      </c>
      <c r="I36" s="58" t="s">
        <v>36</v>
      </c>
      <c r="J36" s="74" t="s">
        <v>53</v>
      </c>
      <c r="K36" s="54"/>
      <c r="L36" s="54"/>
      <c r="M36" s="54"/>
      <c r="N36" s="120" t="s">
        <v>239</v>
      </c>
      <c r="O36" s="69" t="s">
        <v>40</v>
      </c>
      <c r="P36" s="69" t="s">
        <v>85</v>
      </c>
      <c r="Q36" s="94" t="s">
        <v>34</v>
      </c>
      <c r="R36" s="29">
        <v>5804.29</v>
      </c>
      <c r="S36" s="30">
        <f t="shared" si="3"/>
        <v>4527.3462</v>
      </c>
      <c r="T36" s="31">
        <f>PRODUCT(S36,9)</f>
        <v>40746.1158</v>
      </c>
      <c r="U36" s="31">
        <f>PRODUCT(S36,21)</f>
        <v>95074.270199999999</v>
      </c>
      <c r="V36" s="145">
        <f>PRODUCT(S36,42)</f>
        <v>190148.5404</v>
      </c>
      <c r="W36" s="164">
        <f xml:space="preserve"> T36/T14</f>
        <v>3.0676541163184643</v>
      </c>
      <c r="X36" s="102">
        <f xml:space="preserve"> U36/U14</f>
        <v>3.5789298023715417</v>
      </c>
      <c r="Y36" s="165">
        <f xml:space="preserve"> V36/V17</f>
        <v>4.844931457006795</v>
      </c>
      <c r="Z36" s="152">
        <f>PRODUCT(T36/T14, G14/G36)</f>
        <v>3.038984451679974</v>
      </c>
      <c r="AA36" s="99">
        <f>PRODUCT(U36/U14, G14/G36)</f>
        <v>3.5454818602933029</v>
      </c>
      <c r="AB36" s="123">
        <f>PRODUCT(V36/V17,G17/ G36)</f>
        <v>4.844931457006795</v>
      </c>
      <c r="AC36" s="123">
        <f>PRODUCT(V36/V17,H17/ H36)</f>
        <v>4.844931457006795</v>
      </c>
      <c r="AD36" s="120" t="s">
        <v>239</v>
      </c>
      <c r="AE36" s="138"/>
      <c r="AF36" s="131" t="s">
        <v>229</v>
      </c>
      <c r="AG36" s="32">
        <v>0.22</v>
      </c>
      <c r="AH36" s="10">
        <f t="shared" si="4"/>
        <v>1276.9438</v>
      </c>
    </row>
    <row r="37" spans="1:34" ht="120.75" customHeight="1">
      <c r="A37" s="27" t="s">
        <v>179</v>
      </c>
      <c r="B37" s="28" t="s">
        <v>46</v>
      </c>
      <c r="C37" s="28" t="s">
        <v>35</v>
      </c>
      <c r="D37" s="52" t="s">
        <v>42</v>
      </c>
      <c r="E37" s="43" t="s">
        <v>29</v>
      </c>
      <c r="F37" s="28" t="s">
        <v>31</v>
      </c>
      <c r="G37" s="28">
        <v>1.07</v>
      </c>
      <c r="H37" s="28">
        <v>1.01</v>
      </c>
      <c r="I37" s="58" t="s">
        <v>36</v>
      </c>
      <c r="J37" s="74" t="s">
        <v>53</v>
      </c>
      <c r="K37" s="54"/>
      <c r="L37" s="54"/>
      <c r="M37" s="54"/>
      <c r="N37" s="120" t="s">
        <v>239</v>
      </c>
      <c r="O37" s="69" t="s">
        <v>40</v>
      </c>
      <c r="P37" s="69" t="s">
        <v>87</v>
      </c>
      <c r="Q37" s="94" t="s">
        <v>34</v>
      </c>
      <c r="R37" s="29">
        <v>22482.59</v>
      </c>
      <c r="S37" s="30">
        <f t="shared" si="3"/>
        <v>22482.59</v>
      </c>
      <c r="T37" s="31">
        <f>PRODUCT(S37,2.25)</f>
        <v>50585.827499999999</v>
      </c>
      <c r="U37" s="31">
        <f>PRODUCT(S37,3.75)</f>
        <v>84309.712499999994</v>
      </c>
      <c r="V37" s="145">
        <f>PRODUCT(S37,5.25)</f>
        <v>118033.5975</v>
      </c>
      <c r="W37" s="164">
        <f xml:space="preserve"> T37/T14</f>
        <v>3.8084568040654996</v>
      </c>
      <c r="X37" s="102">
        <f xml:space="preserve"> U37/U14</f>
        <v>3.1737140033879161</v>
      </c>
      <c r="Y37" s="165">
        <f xml:space="preserve"> V37/V17</f>
        <v>3.0074629461180371</v>
      </c>
      <c r="Z37" s="152">
        <f>PRODUCT(T37/T14, G14/G37)</f>
        <v>3.7728637498218967</v>
      </c>
      <c r="AA37" s="99">
        <f>PRODUCT(U37/U14, G14/G37)</f>
        <v>3.1440531248515806</v>
      </c>
      <c r="AB37" s="123">
        <f>PRODUCT(V37/V17,G17/ G37)</f>
        <v>3.0074629461180371</v>
      </c>
      <c r="AC37" s="123">
        <f>PRODUCT(V37/V17,H17/ H37)</f>
        <v>3.0074629461180371</v>
      </c>
      <c r="AD37" s="120" t="s">
        <v>239</v>
      </c>
      <c r="AE37" s="136"/>
      <c r="AF37" s="131" t="s">
        <v>229</v>
      </c>
      <c r="AG37" s="32"/>
      <c r="AH37" s="10">
        <f t="shared" si="4"/>
        <v>0</v>
      </c>
    </row>
    <row r="38" spans="1:34" ht="120" customHeight="1">
      <c r="A38" s="27" t="s">
        <v>179</v>
      </c>
      <c r="B38" s="28" t="s">
        <v>46</v>
      </c>
      <c r="C38" s="28" t="s">
        <v>39</v>
      </c>
      <c r="D38" s="52" t="s">
        <v>42</v>
      </c>
      <c r="E38" s="43" t="s">
        <v>29</v>
      </c>
      <c r="F38" s="28" t="s">
        <v>31</v>
      </c>
      <c r="G38" s="28">
        <v>1.07</v>
      </c>
      <c r="H38" s="28">
        <v>1.01</v>
      </c>
      <c r="I38" s="58" t="s">
        <v>36</v>
      </c>
      <c r="J38" s="74" t="s">
        <v>53</v>
      </c>
      <c r="K38" s="54"/>
      <c r="L38" s="54"/>
      <c r="M38" s="54"/>
      <c r="N38" s="120" t="s">
        <v>239</v>
      </c>
      <c r="O38" s="69" t="s">
        <v>40</v>
      </c>
      <c r="P38" s="69" t="s">
        <v>87</v>
      </c>
      <c r="Q38" s="94" t="s">
        <v>34</v>
      </c>
      <c r="R38" s="29">
        <v>22482.59</v>
      </c>
      <c r="S38" s="30">
        <f t="shared" si="3"/>
        <v>22482.59</v>
      </c>
      <c r="T38" s="31">
        <f>PRODUCT(S38,2.25)</f>
        <v>50585.827499999999</v>
      </c>
      <c r="U38" s="31">
        <f>PRODUCT(S38,5.25)</f>
        <v>118033.5975</v>
      </c>
      <c r="V38" s="145">
        <f>PRODUCT(S38,10.5)</f>
        <v>236067.19500000001</v>
      </c>
      <c r="W38" s="164">
        <f xml:space="preserve"> T38/T14</f>
        <v>3.8084568040654996</v>
      </c>
      <c r="X38" s="102">
        <f xml:space="preserve"> U38/U14</f>
        <v>4.4431996047430831</v>
      </c>
      <c r="Y38" s="165">
        <f xml:space="preserve"> V38/V17</f>
        <v>6.0149258922360742</v>
      </c>
      <c r="Z38" s="152">
        <f>PRODUCT(T38/T14, G14/G38)</f>
        <v>3.7728637498218967</v>
      </c>
      <c r="AA38" s="99">
        <f>PRODUCT(U38/U14, G14/G38)</f>
        <v>4.4016743747922131</v>
      </c>
      <c r="AB38" s="123">
        <f>PRODUCT(V38/V17,G17/ G38)</f>
        <v>6.0149258922360742</v>
      </c>
      <c r="AC38" s="123">
        <f>PRODUCT(V38/V17,H17/ H38)</f>
        <v>6.0149258922360742</v>
      </c>
      <c r="AD38" s="120" t="s">
        <v>239</v>
      </c>
      <c r="AE38" s="136"/>
      <c r="AF38" s="131" t="s">
        <v>229</v>
      </c>
      <c r="AG38" s="32"/>
      <c r="AH38" s="10">
        <f t="shared" si="4"/>
        <v>0</v>
      </c>
    </row>
    <row r="39" spans="1:34" ht="119.25" customHeight="1">
      <c r="A39" s="78" t="s">
        <v>161</v>
      </c>
      <c r="B39" s="79" t="s">
        <v>45</v>
      </c>
      <c r="C39" s="79" t="s">
        <v>162</v>
      </c>
      <c r="D39" s="141" t="s">
        <v>157</v>
      </c>
      <c r="E39" s="79" t="s">
        <v>163</v>
      </c>
      <c r="F39" s="80" t="s">
        <v>164</v>
      </c>
      <c r="G39" s="79">
        <v>1.03</v>
      </c>
      <c r="H39" s="79">
        <v>1</v>
      </c>
      <c r="I39" s="80" t="s">
        <v>158</v>
      </c>
      <c r="J39" s="61" t="s">
        <v>53</v>
      </c>
      <c r="K39" s="79"/>
      <c r="L39" s="79"/>
      <c r="M39" s="79"/>
      <c r="N39" s="120" t="s">
        <v>212</v>
      </c>
      <c r="O39" s="85" t="s">
        <v>159</v>
      </c>
      <c r="P39" s="88" t="s">
        <v>165</v>
      </c>
      <c r="Q39" s="86" t="s">
        <v>173</v>
      </c>
      <c r="R39" s="82">
        <v>63358.02</v>
      </c>
      <c r="S39" s="83">
        <f t="shared" si="3"/>
        <v>54563.926823999995</v>
      </c>
      <c r="T39" s="92">
        <f>PRODUCT(S39,1)</f>
        <v>54563.926823999995</v>
      </c>
      <c r="U39" s="92">
        <f>PRODUCT(S39,2)</f>
        <v>109127.85364799999</v>
      </c>
      <c r="V39" s="148">
        <f>PRODUCT(S39,4)</f>
        <v>218255.70729599998</v>
      </c>
      <c r="W39" s="164">
        <f xml:space="preserve"> T39/T14</f>
        <v>4.1079560944099374</v>
      </c>
      <c r="X39" s="102">
        <f xml:space="preserve"> U39/U14</f>
        <v>4.1079560944099374</v>
      </c>
      <c r="Y39" s="165">
        <f xml:space="preserve"> V39/V17</f>
        <v>5.5610941831329344</v>
      </c>
      <c r="Z39" s="152">
        <f>PRODUCT(T39/T14, G14/G39)</f>
        <v>4.2276053010432362</v>
      </c>
      <c r="AA39" s="99">
        <f>PRODUCT(U39/U14, G14/G39)</f>
        <v>4.2276053010432362</v>
      </c>
      <c r="AB39" s="123">
        <f>PRODUCT(V39/V17,G17/ G39)</f>
        <v>5.7770590057788738</v>
      </c>
      <c r="AC39" s="123">
        <f>PRODUCT(V39/V17,H17/ H39)</f>
        <v>5.6167051249642634</v>
      </c>
      <c r="AD39" s="120" t="s">
        <v>212</v>
      </c>
      <c r="AE39" s="133" t="s">
        <v>242</v>
      </c>
      <c r="AF39" s="133"/>
      <c r="AG39" s="84">
        <v>0.13880000000000001</v>
      </c>
      <c r="AH39" s="10">
        <f t="shared" si="4"/>
        <v>8794.0931760000003</v>
      </c>
    </row>
    <row r="40" spans="1:34" ht="119.25" customHeight="1">
      <c r="A40" s="78" t="s">
        <v>160</v>
      </c>
      <c r="B40" s="79" t="s">
        <v>45</v>
      </c>
      <c r="C40" s="79" t="s">
        <v>162</v>
      </c>
      <c r="D40" s="79" t="s">
        <v>157</v>
      </c>
      <c r="E40" s="79" t="s">
        <v>163</v>
      </c>
      <c r="F40" s="80" t="s">
        <v>164</v>
      </c>
      <c r="G40" s="81" t="s">
        <v>55</v>
      </c>
      <c r="H40" s="81" t="s">
        <v>55</v>
      </c>
      <c r="I40" s="80" t="s">
        <v>158</v>
      </c>
      <c r="J40" s="61" t="s">
        <v>53</v>
      </c>
      <c r="K40" s="87" t="s">
        <v>54</v>
      </c>
      <c r="L40" s="79"/>
      <c r="M40" s="79"/>
      <c r="N40" s="120" t="s">
        <v>213</v>
      </c>
      <c r="O40" s="85" t="s">
        <v>159</v>
      </c>
      <c r="P40" s="88" t="s">
        <v>169</v>
      </c>
      <c r="Q40" s="86" t="s">
        <v>173</v>
      </c>
      <c r="R40" s="82">
        <v>63358.02</v>
      </c>
      <c r="S40" s="83">
        <f t="shared" si="3"/>
        <v>54563.926823999995</v>
      </c>
      <c r="T40" s="92">
        <f>PRODUCT(S40,1)</f>
        <v>54563.926823999995</v>
      </c>
      <c r="U40" s="92">
        <f>PRODUCT(S40,2)</f>
        <v>109127.85364799999</v>
      </c>
      <c r="V40" s="148">
        <f>PRODUCT(S40,4)</f>
        <v>218255.70729599998</v>
      </c>
      <c r="W40" s="161">
        <f xml:space="preserve"> T40/T14</f>
        <v>4.1079560944099374</v>
      </c>
      <c r="X40" s="104">
        <f xml:space="preserve"> U40/U14</f>
        <v>4.1079560944099374</v>
      </c>
      <c r="Y40" s="162">
        <f xml:space="preserve"> V40/V15</f>
        <v>4.2601026164251206</v>
      </c>
      <c r="Z40" s="152"/>
      <c r="AA40" s="99"/>
      <c r="AB40" s="123"/>
      <c r="AC40" s="123"/>
      <c r="AD40" s="120" t="s">
        <v>213</v>
      </c>
      <c r="AE40" s="133" t="s">
        <v>242</v>
      </c>
      <c r="AF40" s="133"/>
      <c r="AG40" s="84">
        <v>0.13880000000000001</v>
      </c>
      <c r="AH40" s="10">
        <f t="shared" si="4"/>
        <v>8794.0931760000003</v>
      </c>
    </row>
    <row r="41" spans="1:34" ht="117.75" customHeight="1">
      <c r="A41" s="27" t="s">
        <v>95</v>
      </c>
      <c r="B41" s="28" t="s">
        <v>100</v>
      </c>
      <c r="C41" s="28" t="s">
        <v>96</v>
      </c>
      <c r="D41" s="43" t="s">
        <v>30</v>
      </c>
      <c r="E41" s="43" t="s">
        <v>97</v>
      </c>
      <c r="F41" s="28" t="s">
        <v>31</v>
      </c>
      <c r="G41" s="28">
        <v>1.37</v>
      </c>
      <c r="H41" s="28">
        <v>1.02</v>
      </c>
      <c r="I41" s="58" t="s">
        <v>64</v>
      </c>
      <c r="J41" s="54" t="s">
        <v>52</v>
      </c>
      <c r="K41" s="54"/>
      <c r="L41" s="63" t="s">
        <v>121</v>
      </c>
      <c r="M41" s="54"/>
      <c r="N41" s="122" t="s">
        <v>209</v>
      </c>
      <c r="O41" s="69" t="s">
        <v>98</v>
      </c>
      <c r="P41" s="70" t="s">
        <v>101</v>
      </c>
      <c r="Q41" s="69" t="s">
        <v>99</v>
      </c>
      <c r="R41" s="29">
        <v>11246.65</v>
      </c>
      <c r="S41" s="30">
        <f t="shared" si="3"/>
        <v>11246.65</v>
      </c>
      <c r="T41" s="31">
        <f>PRODUCT(S41,5)</f>
        <v>56233.25</v>
      </c>
      <c r="U41" s="31">
        <f>PRODUCT(S41,8.5)</f>
        <v>95596.524999999994</v>
      </c>
      <c r="V41" s="145">
        <f>PRODUCT(S41,13.5)</f>
        <v>151829.77499999999</v>
      </c>
      <c r="W41" s="164">
        <f xml:space="preserve"> T41/T14</f>
        <v>4.2336344814605686</v>
      </c>
      <c r="X41" s="102">
        <f xml:space="preserve"> U41/U14</f>
        <v>3.5985893092414831</v>
      </c>
      <c r="Y41" s="165">
        <f xml:space="preserve"> V41/V17</f>
        <v>3.8685800661963108</v>
      </c>
      <c r="Z41" s="156">
        <f>PRODUCT(T41/T14, G14/G41)</f>
        <v>3.2756587958746004</v>
      </c>
      <c r="AA41" s="103">
        <f>PRODUCT(U41/U14, G14/G41)</f>
        <v>2.7843099764934101</v>
      </c>
      <c r="AB41" s="126">
        <f>PRODUCT(V41/V17,G17/ G41)</f>
        <v>3.0214457451314249</v>
      </c>
      <c r="AC41" s="126">
        <f>PRODUCT(V41/V17,H17/ H41)</f>
        <v>3.8306528106453666</v>
      </c>
      <c r="AD41" s="122" t="s">
        <v>209</v>
      </c>
      <c r="AE41" s="136"/>
      <c r="AF41" s="131"/>
      <c r="AG41" s="32"/>
      <c r="AH41" s="10">
        <f t="shared" si="4"/>
        <v>0</v>
      </c>
    </row>
    <row r="42" spans="1:34" ht="119.25" customHeight="1">
      <c r="A42" s="27" t="s">
        <v>102</v>
      </c>
      <c r="B42" s="28" t="s">
        <v>100</v>
      </c>
      <c r="C42" s="28" t="s">
        <v>96</v>
      </c>
      <c r="D42" s="43" t="s">
        <v>30</v>
      </c>
      <c r="E42" s="43" t="s">
        <v>97</v>
      </c>
      <c r="F42" s="28" t="s">
        <v>31</v>
      </c>
      <c r="G42" s="33" t="s">
        <v>55</v>
      </c>
      <c r="H42" s="33" t="s">
        <v>55</v>
      </c>
      <c r="I42" s="58" t="s">
        <v>64</v>
      </c>
      <c r="J42" s="54" t="s">
        <v>52</v>
      </c>
      <c r="K42" s="54" t="s">
        <v>54</v>
      </c>
      <c r="L42" s="54"/>
      <c r="M42" s="54"/>
      <c r="N42" s="120" t="s">
        <v>208</v>
      </c>
      <c r="O42" s="69" t="s">
        <v>98</v>
      </c>
      <c r="P42" s="69" t="s">
        <v>110</v>
      </c>
      <c r="Q42" s="69" t="s">
        <v>99</v>
      </c>
      <c r="R42" s="29">
        <v>11246.65</v>
      </c>
      <c r="S42" s="30">
        <f t="shared" si="3"/>
        <v>11246.65</v>
      </c>
      <c r="T42" s="31">
        <f>PRODUCT(S42,5)</f>
        <v>56233.25</v>
      </c>
      <c r="U42" s="31">
        <f>PRODUCT(S42,8.5)</f>
        <v>95596.524999999994</v>
      </c>
      <c r="V42" s="145">
        <f>PRODUCT(S42,13.5)</f>
        <v>151829.77499999999</v>
      </c>
      <c r="W42" s="164">
        <f xml:space="preserve"> T42/T14</f>
        <v>4.2336344814605686</v>
      </c>
      <c r="X42" s="102">
        <f xml:space="preserve"> U42/U14</f>
        <v>3.5985893092414831</v>
      </c>
      <c r="Y42" s="165">
        <f xml:space="preserve"> V42/V15</f>
        <v>2.9635441370223976</v>
      </c>
      <c r="Z42" s="152"/>
      <c r="AA42" s="99"/>
      <c r="AB42" s="123"/>
      <c r="AC42" s="123"/>
      <c r="AD42" s="120" t="s">
        <v>208</v>
      </c>
      <c r="AE42" s="136"/>
      <c r="AF42" s="131"/>
      <c r="AG42" s="32"/>
      <c r="AH42" s="10">
        <f t="shared" si="4"/>
        <v>0</v>
      </c>
    </row>
    <row r="43" spans="1:34" ht="116.25" customHeight="1">
      <c r="A43" s="78" t="s">
        <v>187</v>
      </c>
      <c r="B43" s="79" t="s">
        <v>172</v>
      </c>
      <c r="C43" s="79" t="s">
        <v>166</v>
      </c>
      <c r="D43" s="79" t="s">
        <v>157</v>
      </c>
      <c r="E43" s="79" t="s">
        <v>168</v>
      </c>
      <c r="F43" s="80" t="s">
        <v>164</v>
      </c>
      <c r="G43" s="79">
        <v>1.1100000000000001</v>
      </c>
      <c r="H43" s="79">
        <v>1.01</v>
      </c>
      <c r="I43" s="80" t="s">
        <v>158</v>
      </c>
      <c r="J43" s="61" t="s">
        <v>53</v>
      </c>
      <c r="K43" s="79"/>
      <c r="L43" s="79"/>
      <c r="M43" s="79"/>
      <c r="N43" s="120" t="s">
        <v>216</v>
      </c>
      <c r="O43" s="85" t="s">
        <v>170</v>
      </c>
      <c r="P43" s="93" t="s">
        <v>169</v>
      </c>
      <c r="Q43" s="86" t="s">
        <v>171</v>
      </c>
      <c r="R43" s="82">
        <v>23292.240000000002</v>
      </c>
      <c r="S43" s="83">
        <f t="shared" si="3"/>
        <v>22826.395200000003</v>
      </c>
      <c r="T43" s="92">
        <f>PRODUCT(S43,2.6)</f>
        <v>59348.627520000009</v>
      </c>
      <c r="U43" s="92">
        <f>PRODUCT(S43,5.2)</f>
        <v>118697.25504000002</v>
      </c>
      <c r="V43" s="148">
        <f>PRODUCT(S43,10.43)</f>
        <v>238079.30193600003</v>
      </c>
      <c r="W43" s="164">
        <f xml:space="preserve"> T43/T14</f>
        <v>4.4681820079051393</v>
      </c>
      <c r="X43" s="102">
        <f xml:space="preserve"> U43/U14</f>
        <v>4.4681820079051393</v>
      </c>
      <c r="Y43" s="165">
        <f xml:space="preserve"> V43/V17</f>
        <v>6.0661938124030188</v>
      </c>
      <c r="Z43" s="152">
        <f>PRODUCT(T43/T14, G14/G43)</f>
        <v>4.2669125480895929</v>
      </c>
      <c r="AA43" s="99">
        <f>PRODUCT(U43/U14, G14/G43)</f>
        <v>4.2669125480895929</v>
      </c>
      <c r="AB43" s="123">
        <f>PRODUCT(V43/V17,G17/ G43)</f>
        <v>5.847592233577684</v>
      </c>
      <c r="AC43" s="123">
        <f>PRODUCT(V43/V17,H17/ H43)</f>
        <v>6.0661938124030188</v>
      </c>
      <c r="AD43" s="120" t="s">
        <v>216</v>
      </c>
      <c r="AE43" s="133" t="s">
        <v>242</v>
      </c>
      <c r="AF43" s="133"/>
      <c r="AG43" s="84">
        <v>0.02</v>
      </c>
      <c r="AH43" s="10">
        <f t="shared" si="4"/>
        <v>465.84480000000002</v>
      </c>
    </row>
    <row r="44" spans="1:34" ht="118.5" customHeight="1">
      <c r="A44" s="78" t="s">
        <v>188</v>
      </c>
      <c r="B44" s="79" t="s">
        <v>172</v>
      </c>
      <c r="C44" s="79" t="s">
        <v>166</v>
      </c>
      <c r="D44" s="79" t="s">
        <v>157</v>
      </c>
      <c r="E44" s="79" t="s">
        <v>168</v>
      </c>
      <c r="F44" s="80" t="s">
        <v>164</v>
      </c>
      <c r="G44" s="81" t="s">
        <v>55</v>
      </c>
      <c r="H44" s="81" t="s">
        <v>55</v>
      </c>
      <c r="I44" s="80" t="s">
        <v>158</v>
      </c>
      <c r="J44" s="61" t="s">
        <v>53</v>
      </c>
      <c r="K44" s="87" t="s">
        <v>54</v>
      </c>
      <c r="L44" s="79"/>
      <c r="M44" s="79"/>
      <c r="N44" s="120" t="s">
        <v>217</v>
      </c>
      <c r="O44" s="85" t="s">
        <v>170</v>
      </c>
      <c r="P44" s="88" t="s">
        <v>169</v>
      </c>
      <c r="Q44" s="86" t="s">
        <v>171</v>
      </c>
      <c r="R44" s="82">
        <v>23292.240000000002</v>
      </c>
      <c r="S44" s="83">
        <f t="shared" si="3"/>
        <v>22826.395200000003</v>
      </c>
      <c r="T44" s="92">
        <f>PRODUCT(S44,2.6)</f>
        <v>59348.627520000009</v>
      </c>
      <c r="U44" s="92">
        <f>PRODUCT(S44,5.2)</f>
        <v>118697.25504000002</v>
      </c>
      <c r="V44" s="148">
        <f>PRODUCT(S44,10.43)</f>
        <v>238079.30193600003</v>
      </c>
      <c r="W44" s="161">
        <f xml:space="preserve"> T44/T14</f>
        <v>4.4681820079051393</v>
      </c>
      <c r="X44" s="104">
        <f xml:space="preserve"> U44/U14</f>
        <v>4.4681820079051393</v>
      </c>
      <c r="Y44" s="162">
        <f xml:space="preserve"> V44/V15</f>
        <v>4.647036586854048</v>
      </c>
      <c r="Z44" s="152"/>
      <c r="AA44" s="99"/>
      <c r="AB44" s="123"/>
      <c r="AC44" s="123"/>
      <c r="AD44" s="120" t="s">
        <v>217</v>
      </c>
      <c r="AE44" s="133" t="s">
        <v>242</v>
      </c>
      <c r="AF44" s="133"/>
      <c r="AG44" s="84">
        <v>0.02</v>
      </c>
      <c r="AH44" s="10">
        <f t="shared" si="4"/>
        <v>465.84480000000002</v>
      </c>
    </row>
    <row r="45" spans="1:34" ht="121.5" customHeight="1">
      <c r="A45" s="35" t="s">
        <v>127</v>
      </c>
      <c r="B45" s="36" t="s">
        <v>126</v>
      </c>
      <c r="C45" s="36" t="s">
        <v>12</v>
      </c>
      <c r="D45" s="36" t="s">
        <v>30</v>
      </c>
      <c r="E45" s="36" t="s">
        <v>117</v>
      </c>
      <c r="F45" s="36" t="s">
        <v>118</v>
      </c>
      <c r="G45" s="36">
        <v>1.0900000000000001</v>
      </c>
      <c r="H45" s="36">
        <v>1.02</v>
      </c>
      <c r="I45" s="60" t="s">
        <v>64</v>
      </c>
      <c r="J45" s="56" t="s">
        <v>52</v>
      </c>
      <c r="K45" s="36"/>
      <c r="L45" s="36"/>
      <c r="M45" s="76" t="s">
        <v>122</v>
      </c>
      <c r="N45" s="120" t="s">
        <v>215</v>
      </c>
      <c r="O45" s="37" t="s">
        <v>124</v>
      </c>
      <c r="P45" s="37" t="s">
        <v>119</v>
      </c>
      <c r="Q45" s="51" t="s">
        <v>128</v>
      </c>
      <c r="R45" s="89">
        <v>18841.13</v>
      </c>
      <c r="S45" s="39">
        <f t="shared" si="3"/>
        <v>18294.737230000002</v>
      </c>
      <c r="T45" s="90">
        <f>PRODUCT(S45,3.25)</f>
        <v>59457.895997500011</v>
      </c>
      <c r="U45" s="90">
        <f>PRODUCT(S45,6.75)</f>
        <v>123489.47630250001</v>
      </c>
      <c r="V45" s="149">
        <f>PRODUCT(S45,13.25)</f>
        <v>242405.26829750004</v>
      </c>
      <c r="W45" s="164">
        <f xml:space="preserve"> T45/T14</f>
        <v>4.4764085072463775</v>
      </c>
      <c r="X45" s="102">
        <f xml:space="preserve"> U45/U14</f>
        <v>4.648578065217392</v>
      </c>
      <c r="Y45" s="165">
        <f xml:space="preserve"> V45/V17</f>
        <v>6.1764182215028454</v>
      </c>
      <c r="Z45" s="152">
        <f>PRODUCT(T45/T14, G14/G45)</f>
        <v>4.3532046033772112</v>
      </c>
      <c r="AA45" s="99">
        <f>PRODUCT(U45/U14, G14/G45)</f>
        <v>4.52063554966095</v>
      </c>
      <c r="AB45" s="123">
        <f>PRODUCT(V45/V17,G17/ G45)</f>
        <v>6.0630894467963712</v>
      </c>
      <c r="AC45" s="123">
        <f>PRODUCT(V45/V17,H17/ H45)</f>
        <v>6.1158651016841903</v>
      </c>
      <c r="AD45" s="120" t="s">
        <v>215</v>
      </c>
      <c r="AE45" s="140"/>
      <c r="AF45" s="134"/>
      <c r="AG45" s="40">
        <v>2.9000000000000001E-2</v>
      </c>
      <c r="AH45" s="10">
        <f t="shared" si="4"/>
        <v>546.39277000000004</v>
      </c>
    </row>
    <row r="46" spans="1:34" ht="103.5" customHeight="1">
      <c r="A46" s="35" t="s">
        <v>129</v>
      </c>
      <c r="B46" s="36" t="s">
        <v>126</v>
      </c>
      <c r="C46" s="36" t="s">
        <v>12</v>
      </c>
      <c r="D46" s="36" t="s">
        <v>30</v>
      </c>
      <c r="E46" s="36" t="s">
        <v>117</v>
      </c>
      <c r="F46" s="36" t="s">
        <v>118</v>
      </c>
      <c r="G46" s="101">
        <v>1.32</v>
      </c>
      <c r="H46" s="51" t="s">
        <v>55</v>
      </c>
      <c r="I46" s="60" t="s">
        <v>64</v>
      </c>
      <c r="J46" s="56" t="s">
        <v>52</v>
      </c>
      <c r="K46" s="56" t="s">
        <v>54</v>
      </c>
      <c r="L46" s="36"/>
      <c r="M46" s="76" t="s">
        <v>122</v>
      </c>
      <c r="N46" s="120" t="s">
        <v>214</v>
      </c>
      <c r="O46" s="75" t="s">
        <v>124</v>
      </c>
      <c r="P46" s="37" t="s">
        <v>119</v>
      </c>
      <c r="Q46" s="51" t="s">
        <v>128</v>
      </c>
      <c r="R46" s="89">
        <v>18841.13</v>
      </c>
      <c r="S46" s="39">
        <f t="shared" si="3"/>
        <v>18294.737230000002</v>
      </c>
      <c r="T46" s="90">
        <f>PRODUCT(S46,3.25)</f>
        <v>59457.895997500011</v>
      </c>
      <c r="U46" s="90">
        <f>PRODUCT(S46,6.75)</f>
        <v>123489.47630250001</v>
      </c>
      <c r="V46" s="149">
        <f>PRODUCT(S46,13.25)</f>
        <v>242405.26829750004</v>
      </c>
      <c r="W46" s="164">
        <f xml:space="preserve"> T46/T14</f>
        <v>4.4764085072463775</v>
      </c>
      <c r="X46" s="102">
        <f xml:space="preserve"> U46/U14</f>
        <v>4.648578065217392</v>
      </c>
      <c r="Y46" s="162">
        <f xml:space="preserve"> V46/V15</f>
        <v>4.731474519055288</v>
      </c>
      <c r="Z46" s="157">
        <f>PRODUCT(T46/T15,G15/ G46)</f>
        <v>3.3912185660957403</v>
      </c>
      <c r="AA46" s="107">
        <f>PRODUCT(U46/U15,G15/ G46)</f>
        <v>3.521650049407115</v>
      </c>
      <c r="AB46" s="124">
        <f>PRODUCT(V46/V15,G15/G46)</f>
        <v>3.5844503932237028</v>
      </c>
      <c r="AC46" s="124"/>
      <c r="AD46" s="120" t="s">
        <v>214</v>
      </c>
      <c r="AE46" s="140"/>
      <c r="AF46" s="134"/>
      <c r="AG46" s="40">
        <v>2.9000000000000001E-2</v>
      </c>
      <c r="AH46" s="10">
        <f t="shared" si="4"/>
        <v>546.39277000000004</v>
      </c>
    </row>
    <row r="47" spans="1:34" ht="106.5" customHeight="1">
      <c r="A47" s="78" t="s">
        <v>175</v>
      </c>
      <c r="B47" s="79" t="s">
        <v>59</v>
      </c>
      <c r="C47" s="79" t="s">
        <v>167</v>
      </c>
      <c r="D47" s="79" t="s">
        <v>157</v>
      </c>
      <c r="E47" s="79" t="s">
        <v>174</v>
      </c>
      <c r="F47" s="80" t="s">
        <v>164</v>
      </c>
      <c r="G47" s="79">
        <v>1.1100000000000001</v>
      </c>
      <c r="H47" s="79"/>
      <c r="I47" s="80" t="s">
        <v>158</v>
      </c>
      <c r="J47" s="61" t="s">
        <v>53</v>
      </c>
      <c r="K47" s="79"/>
      <c r="L47" s="79"/>
      <c r="M47" s="76" t="s">
        <v>122</v>
      </c>
      <c r="N47" s="120" t="s">
        <v>216</v>
      </c>
      <c r="O47" s="85" t="s">
        <v>170</v>
      </c>
      <c r="P47" s="88" t="s">
        <v>176</v>
      </c>
      <c r="Q47" s="86" t="s">
        <v>177</v>
      </c>
      <c r="R47" s="82">
        <v>18557.72</v>
      </c>
      <c r="S47" s="83">
        <f t="shared" si="3"/>
        <v>18557.72</v>
      </c>
      <c r="T47" s="92">
        <f>PRODUCT(S47,3.25)</f>
        <v>60312.590000000004</v>
      </c>
      <c r="U47" s="92">
        <f>PRODUCT(S47,6.52)</f>
        <v>120996.33439999999</v>
      </c>
      <c r="V47" s="148">
        <f>PRODUCT(S47,13.04)</f>
        <v>241992.66879999998</v>
      </c>
      <c r="W47" s="164">
        <f xml:space="preserve"> T47/T14</f>
        <v>4.5407558817993605</v>
      </c>
      <c r="X47" s="102">
        <f xml:space="preserve"> U47/U14</f>
        <v>4.5547274383587428</v>
      </c>
      <c r="Y47" s="165">
        <f xml:space="preserve"> V47/V17</f>
        <v>6.1659053020748127</v>
      </c>
      <c r="Z47" s="152">
        <f>PRODUCT(T47/T14, G14/G47)</f>
        <v>4.3362173285651551</v>
      </c>
      <c r="AA47" s="99">
        <f>PRODUCT(U47/U14, G14/G47)</f>
        <v>4.3495595357299708</v>
      </c>
      <c r="AB47" s="123">
        <f>PRODUCT(V47/V17,G17/ G47)</f>
        <v>5.943710516414459</v>
      </c>
      <c r="AC47" s="123"/>
      <c r="AD47" s="120" t="s">
        <v>216</v>
      </c>
      <c r="AE47" s="133" t="s">
        <v>242</v>
      </c>
      <c r="AF47" s="133"/>
      <c r="AG47" s="84"/>
      <c r="AH47" s="10">
        <f t="shared" si="4"/>
        <v>0</v>
      </c>
    </row>
    <row r="48" spans="1:34" ht="105" customHeight="1">
      <c r="A48" s="78" t="s">
        <v>178</v>
      </c>
      <c r="B48" s="79" t="s">
        <v>59</v>
      </c>
      <c r="C48" s="79" t="s">
        <v>167</v>
      </c>
      <c r="D48" s="79" t="s">
        <v>157</v>
      </c>
      <c r="E48" s="79" t="s">
        <v>174</v>
      </c>
      <c r="F48" s="80" t="s">
        <v>164</v>
      </c>
      <c r="G48" s="81" t="s">
        <v>55</v>
      </c>
      <c r="H48" s="81" t="s">
        <v>55</v>
      </c>
      <c r="I48" s="80" t="s">
        <v>158</v>
      </c>
      <c r="J48" s="61" t="s">
        <v>53</v>
      </c>
      <c r="K48" s="87" t="s">
        <v>54</v>
      </c>
      <c r="L48" s="79"/>
      <c r="M48" s="76" t="s">
        <v>122</v>
      </c>
      <c r="N48" s="120" t="s">
        <v>217</v>
      </c>
      <c r="O48" s="85" t="s">
        <v>170</v>
      </c>
      <c r="P48" s="93" t="s">
        <v>176</v>
      </c>
      <c r="Q48" s="86" t="s">
        <v>177</v>
      </c>
      <c r="R48" s="82">
        <v>18557.72</v>
      </c>
      <c r="S48" s="83">
        <f t="shared" si="3"/>
        <v>18557.72</v>
      </c>
      <c r="T48" s="92">
        <f>PRODUCT(S48,3.25)</f>
        <v>60312.590000000004</v>
      </c>
      <c r="U48" s="92">
        <f>PRODUCT(S48,6.52)</f>
        <v>120996.33439999999</v>
      </c>
      <c r="V48" s="148">
        <f>PRODUCT(S48,13.04)</f>
        <v>241992.66879999998</v>
      </c>
      <c r="W48" s="161">
        <f xml:space="preserve"> T48/T14</f>
        <v>4.5407558817993605</v>
      </c>
      <c r="X48" s="104">
        <f xml:space="preserve"> U48/U14</f>
        <v>4.5547274383587428</v>
      </c>
      <c r="Y48" s="162">
        <f xml:space="preserve"> V48/V15</f>
        <v>4.7234210471868439</v>
      </c>
      <c r="Z48" s="152"/>
      <c r="AA48" s="99"/>
      <c r="AB48" s="123"/>
      <c r="AC48" s="123"/>
      <c r="AD48" s="120" t="s">
        <v>217</v>
      </c>
      <c r="AE48" s="133" t="s">
        <v>242</v>
      </c>
      <c r="AF48" s="133"/>
      <c r="AG48" s="84"/>
      <c r="AH48" s="10">
        <f t="shared" si="4"/>
        <v>0</v>
      </c>
    </row>
    <row r="49" spans="1:34" ht="90.75" customHeight="1">
      <c r="A49" s="21" t="s">
        <v>156</v>
      </c>
      <c r="B49" s="22" t="s">
        <v>152</v>
      </c>
      <c r="C49" s="22" t="s">
        <v>147</v>
      </c>
      <c r="D49" s="22" t="s">
        <v>30</v>
      </c>
      <c r="E49" s="22" t="s">
        <v>153</v>
      </c>
      <c r="F49" s="41" t="s">
        <v>154</v>
      </c>
      <c r="G49" s="22">
        <v>1.0900000000000001</v>
      </c>
      <c r="H49" s="22">
        <v>1.03</v>
      </c>
      <c r="I49" s="41" t="s">
        <v>64</v>
      </c>
      <c r="J49" s="22" t="s">
        <v>52</v>
      </c>
      <c r="K49" s="22"/>
      <c r="L49" s="22"/>
      <c r="M49" s="76" t="s">
        <v>122</v>
      </c>
      <c r="N49" s="120" t="s">
        <v>240</v>
      </c>
      <c r="O49" s="77" t="s">
        <v>149</v>
      </c>
      <c r="P49" s="42" t="s">
        <v>148</v>
      </c>
      <c r="Q49" s="23" t="s">
        <v>155</v>
      </c>
      <c r="R49" s="24">
        <v>19218.099999999999</v>
      </c>
      <c r="S49" s="25">
        <f t="shared" si="3"/>
        <v>19218.099999999999</v>
      </c>
      <c r="T49" s="91">
        <f>PRODUCT(S49,3.25)</f>
        <v>62458.824999999997</v>
      </c>
      <c r="U49" s="91">
        <f>PRODUCT(S49,6.75)</f>
        <v>129722.17499999999</v>
      </c>
      <c r="V49" s="150">
        <f>PRODUCT(S49,13.25)</f>
        <v>254639.82499999998</v>
      </c>
      <c r="W49" s="164">
        <f xml:space="preserve"> T49/T14</f>
        <v>4.7023395445134577</v>
      </c>
      <c r="X49" s="102">
        <f xml:space="preserve"> U49/U14</f>
        <v>4.8831987577639744</v>
      </c>
      <c r="Y49" s="165">
        <f xml:space="preserve"> V49/V17</f>
        <v>6.4881512934779559</v>
      </c>
      <c r="Z49" s="152">
        <f>PRODUCT(T49/T14, G14/G49)</f>
        <v>4.5729173552149218</v>
      </c>
      <c r="AA49" s="99">
        <f>PRODUCT(U49/U14, G14/G49)</f>
        <v>4.7487987919539565</v>
      </c>
      <c r="AB49" s="126">
        <f>PRODUCT(V49/V17,G7/ G49)</f>
        <v>5.9524323793375737</v>
      </c>
      <c r="AC49" s="123">
        <f>PRODUCT(V49/V17,H7/ H49)</f>
        <v>6.2991760130853942</v>
      </c>
      <c r="AD49" s="120" t="s">
        <v>240</v>
      </c>
      <c r="AE49" s="135" t="s">
        <v>232</v>
      </c>
      <c r="AF49" s="135"/>
      <c r="AG49" s="26"/>
      <c r="AH49" s="10">
        <f t="shared" si="4"/>
        <v>0</v>
      </c>
    </row>
    <row r="50" spans="1:34" ht="86.25" customHeight="1">
      <c r="A50" s="35" t="s">
        <v>130</v>
      </c>
      <c r="B50" s="36" t="s">
        <v>137</v>
      </c>
      <c r="C50" s="36" t="s">
        <v>131</v>
      </c>
      <c r="D50" s="36" t="s">
        <v>30</v>
      </c>
      <c r="E50" s="36" t="s">
        <v>132</v>
      </c>
      <c r="F50" s="36" t="s">
        <v>118</v>
      </c>
      <c r="G50" s="36">
        <v>1.1399999999999999</v>
      </c>
      <c r="H50" s="36">
        <v>1.02</v>
      </c>
      <c r="I50" s="60" t="s">
        <v>64</v>
      </c>
      <c r="J50" s="56" t="s">
        <v>52</v>
      </c>
      <c r="K50" s="36"/>
      <c r="L50" s="36"/>
      <c r="M50" s="76" t="s">
        <v>122</v>
      </c>
      <c r="N50" s="120" t="s">
        <v>240</v>
      </c>
      <c r="O50" s="37" t="s">
        <v>134</v>
      </c>
      <c r="P50" s="37" t="s">
        <v>133</v>
      </c>
      <c r="Q50" s="51" t="s">
        <v>136</v>
      </c>
      <c r="R50" s="38">
        <v>18841.13</v>
      </c>
      <c r="S50" s="39">
        <f t="shared" si="3"/>
        <v>18558.513050000001</v>
      </c>
      <c r="T50" s="90">
        <f>PRODUCT(S50,3.5)</f>
        <v>64954.795675000001</v>
      </c>
      <c r="U50" s="90">
        <f>PRODUCT(S50,7)</f>
        <v>129909.59135</v>
      </c>
      <c r="V50" s="149">
        <f>PRODUCT(S50,13.5)</f>
        <v>250539.92617500003</v>
      </c>
      <c r="W50" s="164">
        <f xml:space="preserve"> T50/T14</f>
        <v>4.8902537681159419</v>
      </c>
      <c r="X50" s="102">
        <f xml:space="preserve"> U50/U14</f>
        <v>4.8902537681159419</v>
      </c>
      <c r="Y50" s="165">
        <f xml:space="preserve"> V50/V17</f>
        <v>6.3836870217775168</v>
      </c>
      <c r="Z50" s="156">
        <f>PRODUCT(T50/T14, G14/G50)</f>
        <v>4.547078065090262</v>
      </c>
      <c r="AA50" s="103">
        <f>PRODUCT(U50/U14, G14/G50)</f>
        <v>4.547078065090262</v>
      </c>
      <c r="AB50" s="126">
        <f>PRODUCT(V50/V17,G17/ G50)</f>
        <v>5.991706239738547</v>
      </c>
      <c r="AC50" s="123">
        <f>PRODUCT(V50/V17,H17/ H50)</f>
        <v>6.3211018548973454</v>
      </c>
      <c r="AD50" s="120" t="s">
        <v>240</v>
      </c>
      <c r="AE50" s="140"/>
      <c r="AF50" s="134" t="s">
        <v>231</v>
      </c>
      <c r="AG50" s="40">
        <v>1.4999999999999999E-2</v>
      </c>
      <c r="AH50" s="10">
        <f t="shared" si="4"/>
        <v>282.61695000000003</v>
      </c>
    </row>
    <row r="51" spans="1:34" ht="128.25" customHeight="1">
      <c r="A51" s="35" t="s">
        <v>135</v>
      </c>
      <c r="B51" s="36" t="s">
        <v>137</v>
      </c>
      <c r="C51" s="36" t="s">
        <v>131</v>
      </c>
      <c r="D51" s="36" t="s">
        <v>30</v>
      </c>
      <c r="E51" s="36" t="s">
        <v>132</v>
      </c>
      <c r="F51" s="36" t="s">
        <v>118</v>
      </c>
      <c r="G51" s="101">
        <v>1.25</v>
      </c>
      <c r="H51" s="101">
        <v>1.03</v>
      </c>
      <c r="I51" s="60" t="s">
        <v>64</v>
      </c>
      <c r="J51" s="56" t="s">
        <v>52</v>
      </c>
      <c r="K51" s="56" t="s">
        <v>54</v>
      </c>
      <c r="L51" s="56"/>
      <c r="M51" s="76" t="s">
        <v>122</v>
      </c>
      <c r="N51" s="120" t="s">
        <v>241</v>
      </c>
      <c r="O51" s="37" t="s">
        <v>134</v>
      </c>
      <c r="P51" s="37" t="s">
        <v>133</v>
      </c>
      <c r="Q51" s="51" t="s">
        <v>136</v>
      </c>
      <c r="R51" s="38">
        <v>18841.13</v>
      </c>
      <c r="S51" s="39">
        <f t="shared" si="3"/>
        <v>18558.513050000001</v>
      </c>
      <c r="T51" s="90">
        <f>PRODUCT(S51,3.5)</f>
        <v>64954.795675000001</v>
      </c>
      <c r="U51" s="90">
        <f>PRODUCT(S51,7)</f>
        <v>129909.59135</v>
      </c>
      <c r="V51" s="149">
        <f>PRODUCT(S51,13.5)</f>
        <v>250539.92617500003</v>
      </c>
      <c r="W51" s="164">
        <f xml:space="preserve"> T51/T14</f>
        <v>4.8902537681159419</v>
      </c>
      <c r="X51" s="102">
        <f xml:space="preserve"> U51/U14</f>
        <v>4.8902537681159419</v>
      </c>
      <c r="Y51" s="165">
        <f xml:space="preserve"> V51/V15</f>
        <v>4.8902537681159428</v>
      </c>
      <c r="Z51" s="157">
        <f>PRODUCT(T51/T15,G15/ G51)</f>
        <v>3.9122030144927535</v>
      </c>
      <c r="AA51" s="107">
        <f>PRODUCT(U51/U15,G15/ G51)</f>
        <v>3.9122030144927535</v>
      </c>
      <c r="AB51" s="127">
        <f>PRODUCT(V51/V15,G15/G51)</f>
        <v>3.9122030144927544</v>
      </c>
      <c r="AC51" s="124">
        <f>PRODUCT(V51/V15,H15/H51)</f>
        <v>4.7478191923455757</v>
      </c>
      <c r="AD51" s="120" t="s">
        <v>241</v>
      </c>
      <c r="AE51" s="140"/>
      <c r="AF51" s="134" t="s">
        <v>231</v>
      </c>
      <c r="AG51" s="40">
        <v>1.4999999999999999E-2</v>
      </c>
      <c r="AH51" s="10">
        <f t="shared" si="4"/>
        <v>282.61695000000003</v>
      </c>
    </row>
    <row r="52" spans="1:34" ht="126" customHeight="1">
      <c r="A52" s="35" t="s">
        <v>180</v>
      </c>
      <c r="B52" s="36" t="s">
        <v>126</v>
      </c>
      <c r="C52" s="36" t="s">
        <v>12</v>
      </c>
      <c r="D52" s="36" t="s">
        <v>30</v>
      </c>
      <c r="E52" s="36" t="s">
        <v>117</v>
      </c>
      <c r="F52" s="36" t="s">
        <v>118</v>
      </c>
      <c r="G52" s="36">
        <v>1.2</v>
      </c>
      <c r="H52" s="36">
        <v>1.02</v>
      </c>
      <c r="I52" s="59" t="s">
        <v>36</v>
      </c>
      <c r="J52" s="56" t="s">
        <v>52</v>
      </c>
      <c r="K52" s="36"/>
      <c r="L52" s="36"/>
      <c r="M52" s="76" t="s">
        <v>122</v>
      </c>
      <c r="N52" s="121" t="s">
        <v>218</v>
      </c>
      <c r="O52" s="37" t="s">
        <v>124</v>
      </c>
      <c r="P52" s="37" t="s">
        <v>119</v>
      </c>
      <c r="Q52" s="37" t="s">
        <v>125</v>
      </c>
      <c r="R52" s="38">
        <v>10048.61</v>
      </c>
      <c r="S52" s="39">
        <f t="shared" si="3"/>
        <v>9757.2003100000002</v>
      </c>
      <c r="T52" s="90">
        <f>PRODUCT(S52,8)</f>
        <v>78057.602480000001</v>
      </c>
      <c r="U52" s="90">
        <f>PRODUCT(S52,14)</f>
        <v>136600.80434</v>
      </c>
      <c r="V52" s="149">
        <f>PRODUCT(S52,28)</f>
        <v>273201.60868</v>
      </c>
      <c r="W52" s="164">
        <f xml:space="preserve"> T52/T14</f>
        <v>5.8767252008281572</v>
      </c>
      <c r="X52" s="102">
        <f xml:space="preserve"> U52/U14</f>
        <v>5.1421345507246379</v>
      </c>
      <c r="Y52" s="165">
        <f xml:space="preserve"> V52/V17</f>
        <v>6.9611003335295267</v>
      </c>
      <c r="Z52" s="156">
        <f>PRODUCT(T52/T14,G14/ G52)</f>
        <v>5.1911072607315392</v>
      </c>
      <c r="AA52" s="103">
        <f>PRODUCT(U52/U14,G14/ G52)</f>
        <v>4.5422188531400973</v>
      </c>
      <c r="AB52" s="126">
        <f>PRODUCT(V52/V17,G17/ G52)</f>
        <v>6.2069811307304947</v>
      </c>
      <c r="AC52" s="126">
        <f>PRODUCT(V52/V17,H17/ H52)</f>
        <v>6.8928542518282567</v>
      </c>
      <c r="AD52" s="121" t="s">
        <v>218</v>
      </c>
      <c r="AE52" s="140"/>
      <c r="AF52" s="134" t="s">
        <v>243</v>
      </c>
      <c r="AG52" s="40">
        <v>2.9000000000000001E-2</v>
      </c>
      <c r="AH52" s="10">
        <f t="shared" si="4"/>
        <v>291.40969000000001</v>
      </c>
    </row>
    <row r="53" spans="1:34" ht="125.25" customHeight="1">
      <c r="A53" s="35" t="s">
        <v>181</v>
      </c>
      <c r="B53" s="36" t="s">
        <v>126</v>
      </c>
      <c r="C53" s="36" t="s">
        <v>12</v>
      </c>
      <c r="D53" s="36" t="s">
        <v>30</v>
      </c>
      <c r="E53" s="36" t="s">
        <v>117</v>
      </c>
      <c r="F53" s="36" t="s">
        <v>118</v>
      </c>
      <c r="G53" s="101">
        <v>1.32</v>
      </c>
      <c r="H53" s="101">
        <v>1.03</v>
      </c>
      <c r="I53" s="60" t="s">
        <v>36</v>
      </c>
      <c r="J53" s="56" t="s">
        <v>52</v>
      </c>
      <c r="K53" s="56" t="s">
        <v>54</v>
      </c>
      <c r="L53" s="36"/>
      <c r="M53" s="76" t="s">
        <v>122</v>
      </c>
      <c r="N53" s="121" t="s">
        <v>218</v>
      </c>
      <c r="O53" s="37" t="s">
        <v>124</v>
      </c>
      <c r="P53" s="37" t="s">
        <v>119</v>
      </c>
      <c r="Q53" s="37" t="s">
        <v>125</v>
      </c>
      <c r="R53" s="38">
        <v>10048.61</v>
      </c>
      <c r="S53" s="39">
        <f t="shared" si="3"/>
        <v>9757.2003100000002</v>
      </c>
      <c r="T53" s="90">
        <f>PRODUCT(S53,8)</f>
        <v>78057.602480000001</v>
      </c>
      <c r="U53" s="90">
        <f>PRODUCT(S53,14)</f>
        <v>136600.80434</v>
      </c>
      <c r="V53" s="149">
        <f>PRODUCT(S53,28)</f>
        <v>273201.60868</v>
      </c>
      <c r="W53" s="164">
        <f xml:space="preserve"> T53/T14</f>
        <v>5.8767252008281572</v>
      </c>
      <c r="X53" s="102">
        <f xml:space="preserve"> U53/U14</f>
        <v>5.1421345507246379</v>
      </c>
      <c r="Y53" s="165">
        <f xml:space="preserve"> V53/V15</f>
        <v>5.3325839785292537</v>
      </c>
      <c r="Z53" s="157">
        <f>PRODUCT(T53/T15,G15/ G53)</f>
        <v>4.452064546081937</v>
      </c>
      <c r="AA53" s="107">
        <f>PRODUCT(U53/U15,G15/ G53)</f>
        <v>3.8955564778216951</v>
      </c>
      <c r="AB53" s="127">
        <f>PRODUCT(V53/V15,G15/G53)</f>
        <v>4.0398363473706471</v>
      </c>
      <c r="AC53" s="127">
        <f>PRODUCT(V53/V15,H15/H53)</f>
        <v>5.177265998572091</v>
      </c>
      <c r="AD53" s="121" t="s">
        <v>218</v>
      </c>
      <c r="AE53" s="140"/>
      <c r="AF53" s="134" t="s">
        <v>243</v>
      </c>
      <c r="AG53" s="40">
        <v>2.9000000000000001E-2</v>
      </c>
      <c r="AH53" s="10">
        <f t="shared" si="4"/>
        <v>291.40969000000001</v>
      </c>
    </row>
    <row r="54" spans="1:34" ht="126.75" customHeight="1">
      <c r="A54" s="108" t="s">
        <v>186</v>
      </c>
      <c r="B54" s="109" t="s">
        <v>46</v>
      </c>
      <c r="C54" s="109" t="s">
        <v>140</v>
      </c>
      <c r="D54" s="109" t="s">
        <v>42</v>
      </c>
      <c r="E54" s="109" t="s">
        <v>141</v>
      </c>
      <c r="F54" s="111" t="s">
        <v>142</v>
      </c>
      <c r="G54" s="109">
        <v>1</v>
      </c>
      <c r="H54" s="109">
        <v>1.01</v>
      </c>
      <c r="I54" s="111" t="s">
        <v>36</v>
      </c>
      <c r="J54" s="61" t="s">
        <v>53</v>
      </c>
      <c r="K54" s="109"/>
      <c r="L54" s="109"/>
      <c r="M54" s="76" t="s">
        <v>122</v>
      </c>
      <c r="N54" s="121" t="s">
        <v>219</v>
      </c>
      <c r="O54" s="112" t="s">
        <v>144</v>
      </c>
      <c r="P54" s="117" t="s">
        <v>146</v>
      </c>
      <c r="Q54" s="112" t="s">
        <v>143</v>
      </c>
      <c r="R54" s="113">
        <v>21221.55</v>
      </c>
      <c r="S54" s="114">
        <f t="shared" si="3"/>
        <v>21221.55</v>
      </c>
      <c r="T54" s="115">
        <f>PRODUCT(S54,4)</f>
        <v>84886.2</v>
      </c>
      <c r="U54" s="115">
        <f>PRODUCT(S54,6)</f>
        <v>127329.29999999999</v>
      </c>
      <c r="V54" s="147">
        <f>PRODUCT(S54,12)</f>
        <v>254658.59999999998</v>
      </c>
      <c r="W54" s="164">
        <f xml:space="preserve"> T54/T14</f>
        <v>6.3908300395256914</v>
      </c>
      <c r="X54" s="102">
        <f xml:space="preserve"> U54/U14</f>
        <v>4.7931225296442683</v>
      </c>
      <c r="Y54" s="165">
        <f xml:space="preserve"> V54/V17</f>
        <v>6.4886296752100154</v>
      </c>
      <c r="Z54" s="156">
        <f>PRODUCT(T54/T14, G14/G54)</f>
        <v>6.7742798418972336</v>
      </c>
      <c r="AA54" s="103">
        <f>PRODUCT(U54/U14, G14/G54)</f>
        <v>5.0807098814229246</v>
      </c>
      <c r="AB54" s="126">
        <f>PRODUCT(V54/V17,G17/ G54)</f>
        <v>6.9428337524747166</v>
      </c>
      <c r="AC54" s="123">
        <f>PRODUCT(V54/V17,H17/ H54)</f>
        <v>6.4886296752100154</v>
      </c>
      <c r="AD54" s="121" t="s">
        <v>219</v>
      </c>
      <c r="AE54" s="137"/>
      <c r="AF54" s="132" t="s">
        <v>230</v>
      </c>
      <c r="AG54" s="116"/>
      <c r="AH54" s="10">
        <f t="shared" si="4"/>
        <v>0</v>
      </c>
    </row>
    <row r="55" spans="1:34" ht="124.5" customHeight="1">
      <c r="A55" s="108" t="s">
        <v>184</v>
      </c>
      <c r="B55" s="109" t="s">
        <v>126</v>
      </c>
      <c r="C55" s="109" t="s">
        <v>140</v>
      </c>
      <c r="D55" s="109" t="s">
        <v>30</v>
      </c>
      <c r="E55" s="109" t="s">
        <v>141</v>
      </c>
      <c r="F55" s="111" t="s">
        <v>142</v>
      </c>
      <c r="G55" s="109">
        <v>1</v>
      </c>
      <c r="H55" s="109">
        <v>1.01</v>
      </c>
      <c r="I55" s="111" t="s">
        <v>36</v>
      </c>
      <c r="J55" s="61" t="s">
        <v>53</v>
      </c>
      <c r="K55" s="109"/>
      <c r="L55" s="109"/>
      <c r="M55" s="76" t="s">
        <v>122</v>
      </c>
      <c r="N55" s="121" t="s">
        <v>219</v>
      </c>
      <c r="O55" s="112" t="s">
        <v>144</v>
      </c>
      <c r="P55" s="112" t="s">
        <v>145</v>
      </c>
      <c r="Q55" s="112" t="s">
        <v>143</v>
      </c>
      <c r="R55" s="113">
        <v>21997.89</v>
      </c>
      <c r="S55" s="114">
        <f t="shared" si="3"/>
        <v>21491.938529999999</v>
      </c>
      <c r="T55" s="115">
        <f>PRODUCT(S55,4)</f>
        <v>85967.754119999998</v>
      </c>
      <c r="U55" s="115">
        <f>PRODUCT(S55,6)</f>
        <v>128951.63118</v>
      </c>
      <c r="V55" s="147">
        <f>PRODUCT(S55,12)</f>
        <v>257903.26235999999</v>
      </c>
      <c r="W55" s="164">
        <f xml:space="preserve"> T55/T14</f>
        <v>6.4722570389610388</v>
      </c>
      <c r="X55" s="102">
        <f xml:space="preserve"> U55/U14</f>
        <v>4.8541927792207789</v>
      </c>
      <c r="Y55" s="165">
        <f xml:space="preserve"> V55/V17</f>
        <v>6.5713027617467876</v>
      </c>
      <c r="Z55" s="156">
        <f>PRODUCT(T55/T14, G14/G55)</f>
        <v>6.860592461298701</v>
      </c>
      <c r="AA55" s="103">
        <f>PRODUCT(U55/U14, G14/G55)</f>
        <v>5.1454443459740258</v>
      </c>
      <c r="AB55" s="126">
        <f>PRODUCT(V55/V17,G17/ G55)</f>
        <v>7.0312939550690627</v>
      </c>
      <c r="AC55" s="123">
        <f>PRODUCT(V55/V17,H17/ H55)</f>
        <v>6.5713027617467876</v>
      </c>
      <c r="AD55" s="121" t="s">
        <v>219</v>
      </c>
      <c r="AE55" s="137"/>
      <c r="AF55" s="132" t="s">
        <v>230</v>
      </c>
      <c r="AG55" s="116">
        <v>2.3E-2</v>
      </c>
      <c r="AH55" s="10">
        <f t="shared" si="4"/>
        <v>505.95146999999997</v>
      </c>
    </row>
    <row r="56" spans="1:34" ht="129" customHeight="1" thickBot="1">
      <c r="A56" s="21" t="s">
        <v>150</v>
      </c>
      <c r="B56" s="22" t="s">
        <v>152</v>
      </c>
      <c r="C56" s="22" t="s">
        <v>147</v>
      </c>
      <c r="D56" s="22" t="s">
        <v>30</v>
      </c>
      <c r="E56" s="22" t="s">
        <v>153</v>
      </c>
      <c r="F56" s="41" t="s">
        <v>154</v>
      </c>
      <c r="G56" s="22">
        <v>1.1299999999999999</v>
      </c>
      <c r="H56" s="22">
        <v>1.02</v>
      </c>
      <c r="I56" s="41" t="s">
        <v>36</v>
      </c>
      <c r="J56" s="22" t="s">
        <v>52</v>
      </c>
      <c r="K56" s="22"/>
      <c r="L56" s="22"/>
      <c r="M56" s="76" t="s">
        <v>122</v>
      </c>
      <c r="N56" s="121" t="s">
        <v>220</v>
      </c>
      <c r="O56" s="77" t="s">
        <v>149</v>
      </c>
      <c r="P56" s="42" t="s">
        <v>148</v>
      </c>
      <c r="Q56" s="23" t="s">
        <v>151</v>
      </c>
      <c r="R56" s="24">
        <v>6406.02</v>
      </c>
      <c r="S56" s="25">
        <f t="shared" si="3"/>
        <v>6406.02</v>
      </c>
      <c r="T56" s="91">
        <f>PRODUCT(S56,15)</f>
        <v>96090.3</v>
      </c>
      <c r="U56" s="91">
        <f>PRODUCT(S56,24)</f>
        <v>153744.48000000001</v>
      </c>
      <c r="V56" s="150">
        <f>PRODUCT(S56,42)</f>
        <v>269052.84000000003</v>
      </c>
      <c r="W56" s="166">
        <f xml:space="preserve"> T56/T14</f>
        <v>7.2343534726143428</v>
      </c>
      <c r="X56" s="167">
        <f xml:space="preserve"> U56/U14</f>
        <v>5.7874827780914737</v>
      </c>
      <c r="Y56" s="168">
        <f xml:space="preserve"> V56/V17</f>
        <v>6.8553908716357217</v>
      </c>
      <c r="Z56" s="156">
        <f>PRODUCT(T56/T14,G14/ G56)</f>
        <v>6.7862076822754025</v>
      </c>
      <c r="AA56" s="103">
        <f>PRODUCT(U56/U14,G14/ G56)</f>
        <v>5.4289661458203211</v>
      </c>
      <c r="AB56" s="126">
        <f>PRODUCT(V56/V17,G17/ G56)</f>
        <v>6.4913878165046226</v>
      </c>
      <c r="AC56" s="123">
        <f>PRODUCT(V56/V17,H17/ H56)</f>
        <v>6.7881811572079211</v>
      </c>
      <c r="AD56" s="121" t="s">
        <v>220</v>
      </c>
      <c r="AE56" s="135" t="s">
        <v>232</v>
      </c>
      <c r="AF56" s="135" t="s">
        <v>233</v>
      </c>
      <c r="AG56" s="26"/>
      <c r="AH56" s="10">
        <f t="shared" si="4"/>
        <v>0</v>
      </c>
    </row>
    <row r="57" spans="1:34" ht="7.5" customHeight="1" thickTop="1">
      <c r="A57" s="17"/>
      <c r="B57" s="34"/>
      <c r="D57" s="16"/>
      <c r="E57" s="16"/>
      <c r="G57" s="19"/>
      <c r="H57" s="19"/>
      <c r="R57" s="15"/>
      <c r="S57" s="15"/>
      <c r="T57" s="20"/>
      <c r="U57" s="20"/>
      <c r="V57" s="20"/>
      <c r="W57" s="15"/>
      <c r="X57" s="15"/>
      <c r="Y57" s="15"/>
      <c r="Z57" s="46"/>
      <c r="AA57" s="46"/>
      <c r="AB57" s="46"/>
      <c r="AC57" s="46"/>
      <c r="AD57" s="46"/>
      <c r="AE57" s="46"/>
      <c r="AF57" s="16"/>
      <c r="AG57" s="11"/>
      <c r="AH57" s="12"/>
    </row>
    <row r="58" spans="1:34" ht="17.25" customHeight="1">
      <c r="A58" s="118" t="s">
        <v>235</v>
      </c>
      <c r="B58" s="128"/>
      <c r="C58" s="66"/>
      <c r="D58" s="129"/>
      <c r="E58" s="129"/>
      <c r="F58" s="66"/>
      <c r="G58" s="130"/>
      <c r="H58" s="19"/>
      <c r="R58" s="15"/>
      <c r="S58" s="15"/>
      <c r="T58" s="20"/>
      <c r="U58" s="20"/>
      <c r="V58" s="20"/>
      <c r="W58" s="15"/>
      <c r="X58" s="15"/>
      <c r="Y58" s="15"/>
      <c r="Z58" s="46"/>
      <c r="AA58" s="46"/>
      <c r="AB58" s="46"/>
      <c r="AC58" s="46"/>
      <c r="AD58" s="46"/>
      <c r="AE58" s="46"/>
      <c r="AF58" s="16"/>
      <c r="AG58" s="11"/>
      <c r="AH58" s="12"/>
    </row>
    <row r="59" spans="1:34" ht="14.25" customHeight="1">
      <c r="A59" s="44" t="s">
        <v>8</v>
      </c>
      <c r="B59" s="16"/>
      <c r="D59" s="16"/>
      <c r="E59" s="16"/>
      <c r="R59" s="15"/>
      <c r="S59" s="15"/>
      <c r="T59" s="20"/>
      <c r="U59" s="20"/>
      <c r="V59" s="20"/>
      <c r="W59" s="15"/>
      <c r="X59" s="15"/>
      <c r="Y59" s="15"/>
      <c r="Z59" s="46"/>
      <c r="AA59" s="46"/>
      <c r="AB59" s="46"/>
      <c r="AC59" s="46"/>
      <c r="AD59" s="46"/>
      <c r="AE59" s="46"/>
      <c r="AH59" s="12"/>
    </row>
    <row r="60" spans="1:34" ht="12.75" customHeight="1">
      <c r="A60" s="44" t="s">
        <v>15</v>
      </c>
      <c r="B60" s="16"/>
      <c r="D60" s="16"/>
      <c r="E60" s="16"/>
      <c r="R60" s="15"/>
      <c r="S60" s="15"/>
      <c r="T60" s="20"/>
      <c r="U60" s="20"/>
      <c r="V60" s="20"/>
      <c r="W60" s="15"/>
      <c r="X60" s="15"/>
      <c r="Y60" s="15"/>
      <c r="Z60" s="46"/>
      <c r="AA60" s="46"/>
      <c r="AB60" s="46"/>
      <c r="AC60" s="46"/>
      <c r="AD60" s="46"/>
      <c r="AE60" s="46"/>
      <c r="AH60" s="12"/>
    </row>
    <row r="61" spans="1:34" ht="12.75" customHeight="1">
      <c r="A61" s="67" t="s">
        <v>16</v>
      </c>
      <c r="B61" s="68"/>
      <c r="C61" s="66"/>
      <c r="D61" s="66"/>
      <c r="E61" s="66"/>
      <c r="F61" s="66"/>
      <c r="G61" s="66"/>
      <c r="H61" s="66"/>
      <c r="Z61" s="47"/>
      <c r="AA61" s="47"/>
      <c r="AB61" s="47"/>
      <c r="AC61" s="47"/>
      <c r="AD61" s="47"/>
      <c r="AE61" s="47"/>
      <c r="AH61" s="12"/>
    </row>
    <row r="62" spans="1:34" ht="11.25" customHeight="1">
      <c r="A62" s="44" t="s">
        <v>22</v>
      </c>
      <c r="Z62" s="47"/>
      <c r="AA62" s="47"/>
      <c r="AB62" s="47"/>
      <c r="AC62" s="47"/>
      <c r="AD62" s="47"/>
      <c r="AE62" s="47"/>
    </row>
    <row r="63" spans="1:34" ht="12" customHeight="1">
      <c r="A63" s="44" t="s">
        <v>23</v>
      </c>
    </row>
    <row r="64" spans="1:34" ht="12" customHeight="1">
      <c r="A64" s="64" t="s">
        <v>24</v>
      </c>
      <c r="B64" s="66"/>
      <c r="C64" s="66"/>
      <c r="D64" s="66"/>
      <c r="E64" s="66"/>
      <c r="F64" s="66"/>
      <c r="G64" s="66"/>
      <c r="H64" s="66"/>
      <c r="I64" s="66"/>
      <c r="J64" s="66"/>
      <c r="K64" s="66"/>
      <c r="L64" s="66"/>
      <c r="M64" s="66"/>
      <c r="N64" s="66"/>
      <c r="O64" s="66"/>
    </row>
    <row r="65" spans="1:15" ht="12" customHeight="1">
      <c r="A65" s="44" t="s">
        <v>26</v>
      </c>
    </row>
    <row r="66" spans="1:15" ht="12" customHeight="1">
      <c r="A66" s="44" t="s">
        <v>25</v>
      </c>
    </row>
    <row r="67" spans="1:15" ht="13.5" customHeight="1">
      <c r="A67" s="44" t="s">
        <v>27</v>
      </c>
    </row>
    <row r="68" spans="1:15" ht="12" customHeight="1">
      <c r="A68" s="64" t="s">
        <v>189</v>
      </c>
      <c r="B68" s="66"/>
      <c r="C68" s="66"/>
      <c r="D68" s="66"/>
      <c r="E68" s="66"/>
      <c r="F68" s="66"/>
      <c r="G68" s="66"/>
      <c r="H68" s="66"/>
      <c r="I68" s="66"/>
      <c r="J68" s="66"/>
      <c r="K68" s="66"/>
      <c r="L68" s="66"/>
      <c r="M68" s="66"/>
      <c r="N68" s="66"/>
      <c r="O68" s="66"/>
    </row>
    <row r="69" spans="1:15" ht="12.75" customHeight="1">
      <c r="A69" s="65" t="s">
        <v>112</v>
      </c>
      <c r="C69" s="66"/>
      <c r="D69" s="66"/>
    </row>
    <row r="70" spans="1:15" ht="12.75" customHeight="1">
      <c r="A70" s="45" t="s">
        <v>190</v>
      </c>
      <c r="H70" s="66"/>
      <c r="I70" s="66"/>
      <c r="J70" s="66"/>
      <c r="K70" s="66"/>
    </row>
    <row r="71" spans="1:15" ht="12.75" customHeight="1">
      <c r="A71" s="45" t="s">
        <v>192</v>
      </c>
      <c r="G71" s="66"/>
      <c r="H71" s="66"/>
      <c r="I71" s="66"/>
      <c r="J71" s="66"/>
    </row>
    <row r="72" spans="1:15" ht="12" customHeight="1">
      <c r="A72" s="45" t="s">
        <v>191</v>
      </c>
      <c r="F72" s="66"/>
      <c r="G72" s="66"/>
      <c r="H72" s="66"/>
      <c r="I72" s="66"/>
      <c r="J72" s="66"/>
    </row>
    <row r="73" spans="1:15" ht="12" customHeight="1">
      <c r="A73" s="45" t="s">
        <v>19</v>
      </c>
      <c r="C73" s="66"/>
      <c r="D73" s="66"/>
      <c r="E73" s="66"/>
      <c r="F73" s="66"/>
      <c r="G73" s="66"/>
      <c r="H73" s="66"/>
      <c r="I73" s="66"/>
      <c r="J73" s="66"/>
    </row>
    <row r="74" spans="1:15" ht="12" customHeight="1">
      <c r="A74" s="45" t="s">
        <v>28</v>
      </c>
    </row>
    <row r="75" spans="1:15" ht="12" customHeight="1">
      <c r="A75" s="49" t="s">
        <v>20</v>
      </c>
    </row>
    <row r="76" spans="1:15" ht="12" customHeight="1">
      <c r="A76" s="49" t="s">
        <v>21</v>
      </c>
    </row>
    <row r="77" spans="1:15" ht="13.5" customHeight="1">
      <c r="A77" s="49" t="s">
        <v>194</v>
      </c>
    </row>
    <row r="78" spans="1:15" ht="12" customHeight="1">
      <c r="A78" s="49" t="s">
        <v>195</v>
      </c>
    </row>
    <row r="79" spans="1:15" ht="13.5" customHeight="1">
      <c r="A79" s="49" t="s">
        <v>221</v>
      </c>
      <c r="C79" s="66"/>
      <c r="D79" s="66"/>
    </row>
    <row r="80" spans="1:15" ht="12" customHeight="1">
      <c r="A80" s="49" t="s">
        <v>226</v>
      </c>
    </row>
    <row r="81" spans="1:1" ht="14.25" customHeight="1">
      <c r="A81" s="49" t="s">
        <v>227</v>
      </c>
    </row>
    <row r="82" spans="1:1" ht="12" customHeight="1">
      <c r="A82" s="49" t="s">
        <v>225</v>
      </c>
    </row>
    <row r="83" spans="1:1" ht="12" customHeight="1">
      <c r="A83" s="49" t="s">
        <v>228</v>
      </c>
    </row>
    <row r="85" spans="1:1">
      <c r="A85" s="48" t="s">
        <v>11</v>
      </c>
    </row>
  </sheetData>
  <autoFilter ref="A2:AG2">
    <filterColumn colId="1"/>
    <filterColumn colId="4"/>
    <filterColumn colId="5"/>
    <filterColumn colId="6"/>
    <filterColumn colId="7"/>
    <filterColumn colId="9"/>
    <filterColumn colId="10"/>
    <filterColumn colId="11"/>
    <filterColumn colId="12"/>
    <filterColumn colId="13"/>
    <filterColumn colId="16"/>
    <filterColumn colId="20"/>
    <filterColumn colId="21"/>
    <filterColumn colId="22"/>
    <filterColumn colId="23"/>
    <filterColumn colId="24"/>
    <filterColumn colId="25"/>
    <filterColumn colId="26"/>
    <filterColumn colId="27"/>
    <filterColumn colId="28"/>
    <filterColumn colId="29"/>
    <filterColumn colId="30"/>
    <filterColumn colId="31"/>
    <sortState ref="A3:AE56">
      <sortCondition ref="T2"/>
    </sortState>
  </autoFilter>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systému Windows</dc:creator>
  <cp:lastModifiedBy>61355</cp:lastModifiedBy>
  <dcterms:created xsi:type="dcterms:W3CDTF">2020-06-23T07:31:22Z</dcterms:created>
  <dcterms:modified xsi:type="dcterms:W3CDTF">2020-08-25T09:50:41Z</dcterms:modified>
</cp:coreProperties>
</file>