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1685" tabRatio="587"/>
  </bookViews>
  <sheets>
    <sheet name="Ceny za léčbu" sheetId="1" r:id="rId1"/>
    <sheet name="BIA (nVPMD)" sheetId="3" r:id="rId2"/>
    <sheet name="BIA (DME)" sheetId="10" r:id="rId3"/>
    <sheet name="Obrázky1" sheetId="7" r:id="rId4"/>
    <sheet name="Obrázky2" sheetId="8" r:id="rId5"/>
    <sheet name="Obrázky3" sheetId="9" r:id="rId6"/>
  </sheets>
  <externalReferences>
    <externalReference r:id="rId7"/>
  </externalReferences>
  <definedNames>
    <definedName name="_xlnm._FilterDatabase" localSheetId="0" hidden="1">'Ceny za léčbu'!$B$3:$AB$22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0" l="1"/>
  <c r="E4" i="10"/>
  <c r="L3" i="10"/>
  <c r="E3" i="10" s="1"/>
  <c r="L2" i="10"/>
  <c r="E2" i="10"/>
  <c r="I18" i="1" l="1"/>
  <c r="P18" i="1" s="1"/>
  <c r="R18" i="1" s="1"/>
  <c r="R17" i="1"/>
  <c r="T17" i="1" s="1"/>
  <c r="R16" i="1"/>
  <c r="T16" i="1" s="1"/>
  <c r="Z17" i="1"/>
  <c r="I17" i="1" s="1"/>
  <c r="Z16" i="1"/>
  <c r="I16" i="1" s="1"/>
  <c r="T18" i="1" l="1"/>
  <c r="J17" i="1"/>
  <c r="J16" i="1"/>
  <c r="J18" i="1"/>
  <c r="Z11" i="1"/>
  <c r="I11" i="1" s="1"/>
  <c r="Z10" i="1"/>
  <c r="I10" i="1" s="1"/>
  <c r="Z9" i="1"/>
  <c r="I9" i="1" s="1"/>
  <c r="Z8" i="1"/>
  <c r="I8" i="1" s="1"/>
  <c r="L16" i="1" l="1"/>
  <c r="L17" i="1"/>
  <c r="V17" i="1" s="1"/>
  <c r="N17" i="1"/>
  <c r="L18" i="1"/>
  <c r="J8" i="1"/>
  <c r="P8" i="1"/>
  <c r="J9" i="1"/>
  <c r="P9" i="1"/>
  <c r="J10" i="1"/>
  <c r="P10" i="1"/>
  <c r="J11" i="1"/>
  <c r="P11" i="1"/>
  <c r="E10" i="3"/>
  <c r="E4" i="3"/>
  <c r="L3" i="3"/>
  <c r="E3" i="3" s="1"/>
  <c r="L2" i="3"/>
  <c r="E2" i="3" s="1"/>
  <c r="N18" i="1" l="1"/>
  <c r="V18" i="1"/>
  <c r="N16" i="1"/>
  <c r="V16" i="1"/>
  <c r="L9" i="1"/>
  <c r="R8" i="1"/>
  <c r="T8" i="1"/>
  <c r="L8" i="1"/>
  <c r="R9" i="1"/>
  <c r="T9" i="1" s="1"/>
  <c r="R11" i="1"/>
  <c r="T11" i="1" s="1"/>
  <c r="L11" i="1"/>
  <c r="R10" i="1"/>
  <c r="T10" i="1" s="1"/>
  <c r="L10" i="1"/>
  <c r="N10" i="1"/>
  <c r="Z22" i="1"/>
  <c r="Z21" i="1"/>
  <c r="I21" i="1" s="1"/>
  <c r="Z20" i="1"/>
  <c r="I20" i="1" s="1"/>
  <c r="Z19" i="1"/>
  <c r="Z15" i="1"/>
  <c r="I15" i="1" s="1"/>
  <c r="Z14" i="1"/>
  <c r="I14" i="1" s="1"/>
  <c r="Z13" i="1"/>
  <c r="I13" i="1" s="1"/>
  <c r="Z12" i="1"/>
  <c r="I12" i="1" s="1"/>
  <c r="Z7" i="1"/>
  <c r="I7" i="1" s="1"/>
  <c r="Z6" i="1"/>
  <c r="I6" i="1" s="1"/>
  <c r="Z5" i="1"/>
  <c r="I5" i="1" s="1"/>
  <c r="Z4" i="1"/>
  <c r="I4" i="1" s="1"/>
  <c r="V11" i="1" l="1"/>
  <c r="K4" i="10" s="1"/>
  <c r="K8" i="10"/>
  <c r="J8" i="10"/>
  <c r="I8" i="10"/>
  <c r="N8" i="1"/>
  <c r="J8" i="3"/>
  <c r="I8" i="3"/>
  <c r="N9" i="1"/>
  <c r="K8" i="3"/>
  <c r="N11" i="1"/>
  <c r="V8" i="1"/>
  <c r="V9" i="1"/>
  <c r="K4" i="3" s="1"/>
  <c r="V10" i="1"/>
  <c r="J4" i="1"/>
  <c r="P4" i="1"/>
  <c r="J5" i="1"/>
  <c r="P5" i="1"/>
  <c r="J20" i="1"/>
  <c r="P20" i="1"/>
  <c r="J6" i="1"/>
  <c r="P6" i="1"/>
  <c r="J21" i="1"/>
  <c r="P21" i="1"/>
  <c r="J7" i="1"/>
  <c r="P7" i="1"/>
  <c r="J12" i="1"/>
  <c r="P12" i="1"/>
  <c r="J13" i="1"/>
  <c r="P13" i="1"/>
  <c r="J14" i="1"/>
  <c r="P14" i="1"/>
  <c r="J15" i="1"/>
  <c r="P15" i="1"/>
  <c r="I19" i="1"/>
  <c r="I4" i="10" l="1"/>
  <c r="J4" i="10"/>
  <c r="J4" i="3"/>
  <c r="I4" i="3"/>
  <c r="R15" i="1"/>
  <c r="T15" i="1" s="1"/>
  <c r="R7" i="1"/>
  <c r="T7" i="1" s="1"/>
  <c r="R5" i="1"/>
  <c r="T5" i="1" s="1"/>
  <c r="L15" i="1"/>
  <c r="K9" i="10" s="1"/>
  <c r="L7" i="1"/>
  <c r="K7" i="10" s="1"/>
  <c r="L5" i="1"/>
  <c r="K7" i="3" s="1"/>
  <c r="R14" i="1"/>
  <c r="T14" i="1" s="1"/>
  <c r="R21" i="1"/>
  <c r="R4" i="1"/>
  <c r="T4" i="1" s="1"/>
  <c r="AB6" i="1"/>
  <c r="K6" i="1" s="1"/>
  <c r="L21" i="1"/>
  <c r="L4" i="1"/>
  <c r="R13" i="1"/>
  <c r="T13" i="1" s="1"/>
  <c r="L13" i="1"/>
  <c r="K9" i="3" s="1"/>
  <c r="L6" i="1"/>
  <c r="R20" i="1"/>
  <c r="L20" i="1"/>
  <c r="K10" i="3" s="1"/>
  <c r="R12" i="1"/>
  <c r="T12" i="1" s="1"/>
  <c r="AE18" i="1"/>
  <c r="Q18" i="1" s="1"/>
  <c r="L12" i="1"/>
  <c r="AA18" i="1"/>
  <c r="K18" i="1" s="1"/>
  <c r="L14" i="1"/>
  <c r="AB16" i="1"/>
  <c r="K16" i="1" s="1"/>
  <c r="AB17" i="1"/>
  <c r="K17" i="1" s="1"/>
  <c r="AF17" i="1"/>
  <c r="AF16" i="1"/>
  <c r="R6" i="1"/>
  <c r="T6" i="1" s="1"/>
  <c r="AA12" i="1"/>
  <c r="AF15" i="1"/>
  <c r="AF14" i="1"/>
  <c r="Q14" i="1" s="1"/>
  <c r="AF11" i="1"/>
  <c r="Q11" i="1" s="1"/>
  <c r="AF7" i="1"/>
  <c r="Q7" i="1" s="1"/>
  <c r="AF6" i="1"/>
  <c r="Q6" i="1" s="1"/>
  <c r="AF22" i="1"/>
  <c r="AF10" i="1"/>
  <c r="Q10" i="1" s="1"/>
  <c r="AF21" i="1"/>
  <c r="Q21" i="1" s="1"/>
  <c r="Q15" i="1"/>
  <c r="AA13" i="1"/>
  <c r="AA19" i="1"/>
  <c r="AA20" i="1"/>
  <c r="AA4" i="1"/>
  <c r="AA8" i="1"/>
  <c r="K8" i="1" s="1"/>
  <c r="AB15" i="1"/>
  <c r="K15" i="1" s="1"/>
  <c r="AA9" i="1"/>
  <c r="K9" i="1" s="1"/>
  <c r="AB22" i="1"/>
  <c r="AE19" i="1"/>
  <c r="AE13" i="1"/>
  <c r="Q13" i="1" s="1"/>
  <c r="AE12" i="1"/>
  <c r="Q12" i="1" s="1"/>
  <c r="AE9" i="1"/>
  <c r="Q9" i="1" s="1"/>
  <c r="AE5" i="1"/>
  <c r="Q5" i="1" s="1"/>
  <c r="AE4" i="1"/>
  <c r="Q4" i="1" s="1"/>
  <c r="AE20" i="1"/>
  <c r="Q20" i="1" s="1"/>
  <c r="AE8" i="1"/>
  <c r="Q8" i="1" s="1"/>
  <c r="AB21" i="1"/>
  <c r="K21" i="1" s="1"/>
  <c r="AB7" i="1"/>
  <c r="K7" i="1" s="1"/>
  <c r="J19" i="1"/>
  <c r="P19" i="1"/>
  <c r="AB10" i="1"/>
  <c r="K10" i="1" s="1"/>
  <c r="AB11" i="1"/>
  <c r="K11" i="1" s="1"/>
  <c r="AB14" i="1"/>
  <c r="K14" i="1" s="1"/>
  <c r="I22" i="1"/>
  <c r="J7" i="10" l="1"/>
  <c r="I7" i="10"/>
  <c r="J10" i="10"/>
  <c r="I10" i="10"/>
  <c r="J9" i="10"/>
  <c r="I9" i="10"/>
  <c r="V15" i="1"/>
  <c r="K5" i="10" s="1"/>
  <c r="J9" i="3"/>
  <c r="I9" i="3"/>
  <c r="N4" i="1"/>
  <c r="I7" i="3"/>
  <c r="J7" i="3"/>
  <c r="T20" i="1"/>
  <c r="AN18" i="1"/>
  <c r="U18" i="1" s="1"/>
  <c r="AN5" i="1"/>
  <c r="U5" i="1" s="1"/>
  <c r="AN13" i="1"/>
  <c r="U13" i="1" s="1"/>
  <c r="AN9" i="1"/>
  <c r="U9" i="1" s="1"/>
  <c r="AN20" i="1"/>
  <c r="U20" i="1" s="1"/>
  <c r="T21" i="1"/>
  <c r="AO21" i="1"/>
  <c r="U21" i="1" s="1"/>
  <c r="AO14" i="1"/>
  <c r="U14" i="1" s="1"/>
  <c r="AO10" i="1"/>
  <c r="U10" i="1" s="1"/>
  <c r="AO6" i="1"/>
  <c r="U6" i="1" s="1"/>
  <c r="N21" i="1"/>
  <c r="AK21" i="1"/>
  <c r="O21" i="1" s="1"/>
  <c r="AK14" i="1"/>
  <c r="O14" i="1" s="1"/>
  <c r="AK10" i="1"/>
  <c r="O10" i="1" s="1"/>
  <c r="AK6" i="1"/>
  <c r="O6" i="1" s="1"/>
  <c r="N15" i="1"/>
  <c r="AJ18" i="1"/>
  <c r="O18" i="1" s="1"/>
  <c r="AJ13" i="1"/>
  <c r="O13" i="1" s="1"/>
  <c r="AJ9" i="1"/>
  <c r="O9" i="1" s="1"/>
  <c r="AJ5" i="1"/>
  <c r="O5" i="1" s="1"/>
  <c r="AJ20" i="1"/>
  <c r="O20" i="1" s="1"/>
  <c r="V5" i="1"/>
  <c r="K3" i="3" s="1"/>
  <c r="N7" i="1"/>
  <c r="V7" i="1"/>
  <c r="K3" i="10" s="1"/>
  <c r="AC12" i="1"/>
  <c r="M12" i="1" s="1"/>
  <c r="V12" i="1"/>
  <c r="N6" i="1"/>
  <c r="V6" i="1"/>
  <c r="N13" i="1"/>
  <c r="V13" i="1"/>
  <c r="K5" i="3" s="1"/>
  <c r="N20" i="1"/>
  <c r="V20" i="1"/>
  <c r="K6" i="3" s="1"/>
  <c r="N12" i="1"/>
  <c r="V4" i="1"/>
  <c r="AC5" i="1"/>
  <c r="N5" i="1"/>
  <c r="AD21" i="1"/>
  <c r="M21" i="1" s="1"/>
  <c r="V14" i="1"/>
  <c r="V21" i="1"/>
  <c r="AC20" i="1"/>
  <c r="M20" i="1" s="1"/>
  <c r="N14" i="1"/>
  <c r="R19" i="1"/>
  <c r="M5" i="1"/>
  <c r="L19" i="1"/>
  <c r="AH11" i="1"/>
  <c r="S11" i="1" s="1"/>
  <c r="AH10" i="1"/>
  <c r="S10" i="1" s="1"/>
  <c r="AH22" i="1"/>
  <c r="AH7" i="1"/>
  <c r="S7" i="1" s="1"/>
  <c r="AH21" i="1"/>
  <c r="S21" i="1" s="1"/>
  <c r="AH6" i="1"/>
  <c r="S6" i="1" s="1"/>
  <c r="AH17" i="1"/>
  <c r="S17" i="1" s="1"/>
  <c r="AH16" i="1"/>
  <c r="S16" i="1" s="1"/>
  <c r="AH15" i="1"/>
  <c r="S15" i="1" s="1"/>
  <c r="AH14" i="1"/>
  <c r="S14" i="1" s="1"/>
  <c r="AC8" i="1"/>
  <c r="M8" i="1" s="1"/>
  <c r="AD10" i="1"/>
  <c r="M10" i="1" s="1"/>
  <c r="AD11" i="1"/>
  <c r="M11" i="1" s="1"/>
  <c r="AC4" i="1"/>
  <c r="M4" i="1" s="1"/>
  <c r="AC19" i="1"/>
  <c r="AC9" i="1"/>
  <c r="M9" i="1" s="1"/>
  <c r="AC13" i="1"/>
  <c r="M13" i="1" s="1"/>
  <c r="AC18" i="1"/>
  <c r="M18" i="1" s="1"/>
  <c r="AG9" i="1"/>
  <c r="S9" i="1" s="1"/>
  <c r="AG8" i="1"/>
  <c r="S8" i="1" s="1"/>
  <c r="AG13" i="1"/>
  <c r="S13" i="1" s="1"/>
  <c r="AG12" i="1"/>
  <c r="S12" i="1" s="1"/>
  <c r="AG5" i="1"/>
  <c r="S5" i="1" s="1"/>
  <c r="AG20" i="1"/>
  <c r="S20" i="1" s="1"/>
  <c r="AG4" i="1"/>
  <c r="S4" i="1" s="1"/>
  <c r="AG19" i="1"/>
  <c r="AG18" i="1"/>
  <c r="S18" i="1" s="1"/>
  <c r="AD7" i="1"/>
  <c r="M7" i="1" s="1"/>
  <c r="AD16" i="1"/>
  <c r="M16" i="1" s="1"/>
  <c r="AD17" i="1"/>
  <c r="M17" i="1" s="1"/>
  <c r="AD6" i="1"/>
  <c r="M6" i="1" s="1"/>
  <c r="AD15" i="1"/>
  <c r="M15" i="1" s="1"/>
  <c r="AD22" i="1"/>
  <c r="AD14" i="1"/>
  <c r="M14" i="1" s="1"/>
  <c r="Q19" i="1"/>
  <c r="J22" i="1"/>
  <c r="P22" i="1"/>
  <c r="AA5" i="1"/>
  <c r="K4" i="1"/>
  <c r="J6" i="10" l="1"/>
  <c r="I6" i="10"/>
  <c r="I5" i="10"/>
  <c r="J5" i="10"/>
  <c r="I3" i="10"/>
  <c r="J3" i="10"/>
  <c r="I3" i="3"/>
  <c r="J3" i="3"/>
  <c r="J5" i="3"/>
  <c r="I5" i="3"/>
  <c r="N19" i="1"/>
  <c r="J10" i="3"/>
  <c r="I10" i="3"/>
  <c r="T19" i="1"/>
  <c r="AM19" i="1"/>
  <c r="U19" i="1" s="1"/>
  <c r="AM12" i="1"/>
  <c r="U12" i="1" s="1"/>
  <c r="AM8" i="1"/>
  <c r="U8" i="1" s="1"/>
  <c r="AM4" i="1"/>
  <c r="U4" i="1" s="1"/>
  <c r="AR9" i="1"/>
  <c r="W9" i="1" s="1"/>
  <c r="X9" i="1" s="1"/>
  <c r="AR18" i="1"/>
  <c r="W18" i="1" s="1"/>
  <c r="X18" i="1" s="1"/>
  <c r="AR20" i="1"/>
  <c r="W20" i="1" s="1"/>
  <c r="AR5" i="1"/>
  <c r="W5" i="1" s="1"/>
  <c r="X5" i="1" s="1"/>
  <c r="AR13" i="1"/>
  <c r="W13" i="1" s="1"/>
  <c r="X13" i="1" s="1"/>
  <c r="AS21" i="1"/>
  <c r="W21" i="1" s="1"/>
  <c r="AS14" i="1"/>
  <c r="W14" i="1" s="1"/>
  <c r="X14" i="1" s="1"/>
  <c r="AS10" i="1"/>
  <c r="W10" i="1" s="1"/>
  <c r="X10" i="1" s="1"/>
  <c r="AS6" i="1"/>
  <c r="W6" i="1" s="1"/>
  <c r="X6" i="1" s="1"/>
  <c r="M19" i="1"/>
  <c r="AI19" i="1"/>
  <c r="O19" i="1" s="1"/>
  <c r="AI12" i="1"/>
  <c r="O12" i="1" s="1"/>
  <c r="AI8" i="1"/>
  <c r="O8" i="1" s="1"/>
  <c r="AI4" i="1"/>
  <c r="O4" i="1" s="1"/>
  <c r="S19" i="1"/>
  <c r="V19" i="1"/>
  <c r="L22" i="1"/>
  <c r="K10" i="10" s="1"/>
  <c r="Q22" i="1"/>
  <c r="R22" i="1"/>
  <c r="K22" i="1"/>
  <c r="K12" i="1"/>
  <c r="K5" i="1"/>
  <c r="J6" i="3" l="1"/>
  <c r="I6" i="3"/>
  <c r="X12" i="1"/>
  <c r="AQ8" i="1"/>
  <c r="W8" i="1" s="1"/>
  <c r="X8" i="1" s="1"/>
  <c r="AQ12" i="1"/>
  <c r="W12" i="1" s="1"/>
  <c r="AQ4" i="1"/>
  <c r="W4" i="1" s="1"/>
  <c r="X4" i="1" s="1"/>
  <c r="AQ19" i="1"/>
  <c r="W19" i="1" s="1"/>
  <c r="AL16" i="1"/>
  <c r="O16" i="1" s="1"/>
  <c r="AL22" i="1"/>
  <c r="O22" i="1" s="1"/>
  <c r="AL17" i="1"/>
  <c r="O17" i="1" s="1"/>
  <c r="AL15" i="1"/>
  <c r="O15" i="1" s="1"/>
  <c r="AL11" i="1"/>
  <c r="O11" i="1" s="1"/>
  <c r="AL7" i="1"/>
  <c r="O7" i="1" s="1"/>
  <c r="S22" i="1"/>
  <c r="AP16" i="1"/>
  <c r="U16" i="1" s="1"/>
  <c r="AP15" i="1"/>
  <c r="U15" i="1" s="1"/>
  <c r="AP11" i="1"/>
  <c r="U11" i="1" s="1"/>
  <c r="AP22" i="1"/>
  <c r="U22" i="1" s="1"/>
  <c r="AP17" i="1"/>
  <c r="U17" i="1" s="1"/>
  <c r="AP7" i="1"/>
  <c r="U7" i="1" s="1"/>
  <c r="N22" i="1"/>
  <c r="V22" i="1"/>
  <c r="K6" i="10" s="1"/>
  <c r="M22" i="1"/>
  <c r="T22" i="1"/>
  <c r="K20" i="1"/>
  <c r="K19" i="1"/>
  <c r="K13" i="1"/>
  <c r="AT16" i="1" l="1"/>
  <c r="W16" i="1" s="1"/>
  <c r="X16" i="1" s="1"/>
  <c r="AT11" i="1"/>
  <c r="W11" i="1" s="1"/>
  <c r="AT7" i="1"/>
  <c r="W7" i="1" s="1"/>
  <c r="X7" i="1" s="1"/>
  <c r="AT15" i="1"/>
  <c r="W15" i="1" s="1"/>
  <c r="X15" i="1" s="1"/>
  <c r="AT22" i="1"/>
  <c r="W22" i="1" s="1"/>
  <c r="AT17" i="1"/>
  <c r="W17" i="1" s="1"/>
  <c r="X17" i="1" s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H16" authorId="0">
      <text>
        <r>
          <rPr>
            <sz val="9"/>
            <color indexed="81"/>
            <rFont val="Tahoma"/>
            <family val="2"/>
            <charset val="238"/>
          </rPr>
          <t>Uvedena jen jednotková cena (1ks - na 3 roky) Iluvienu dle zjištění lékárny FNOL k 27.1.23</t>
        </r>
      </text>
    </comment>
    <comment ref="J16" authorId="0">
      <text>
        <r>
          <rPr>
            <sz val="9"/>
            <color indexed="81"/>
            <rFont val="Tahoma"/>
            <family val="2"/>
            <charset val="238"/>
          </rPr>
          <t>Počítána cena za 1 ks Ozurdexu a 1 ks Iluvienu</t>
        </r>
      </text>
    </comment>
    <comment ref="L16" authorId="0">
      <text>
        <r>
          <rPr>
            <sz val="9"/>
            <color indexed="81"/>
            <rFont val="Tahoma"/>
            <family val="2"/>
            <charset val="238"/>
          </rPr>
          <t xml:space="preserve">Počítány trvalé kontroly: každé 2 měsíce 2x a pak každé 3 měsíce  (tady už vždy navíc s kontrolou IOP! - viz Příloha č. 12
</t>
        </r>
      </text>
    </comment>
    <comment ref="R16" authorId="0">
      <text>
        <r>
          <rPr>
            <sz val="9"/>
            <color indexed="81"/>
            <rFont val="Tahoma"/>
            <family val="2"/>
            <charset val="238"/>
          </rPr>
          <t xml:space="preserve">Počítány trvalé kontroly: každé 2 měsíce 2 a pak každé 3 měsíce! - viz Příloha č. 12
</t>
        </r>
      </text>
    </comment>
    <comment ref="H17" authorId="0">
      <text>
        <r>
          <rPr>
            <sz val="9"/>
            <color indexed="81"/>
            <rFont val="Tahoma"/>
            <family val="2"/>
            <charset val="238"/>
          </rPr>
          <t>Tato cena je jen za 1. balení, další balení pro téhož pacienta je již jen za 1 Kč</t>
        </r>
      </text>
    </comment>
    <comment ref="L17" authorId="0">
      <text>
        <r>
          <rPr>
            <sz val="9"/>
            <color indexed="81"/>
            <rFont val="Tahoma"/>
            <family val="2"/>
            <charset val="238"/>
          </rPr>
          <t xml:space="preserve">Počítány trvalé kontroly: každé 2 měsíce 2x a pak každé 3 měsíce  (tady už vždy navíc s kontrolou IOP! - viz Příloha č. 12
</t>
        </r>
      </text>
    </comment>
    <comment ref="R17" authorId="0">
      <text>
        <r>
          <rPr>
            <sz val="9"/>
            <color indexed="81"/>
            <rFont val="Tahoma"/>
            <family val="2"/>
            <charset val="238"/>
          </rPr>
          <t xml:space="preserve">Počítány trvalé kontroly: každé 2 měsíce 2 a pak každé 3 měsíce! - viz Příloha č. 12
</t>
        </r>
      </text>
    </comment>
    <comment ref="H18" authorId="0">
      <text>
        <r>
          <rPr>
            <sz val="9"/>
            <color indexed="81"/>
            <rFont val="Tahoma"/>
            <family val="2"/>
            <charset val="238"/>
          </rPr>
          <t xml:space="preserve">dle maximální úhrady k 25.1.2023
</t>
        </r>
      </text>
    </comment>
    <comment ref="H19" authorId="0">
      <text>
        <r>
          <rPr>
            <sz val="9"/>
            <color indexed="81"/>
            <rFont val="Tahoma"/>
            <family val="2"/>
            <charset val="238"/>
          </rPr>
          <t xml:space="preserve">dle maximální úhrady v Rozhodnutí SUKLu podle zdroje pod pozn. 133
</t>
        </r>
      </text>
    </comment>
    <comment ref="H20" authorId="0">
      <text>
        <r>
          <rPr>
            <sz val="9"/>
            <color indexed="81"/>
            <rFont val="Tahoma"/>
            <family val="2"/>
            <charset val="238"/>
          </rPr>
          <t xml:space="preserve">dle maximální úhrady v Rozhodnutí SUKLu podle zdroje pod pozn. 133
</t>
        </r>
      </text>
    </comment>
    <comment ref="H21" authorId="0">
      <text>
        <r>
          <rPr>
            <sz val="9"/>
            <color indexed="81"/>
            <rFont val="Tahoma"/>
            <family val="2"/>
            <charset val="238"/>
          </rPr>
          <t xml:space="preserve">dle maximální úhrady v Rozhodnutí SUKLu podle zdroje pod pozn. 133
</t>
        </r>
      </text>
    </comment>
    <comment ref="H22" authorId="0">
      <text>
        <r>
          <rPr>
            <sz val="9"/>
            <color indexed="81"/>
            <rFont val="Tahoma"/>
            <family val="2"/>
            <charset val="238"/>
          </rPr>
          <t xml:space="preserve">dle maximální úhrady v Rozhodnutí SUKLu podle zdroje pod pozn. 133
</t>
        </r>
      </text>
    </comment>
  </commentList>
</comments>
</file>

<file path=xl/sharedStrings.xml><?xml version="1.0" encoding="utf-8"?>
<sst xmlns="http://schemas.openxmlformats.org/spreadsheetml/2006/main" count="192" uniqueCount="132">
  <si>
    <t>látka</t>
  </si>
  <si>
    <t>bonus</t>
  </si>
  <si>
    <r>
      <t xml:space="preserve">LP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 xml:space="preserve"> (posuz. LP je zvýrazněn modře)</t>
    </r>
  </si>
  <si>
    <t>držitel registrace</t>
  </si>
  <si>
    <t>Novartis</t>
  </si>
  <si>
    <t>Roche</t>
  </si>
  <si>
    <r>
      <rPr>
        <b/>
        <sz val="9"/>
        <color rgb="FFFFFF00"/>
        <rFont val="Calibri"/>
        <family val="2"/>
        <charset val="238"/>
      </rPr>
      <t>Δ</t>
    </r>
    <r>
      <rPr>
        <b/>
        <sz val="8.1"/>
        <color rgb="FFFFFF00"/>
        <rFont val="Calibri"/>
        <family val="2"/>
        <charset val="238"/>
      </rPr>
      <t xml:space="preserve"> c</t>
    </r>
    <r>
      <rPr>
        <b/>
        <sz val="9"/>
        <color rgb="FFFFFF00"/>
        <rFont val="Calibri"/>
        <family val="2"/>
        <charset val="238"/>
        <scheme val="minor"/>
      </rPr>
      <t>ena za rok u 100 pac., vč. bonusů</t>
    </r>
  </si>
  <si>
    <r>
      <t>bod. hodnota (ARR vůči SOC)</t>
    </r>
    <r>
      <rPr>
        <vertAlign val="superscript"/>
        <sz val="7.5"/>
        <color theme="1"/>
        <rFont val="Calibri"/>
        <family val="2"/>
        <charset val="238"/>
        <scheme val="minor"/>
      </rPr>
      <t>6</t>
    </r>
  </si>
  <si>
    <r>
      <t>horní mez      (ARR vůči SOC)</t>
    </r>
    <r>
      <rPr>
        <vertAlign val="superscript"/>
        <sz val="7.5"/>
        <color theme="1"/>
        <rFont val="Calibri"/>
        <family val="2"/>
        <charset val="238"/>
        <scheme val="minor"/>
      </rPr>
      <t>6</t>
    </r>
  </si>
  <si>
    <r>
      <t>dolní mez              (ARR vůči SOC)</t>
    </r>
    <r>
      <rPr>
        <vertAlign val="superscript"/>
        <sz val="7.5"/>
        <color theme="1"/>
        <rFont val="Calibri"/>
        <family val="2"/>
        <charset val="238"/>
        <scheme val="minor"/>
      </rPr>
      <t>6</t>
    </r>
  </si>
  <si>
    <t>Cena za rok terapie u 100 pac., vč. bonusů</t>
  </si>
  <si>
    <t>ranibizumab</t>
  </si>
  <si>
    <t>faricimab</t>
  </si>
  <si>
    <t>VABYSMO 120mg/ml inj. 1x0,24ml (pro dávku 6mg)</t>
  </si>
  <si>
    <r>
      <rPr>
        <b/>
        <u/>
        <sz val="12"/>
        <color theme="1"/>
        <rFont val="Calibri"/>
        <family val="2"/>
        <charset val="238"/>
        <scheme val="minor"/>
      </rPr>
      <t>vlhká forma VPMD - tzv. nVPMD</t>
    </r>
    <r>
      <rPr>
        <b/>
        <sz val="12"/>
        <color theme="1"/>
        <rFont val="Calibri"/>
        <family val="2"/>
        <charset val="238"/>
        <scheme val="minor"/>
      </rPr>
      <t xml:space="preserve"> (při splnění dalších úhrad. podmínek) a</t>
    </r>
    <r>
      <rPr>
        <b/>
        <u/>
        <sz val="12"/>
        <color theme="1"/>
        <rFont val="Calibri"/>
        <family val="2"/>
        <charset val="238"/>
        <scheme val="minor"/>
      </rPr>
      <t xml:space="preserve"> DMA u pac. s DM 1. nebo 2. typu</t>
    </r>
    <r>
      <rPr>
        <b/>
        <sz val="12"/>
        <color theme="1"/>
        <rFont val="Calibri"/>
        <family val="2"/>
        <charset val="238"/>
        <scheme val="minor"/>
      </rPr>
      <t xml:space="preserve"> s glyk. hemoglob. v době zahájení léčby nižším než 70 mmol/mol (při splnění dalších úhrad. podmínek) </t>
    </r>
  </si>
  <si>
    <r>
      <rPr>
        <b/>
        <u/>
        <sz val="10"/>
        <color theme="1"/>
        <rFont val="Calibri"/>
        <family val="2"/>
        <charset val="238"/>
        <scheme val="minor"/>
      </rPr>
      <t>nVPMD</t>
    </r>
    <r>
      <rPr>
        <sz val="10"/>
        <color theme="1"/>
        <rFont val="Calibri"/>
        <family val="2"/>
        <charset val="238"/>
        <scheme val="minor"/>
      </rPr>
      <t>: 6mg 1x měsíčně - celkem 4 dávky</t>
    </r>
  </si>
  <si>
    <r>
      <t xml:space="preserve">počet dávek za 2. a další rok léčby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</t>
    </r>
  </si>
  <si>
    <t xml:space="preserve">LUCENTIS 10mg/ml inj. 1x0,165ml                                          (pro dávku 0,5mg)     </t>
  </si>
  <si>
    <t xml:space="preserve">EYLEA 40mg/ml inj. 1x0,09ml   (pro dávku 2mg)                    </t>
  </si>
  <si>
    <t>Bayer</t>
  </si>
  <si>
    <t>aflibercept</t>
  </si>
  <si>
    <t xml:space="preserve">BEOVU 120mg/ml inj. 1x0,165ml                                   (pro dávku 6mg)                    </t>
  </si>
  <si>
    <t>brolucizumab</t>
  </si>
  <si>
    <r>
      <rPr>
        <b/>
        <u/>
        <sz val="10"/>
        <color theme="1"/>
        <rFont val="Calibri"/>
        <family val="2"/>
        <charset val="238"/>
        <scheme val="minor"/>
      </rPr>
      <t>nVPMD</t>
    </r>
    <r>
      <rPr>
        <sz val="10"/>
        <color theme="1"/>
        <rFont val="Calibri"/>
        <family val="2"/>
        <charset val="238"/>
        <scheme val="minor"/>
      </rPr>
      <t>: 0,5mg 1x měsíčně - celkem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-</t>
    </r>
    <r>
      <rPr>
        <sz val="10"/>
        <color theme="1"/>
        <rFont val="Calibri"/>
        <family val="2"/>
        <charset val="238"/>
        <scheme val="minor"/>
      </rPr>
      <t xml:space="preserve">4 dávky   </t>
    </r>
    <r>
      <rPr>
        <sz val="8"/>
        <color theme="1"/>
        <rFont val="Calibri"/>
        <family val="2"/>
        <charset val="238"/>
        <scheme val="minor"/>
      </rPr>
      <t xml:space="preserve"> (dle UpToDate</t>
    </r>
    <r>
      <rPr>
        <vertAlign val="superscript"/>
        <sz val="8"/>
        <color theme="1"/>
        <rFont val="Calibri"/>
        <family val="2"/>
        <charset val="238"/>
        <scheme val="minor"/>
      </rPr>
      <t>114</t>
    </r>
    <r>
      <rPr>
        <sz val="8"/>
        <color theme="1"/>
        <rFont val="Calibri"/>
        <family val="2"/>
        <charset val="238"/>
        <scheme val="minor"/>
      </rPr>
      <t>)</t>
    </r>
  </si>
  <si>
    <r>
      <rPr>
        <b/>
        <u/>
        <sz val="10"/>
        <color theme="1"/>
        <rFont val="Calibri"/>
        <family val="2"/>
        <charset val="238"/>
        <scheme val="minor"/>
      </rPr>
      <t>nVPMD bez znám. aktiv. po 1. roce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6mg 1x za 4 měsíce.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rok -  </t>
    </r>
    <r>
      <rPr>
        <b/>
        <u/>
        <sz val="10"/>
        <color theme="1"/>
        <rFont val="Calibri"/>
        <family val="2"/>
        <charset val="238"/>
        <scheme val="minor"/>
      </rPr>
      <t>celk. 3 dávky</t>
    </r>
  </si>
  <si>
    <r>
      <rPr>
        <b/>
        <u/>
        <sz val="10"/>
        <color theme="1"/>
        <rFont val="Calibri"/>
        <family val="2"/>
        <charset val="238"/>
        <scheme val="minor"/>
      </rPr>
      <t>nVPMD s aktiv. onem. po 1. roce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6mg 1x za 2 měsíce.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rok -  </t>
    </r>
    <r>
      <rPr>
        <b/>
        <u/>
        <sz val="10"/>
        <color theme="1"/>
        <rFont val="Calibri"/>
        <family val="2"/>
        <charset val="238"/>
        <scheme val="minor"/>
      </rPr>
      <t>celk. 6 dávek</t>
    </r>
  </si>
  <si>
    <r>
      <rPr>
        <b/>
        <u/>
        <sz val="10"/>
        <color theme="1"/>
        <rFont val="Calibri"/>
        <family val="2"/>
        <charset val="238"/>
        <scheme val="minor"/>
      </rPr>
      <t>nVPMD s PRN režimem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13</t>
    </r>
    <r>
      <rPr>
        <b/>
        <u/>
        <sz val="10"/>
        <color theme="1"/>
        <rFont val="Calibri"/>
        <family val="2"/>
        <charset val="238"/>
        <scheme val="minor"/>
      </rPr>
      <t xml:space="preserve"> po LD 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možno najednou prodl. max. o 2 týdny.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1. rok -  </t>
    </r>
    <r>
      <rPr>
        <b/>
        <u/>
        <sz val="10"/>
        <color theme="1"/>
        <rFont val="Calibri"/>
        <family val="2"/>
        <charset val="238"/>
        <scheme val="minor"/>
      </rPr>
      <t>celk. 7 dávek</t>
    </r>
    <r>
      <rPr>
        <b/>
        <sz val="10"/>
        <color theme="1"/>
        <rFont val="Calibri"/>
        <family val="2"/>
        <charset val="238"/>
        <scheme val="minor"/>
      </rPr>
      <t xml:space="preserve"> (dle NMA</t>
    </r>
    <r>
      <rPr>
        <b/>
        <vertAlign val="superscript"/>
        <sz val="10"/>
        <color theme="1"/>
        <rFont val="Calibri"/>
        <family val="2"/>
        <charset val="238"/>
        <scheme val="minor"/>
      </rPr>
      <t>38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</si>
  <si>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nVPMD s fix. režimem </t>
    </r>
    <r>
      <rPr>
        <b/>
        <u/>
        <sz val="10"/>
        <color theme="1"/>
        <rFont val="Calibri"/>
        <family val="2"/>
        <charset val="238"/>
      </rPr>
      <t>ā měsíc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13</t>
    </r>
    <r>
      <rPr>
        <b/>
        <u/>
        <sz val="10"/>
        <color theme="1"/>
        <rFont val="Calibri"/>
        <family val="2"/>
        <charset val="238"/>
        <scheme val="minor"/>
      </rPr>
      <t xml:space="preserve"> po LD </t>
    </r>
    <r>
      <rPr>
        <sz val="10"/>
        <color theme="1"/>
        <rFont val="Calibri"/>
        <family val="2"/>
        <charset val="238"/>
        <scheme val="minor"/>
      </rPr>
      <t xml:space="preserve">: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1. rok -  </t>
    </r>
    <r>
      <rPr>
        <b/>
        <u/>
        <sz val="10"/>
        <color theme="1"/>
        <rFont val="Calibri"/>
        <family val="2"/>
        <charset val="238"/>
        <scheme val="minor"/>
      </rPr>
      <t>celk. 12 dávek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</si>
  <si>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10"/>
        <color theme="1"/>
        <rFont val="Calibri"/>
        <family val="2"/>
        <charset val="238"/>
        <scheme val="minor"/>
      </rPr>
      <t>nVPMD s fix. režimem ā měsíc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13</t>
    </r>
    <r>
      <rPr>
        <sz val="10"/>
        <color theme="1"/>
        <rFont val="Calibri"/>
        <family val="2"/>
        <charset val="238"/>
        <scheme val="minor"/>
      </rPr>
      <t xml:space="preserve">: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rok -  </t>
    </r>
    <r>
      <rPr>
        <b/>
        <u/>
        <sz val="10"/>
        <color theme="1"/>
        <rFont val="Calibri"/>
        <family val="2"/>
        <charset val="238"/>
        <scheme val="minor"/>
      </rPr>
      <t>celk. 12 dávek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</si>
  <si>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10"/>
        <color theme="1"/>
        <rFont val="Calibri"/>
        <family val="2"/>
        <charset val="238"/>
        <scheme val="minor"/>
      </rPr>
      <t>DME</t>
    </r>
    <r>
      <rPr>
        <sz val="10"/>
        <color theme="1"/>
        <rFont val="Calibri"/>
        <family val="2"/>
        <charset val="238"/>
        <scheme val="minor"/>
      </rPr>
      <t>: 6mg 1x měsíčně - celkem 4 dávky</t>
    </r>
  </si>
  <si>
    <r>
      <rPr>
        <b/>
        <u/>
        <sz val="10"/>
        <color theme="1"/>
        <rFont val="Calibri"/>
        <family val="2"/>
        <charset val="238"/>
        <scheme val="minor"/>
      </rPr>
      <t>nVPMD s PRN režimem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13</t>
    </r>
    <r>
      <rPr>
        <sz val="10"/>
        <color theme="1"/>
        <rFont val="Calibri"/>
        <family val="2"/>
        <charset val="238"/>
        <scheme val="minor"/>
      </rPr>
      <t xml:space="preserve">: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rok -  </t>
    </r>
    <r>
      <rPr>
        <b/>
        <u/>
        <sz val="10"/>
        <color theme="1"/>
        <rFont val="Calibri"/>
        <family val="2"/>
        <charset val="238"/>
        <scheme val="minor"/>
      </rPr>
      <t>celk. 5 dáve</t>
    </r>
    <r>
      <rPr>
        <b/>
        <sz val="10"/>
        <color theme="1"/>
        <rFont val="Calibri"/>
        <family val="2"/>
        <charset val="238"/>
        <scheme val="minor"/>
      </rPr>
      <t>k                  (dle NMA</t>
    </r>
    <r>
      <rPr>
        <b/>
        <vertAlign val="superscript"/>
        <sz val="10"/>
        <color theme="1"/>
        <rFont val="Calibri"/>
        <family val="2"/>
        <charset val="238"/>
        <scheme val="minor"/>
      </rPr>
      <t>38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</si>
  <si>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iniciální dávkování    (tzv. "LD") dle SPC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či jiného zdroje                                   </t>
    </r>
  </si>
  <si>
    <r>
      <rPr>
        <b/>
        <u/>
        <sz val="10"/>
        <color theme="1"/>
        <rFont val="Calibri"/>
        <family val="2"/>
        <charset val="238"/>
        <scheme val="minor"/>
      </rPr>
      <t>DME</t>
    </r>
    <r>
      <rPr>
        <sz val="10"/>
        <color theme="1"/>
        <rFont val="Calibri"/>
        <family val="2"/>
        <charset val="238"/>
        <scheme val="minor"/>
      </rPr>
      <t>: 0,5mg</t>
    </r>
    <r>
      <rPr>
        <vertAlign val="superscript"/>
        <sz val="10"/>
        <color theme="1"/>
        <rFont val="Calibri"/>
        <family val="2"/>
        <charset val="238"/>
        <scheme val="minor"/>
      </rPr>
      <t>107</t>
    </r>
    <r>
      <rPr>
        <sz val="10"/>
        <color theme="1"/>
        <rFont val="Calibri"/>
        <family val="2"/>
        <charset val="238"/>
        <scheme val="minor"/>
      </rPr>
      <t xml:space="preserve"> 1x za 4 týdny - celkem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4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dávky </t>
    </r>
    <r>
      <rPr>
        <sz val="8"/>
        <color theme="1"/>
        <rFont val="Calibri"/>
        <family val="2"/>
        <charset val="238"/>
        <scheme val="minor"/>
      </rPr>
      <t xml:space="preserve"> (dle Přílohy č. 15 pozn. e))</t>
    </r>
  </si>
  <si>
    <r>
      <rPr>
        <b/>
        <u/>
        <sz val="10"/>
        <color theme="1"/>
        <rFont val="Calibri"/>
        <family val="2"/>
        <charset val="238"/>
        <scheme val="minor"/>
      </rPr>
      <t>DME</t>
    </r>
    <r>
      <rPr>
        <sz val="10"/>
        <color theme="1"/>
        <rFont val="Calibri"/>
        <family val="2"/>
        <charset val="238"/>
        <scheme val="minor"/>
      </rPr>
      <t>: 0,5mg 1x měsíčně - celkem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 xml:space="preserve">3 </t>
    </r>
    <r>
      <rPr>
        <sz val="10"/>
        <color theme="1"/>
        <rFont val="Calibri"/>
        <family val="2"/>
        <charset val="238"/>
        <scheme val="minor"/>
      </rPr>
      <t>dávky</t>
    </r>
  </si>
  <si>
    <r>
      <rPr>
        <b/>
        <u/>
        <sz val="10"/>
        <color theme="1"/>
        <rFont val="Calibri"/>
        <family val="2"/>
        <charset val="238"/>
        <scheme val="minor"/>
      </rPr>
      <t>DME s režim. dle DRCRnet stud.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107</t>
    </r>
    <r>
      <rPr>
        <b/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8"/>
        <color theme="1"/>
        <rFont val="Calibri"/>
        <family val="2"/>
        <charset val="238"/>
        <scheme val="minor"/>
      </rPr>
      <t>(viz Příl. č. 15)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dle SPC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možno najednou prodl. max. o 1 měs.            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1. rok -  </t>
    </r>
    <r>
      <rPr>
        <b/>
        <u/>
        <sz val="10"/>
        <color theme="1"/>
        <rFont val="Calibri"/>
        <family val="2"/>
        <charset val="238"/>
        <scheme val="minor"/>
      </rPr>
      <t>celk. 12 dávek</t>
    </r>
    <r>
      <rPr>
        <b/>
        <sz val="10"/>
        <color theme="1"/>
        <rFont val="Calibri"/>
        <family val="2"/>
        <charset val="238"/>
        <scheme val="minor"/>
      </rPr>
      <t xml:space="preserve"> (dle</t>
    </r>
    <r>
      <rPr>
        <b/>
        <vertAlign val="superscript"/>
        <sz val="10"/>
        <color theme="1"/>
        <rFont val="Calibri"/>
        <family val="2"/>
        <charset val="238"/>
        <scheme val="minor"/>
      </rPr>
      <t>107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</si>
  <si>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rPr>
        <b/>
        <u/>
        <sz val="10"/>
        <color theme="1"/>
        <rFont val="Calibri"/>
        <family val="2"/>
        <charset val="238"/>
        <scheme val="minor"/>
      </rPr>
      <t>DME s režim. dle DRCRnet stud.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107</t>
    </r>
    <r>
      <rPr>
        <b/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8"/>
        <color theme="1"/>
        <rFont val="Calibri"/>
        <family val="2"/>
        <charset val="238"/>
        <scheme val="minor"/>
      </rPr>
      <t>(viz Příl. č. 15)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dle SPC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možno najednou prodl. max. o 1 měs.            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1. rok -  </t>
    </r>
    <r>
      <rPr>
        <b/>
        <u/>
        <sz val="10"/>
        <color theme="1"/>
        <rFont val="Calibri"/>
        <family val="2"/>
        <charset val="238"/>
        <scheme val="minor"/>
      </rPr>
      <t>celk. 7 dávek</t>
    </r>
    <r>
      <rPr>
        <b/>
        <sz val="10"/>
        <color theme="1"/>
        <rFont val="Calibri"/>
        <family val="2"/>
        <charset val="238"/>
        <scheme val="minor"/>
      </rPr>
      <t xml:space="preserve"> (dle</t>
    </r>
    <r>
      <rPr>
        <b/>
        <vertAlign val="superscript"/>
        <sz val="10"/>
        <color theme="1"/>
        <rFont val="Calibri"/>
        <family val="2"/>
        <charset val="238"/>
        <scheme val="minor"/>
      </rPr>
      <t>92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</si>
  <si>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rPr>
        <b/>
        <u/>
        <sz val="10"/>
        <color theme="1"/>
        <rFont val="Calibri"/>
        <family val="2"/>
        <charset val="238"/>
        <scheme val="minor"/>
      </rPr>
      <t>DME s režim. dle DRCRnet studie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107</t>
    </r>
    <r>
      <rPr>
        <b/>
        <u/>
        <sz val="10"/>
        <color theme="1"/>
        <rFont val="Calibri"/>
        <family val="2"/>
        <charset val="238"/>
        <scheme val="minor"/>
      </rPr>
      <t xml:space="preserve">               </t>
    </r>
    <r>
      <rPr>
        <b/>
        <u/>
        <sz val="8"/>
        <color theme="1"/>
        <rFont val="Calibri"/>
        <family val="2"/>
        <charset val="238"/>
        <scheme val="minor"/>
      </rPr>
      <t>(viz Příl. č. 15)</t>
    </r>
    <r>
      <rPr>
        <sz val="10"/>
        <color theme="1"/>
        <rFont val="Calibri"/>
        <family val="2"/>
        <charset val="238"/>
        <scheme val="minor"/>
      </rPr>
      <t xml:space="preserve">: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za celý rok -  </t>
    </r>
    <r>
      <rPr>
        <b/>
        <u/>
        <sz val="10"/>
        <color theme="1"/>
        <rFont val="Calibri"/>
        <family val="2"/>
        <charset val="238"/>
        <scheme val="minor"/>
      </rPr>
      <t>celk. 2 dávky</t>
    </r>
    <r>
      <rPr>
        <b/>
        <sz val="10"/>
        <color theme="1"/>
        <rFont val="Calibri"/>
        <family val="2"/>
        <charset val="238"/>
        <scheme val="minor"/>
      </rPr>
      <t xml:space="preserve"> (dle</t>
    </r>
    <r>
      <rPr>
        <b/>
        <vertAlign val="superscript"/>
        <sz val="10"/>
        <color theme="1"/>
        <rFont val="Calibri"/>
        <family val="2"/>
        <charset val="238"/>
        <scheme val="minor"/>
      </rPr>
      <t>93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</si>
  <si>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rPr>
        <b/>
        <u/>
        <sz val="10"/>
        <color theme="1"/>
        <rFont val="Calibri"/>
        <family val="2"/>
        <charset val="238"/>
        <scheme val="minor"/>
      </rPr>
      <t>DME s režim. dle DRCRnet studie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107</t>
    </r>
    <r>
      <rPr>
        <b/>
        <u/>
        <sz val="10"/>
        <color theme="1"/>
        <rFont val="Calibri"/>
        <family val="2"/>
        <charset val="238"/>
        <scheme val="minor"/>
      </rPr>
      <t xml:space="preserve">               </t>
    </r>
    <r>
      <rPr>
        <b/>
        <u/>
        <sz val="8"/>
        <color theme="1"/>
        <rFont val="Calibri"/>
        <family val="2"/>
        <charset val="238"/>
        <scheme val="minor"/>
      </rPr>
      <t>(viz Příl. č. 15)</t>
    </r>
    <r>
      <rPr>
        <sz val="10"/>
        <color theme="1"/>
        <rFont val="Calibri"/>
        <family val="2"/>
        <charset val="238"/>
        <scheme val="minor"/>
      </rPr>
      <t xml:space="preserve">: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za celý rok -  </t>
    </r>
    <r>
      <rPr>
        <b/>
        <u/>
        <sz val="10"/>
        <color theme="1"/>
        <rFont val="Calibri"/>
        <family val="2"/>
        <charset val="238"/>
        <scheme val="minor"/>
      </rPr>
      <t>celk. 9 dávek</t>
    </r>
    <r>
      <rPr>
        <b/>
        <sz val="10"/>
        <color theme="1"/>
        <rFont val="Calibri"/>
        <family val="2"/>
        <charset val="238"/>
        <scheme val="minor"/>
      </rPr>
      <t xml:space="preserve"> (dle</t>
    </r>
    <r>
      <rPr>
        <b/>
        <vertAlign val="superscript"/>
        <sz val="10"/>
        <color theme="1"/>
        <rFont val="Calibri"/>
        <family val="2"/>
        <charset val="238"/>
        <scheme val="minor"/>
      </rPr>
      <t>93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</si>
  <si>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rPr>
        <b/>
        <u/>
        <sz val="10"/>
        <color theme="1"/>
        <rFont val="Calibri"/>
        <family val="2"/>
        <charset val="238"/>
        <scheme val="minor"/>
      </rPr>
      <t>nVPMD</t>
    </r>
    <r>
      <rPr>
        <sz val="10"/>
        <color theme="1"/>
        <rFont val="Calibri"/>
        <family val="2"/>
        <charset val="238"/>
        <scheme val="minor"/>
      </rPr>
      <t>: 2mg 1x měsíčně - celkem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 dávky  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</si>
  <si>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nVPMD s fix. režimem </t>
    </r>
    <r>
      <rPr>
        <b/>
        <u/>
        <sz val="10"/>
        <color theme="1"/>
        <rFont val="Calibri"/>
        <family val="2"/>
        <charset val="238"/>
      </rPr>
      <t>ā 2 měsíce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13</t>
    </r>
    <r>
      <rPr>
        <b/>
        <u/>
        <sz val="10"/>
        <color theme="1"/>
        <rFont val="Calibri"/>
        <family val="2"/>
        <charset val="238"/>
        <scheme val="minor"/>
      </rPr>
      <t xml:space="preserve"> po LD </t>
    </r>
    <r>
      <rPr>
        <sz val="10"/>
        <color theme="1"/>
        <rFont val="Calibri"/>
        <family val="2"/>
        <charset val="238"/>
        <scheme val="minor"/>
      </rPr>
      <t xml:space="preserve">: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1. rok -  </t>
    </r>
    <r>
      <rPr>
        <b/>
        <u/>
        <sz val="10"/>
        <color theme="1"/>
        <rFont val="Calibri"/>
        <family val="2"/>
        <charset val="238"/>
        <scheme val="minor"/>
      </rPr>
      <t>celk. 7 dávek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</si>
  <si>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nVPMD s fix. režimem </t>
    </r>
    <r>
      <rPr>
        <b/>
        <u/>
        <sz val="10"/>
        <color theme="1"/>
        <rFont val="Calibri"/>
        <family val="2"/>
        <charset val="238"/>
      </rPr>
      <t>ā 2 měsíce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13</t>
    </r>
    <r>
      <rPr>
        <sz val="10"/>
        <color theme="1"/>
        <rFont val="Calibri"/>
        <family val="2"/>
        <charset val="238"/>
        <scheme val="minor"/>
      </rPr>
      <t xml:space="preserve">: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rok -  </t>
    </r>
    <r>
      <rPr>
        <b/>
        <u/>
        <sz val="10"/>
        <color theme="1"/>
        <rFont val="Calibri"/>
        <family val="2"/>
        <charset val="238"/>
        <scheme val="minor"/>
      </rPr>
      <t>celk. 6 dávek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</si>
  <si>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10"/>
        <color theme="1"/>
        <rFont val="Calibri"/>
        <family val="2"/>
        <charset val="238"/>
        <scheme val="minor"/>
      </rPr>
      <t>nVPMD s TaE režimem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13</t>
    </r>
    <r>
      <rPr>
        <sz val="10"/>
        <color theme="1"/>
        <rFont val="Calibri"/>
        <family val="2"/>
        <charset val="238"/>
        <scheme val="minor"/>
      </rPr>
      <t xml:space="preserve">: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rok -  </t>
    </r>
    <r>
      <rPr>
        <b/>
        <u/>
        <sz val="10"/>
        <color theme="1"/>
        <rFont val="Calibri"/>
        <family val="2"/>
        <charset val="238"/>
        <scheme val="minor"/>
      </rPr>
      <t>celk. 8 dáve</t>
    </r>
    <r>
      <rPr>
        <b/>
        <sz val="10"/>
        <color theme="1"/>
        <rFont val="Calibri"/>
        <family val="2"/>
        <charset val="238"/>
        <scheme val="minor"/>
      </rPr>
      <t>k                  (dle NMA</t>
    </r>
    <r>
      <rPr>
        <b/>
        <vertAlign val="superscript"/>
        <sz val="10"/>
        <color theme="1"/>
        <rFont val="Calibri"/>
        <family val="2"/>
        <charset val="238"/>
        <scheme val="minor"/>
      </rPr>
      <t>38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</si>
  <si>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rPr>
        <b/>
        <u/>
        <sz val="10"/>
        <color theme="1"/>
        <rFont val="Calibri"/>
        <family val="2"/>
        <charset val="238"/>
        <scheme val="minor"/>
      </rPr>
      <t>DME s režim. dle DRCRnet stud.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107</t>
    </r>
    <r>
      <rPr>
        <b/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8"/>
        <color theme="1"/>
        <rFont val="Calibri"/>
        <family val="2"/>
        <charset val="238"/>
        <scheme val="minor"/>
      </rPr>
      <t>(viz Příl. č. 15)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dle SPC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obvykle prodl. o 2 týdny, na obvykle max. 4 měs., </t>
    </r>
    <r>
      <rPr>
        <b/>
        <sz val="10"/>
        <color theme="1"/>
        <rFont val="Calibri"/>
        <family val="2"/>
        <charset val="238"/>
        <scheme val="minor"/>
      </rPr>
      <t xml:space="preserve">za celý 1. rok -  </t>
    </r>
    <r>
      <rPr>
        <b/>
        <u/>
        <sz val="10"/>
        <color theme="1"/>
        <rFont val="Calibri"/>
        <family val="2"/>
        <charset val="238"/>
        <scheme val="minor"/>
      </rPr>
      <t>celk. 7 dávek</t>
    </r>
    <r>
      <rPr>
        <b/>
        <sz val="10"/>
        <color theme="1"/>
        <rFont val="Calibri"/>
        <family val="2"/>
        <charset val="238"/>
        <scheme val="minor"/>
      </rPr>
      <t xml:space="preserve"> (dle</t>
    </r>
    <r>
      <rPr>
        <b/>
        <vertAlign val="superscript"/>
        <sz val="10"/>
        <color theme="1"/>
        <rFont val="Calibri"/>
        <family val="2"/>
        <charset val="238"/>
        <scheme val="minor"/>
      </rPr>
      <t>92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</si>
  <si>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rPr>
        <b/>
        <u/>
        <sz val="10"/>
        <color theme="1"/>
        <rFont val="Calibri"/>
        <family val="2"/>
        <charset val="238"/>
        <scheme val="minor"/>
      </rPr>
      <t>nVPMD s TaE režimem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13</t>
    </r>
    <r>
      <rPr>
        <b/>
        <u/>
        <sz val="10"/>
        <color theme="1"/>
        <rFont val="Calibri"/>
        <family val="2"/>
        <charset val="238"/>
        <scheme val="minor"/>
      </rPr>
      <t xml:space="preserve"> po LD 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dle SPC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 prodl. jednoráz. max. o 4 týdny, na obvykle max. 4 měs.        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1. rok -  </t>
    </r>
    <r>
      <rPr>
        <b/>
        <u/>
        <sz val="10"/>
        <color theme="1"/>
        <rFont val="Calibri"/>
        <family val="2"/>
        <charset val="238"/>
        <scheme val="minor"/>
      </rPr>
      <t>celk. 10 dávek</t>
    </r>
    <r>
      <rPr>
        <b/>
        <sz val="10"/>
        <color theme="1"/>
        <rFont val="Calibri"/>
        <family val="2"/>
        <charset val="238"/>
        <scheme val="minor"/>
      </rPr>
      <t xml:space="preserve"> (dle NMA</t>
    </r>
    <r>
      <rPr>
        <b/>
        <vertAlign val="superscript"/>
        <sz val="10"/>
        <color theme="1"/>
        <rFont val="Calibri"/>
        <family val="2"/>
        <charset val="238"/>
        <scheme val="minor"/>
      </rPr>
      <t>38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</si>
  <si>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rPr>
        <b/>
        <u/>
        <sz val="10"/>
        <color theme="1"/>
        <rFont val="Calibri"/>
        <family val="2"/>
        <charset val="238"/>
        <scheme val="minor"/>
      </rPr>
      <t>DME</t>
    </r>
    <r>
      <rPr>
        <sz val="10"/>
        <color theme="1"/>
        <rFont val="Calibri"/>
        <family val="2"/>
        <charset val="238"/>
        <scheme val="minor"/>
      </rPr>
      <t>: 2mg 1x za 4 týdny - celk.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4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dávky </t>
    </r>
    <r>
      <rPr>
        <sz val="8"/>
        <color theme="1"/>
        <rFont val="Calibri"/>
        <family val="2"/>
        <charset val="238"/>
        <scheme val="minor"/>
      </rPr>
      <t xml:space="preserve"> (dle Přílohy č. 15 pozn. e), </t>
    </r>
    <r>
      <rPr>
        <u/>
        <sz val="8"/>
        <color theme="1"/>
        <rFont val="Calibri"/>
        <family val="2"/>
        <charset val="238"/>
        <scheme val="minor"/>
      </rPr>
      <t>dle SPC 5x ā měs</t>
    </r>
    <r>
      <rPr>
        <sz val="8"/>
        <color theme="1"/>
        <rFont val="Calibri"/>
        <family val="2"/>
        <charset val="238"/>
        <scheme val="minor"/>
      </rPr>
      <t>.)</t>
    </r>
  </si>
  <si>
    <r>
      <rPr>
        <b/>
        <u/>
        <sz val="10"/>
        <color theme="1"/>
        <rFont val="Calibri"/>
        <family val="2"/>
        <charset val="238"/>
        <scheme val="minor"/>
      </rPr>
      <t>DME s režim. dle DRCRnet stud.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107</t>
    </r>
    <r>
      <rPr>
        <b/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8"/>
        <color theme="1"/>
        <rFont val="Calibri"/>
        <family val="2"/>
        <charset val="238"/>
        <scheme val="minor"/>
      </rPr>
      <t>(viz Příl. č. 15)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dle SPC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obvykle prodl. o 2 týdny, na obvykle max. 4 měs., </t>
    </r>
    <r>
      <rPr>
        <b/>
        <sz val="10"/>
        <color theme="1"/>
        <rFont val="Calibri"/>
        <family val="2"/>
        <charset val="238"/>
        <scheme val="minor"/>
      </rPr>
      <t xml:space="preserve">za celý 1. rok -  </t>
    </r>
    <r>
      <rPr>
        <b/>
        <u/>
        <sz val="10"/>
        <color theme="1"/>
        <rFont val="Calibri"/>
        <family val="2"/>
        <charset val="238"/>
        <scheme val="minor"/>
      </rPr>
      <t>celk. 11 dávek</t>
    </r>
    <r>
      <rPr>
        <b/>
        <sz val="10"/>
        <color theme="1"/>
        <rFont val="Calibri"/>
        <family val="2"/>
        <charset val="238"/>
        <scheme val="minor"/>
      </rPr>
      <t xml:space="preserve"> (dle</t>
    </r>
    <r>
      <rPr>
        <b/>
        <vertAlign val="superscript"/>
        <sz val="10"/>
        <color theme="1"/>
        <rFont val="Calibri"/>
        <family val="2"/>
        <charset val="238"/>
        <scheme val="minor"/>
      </rPr>
      <t>92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</si>
  <si>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rPr>
        <b/>
        <u/>
        <sz val="10"/>
        <color theme="1"/>
        <rFont val="Calibri"/>
        <family val="2"/>
        <charset val="238"/>
        <scheme val="minor"/>
      </rPr>
      <t>DME s režim. dle DRCRnet studie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107</t>
    </r>
    <r>
      <rPr>
        <b/>
        <u/>
        <sz val="10"/>
        <color theme="1"/>
        <rFont val="Calibri"/>
        <family val="2"/>
        <charset val="238"/>
        <scheme val="minor"/>
      </rPr>
      <t xml:space="preserve">               </t>
    </r>
    <r>
      <rPr>
        <b/>
        <u/>
        <sz val="8"/>
        <color theme="1"/>
        <rFont val="Calibri"/>
        <family val="2"/>
        <charset val="238"/>
        <scheme val="minor"/>
      </rPr>
      <t>(viz Příl. č. 15)</t>
    </r>
    <r>
      <rPr>
        <sz val="10"/>
        <color theme="1"/>
        <rFont val="Calibri"/>
        <family val="2"/>
        <charset val="238"/>
        <scheme val="minor"/>
      </rPr>
      <t xml:space="preserve">: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za celý rok -  </t>
    </r>
    <r>
      <rPr>
        <b/>
        <u/>
        <sz val="10"/>
        <color theme="1"/>
        <rFont val="Calibri"/>
        <family val="2"/>
        <charset val="238"/>
        <scheme val="minor"/>
      </rPr>
      <t>celk. 8 dávek</t>
    </r>
    <r>
      <rPr>
        <b/>
        <sz val="10"/>
        <color theme="1"/>
        <rFont val="Calibri"/>
        <family val="2"/>
        <charset val="238"/>
        <scheme val="minor"/>
      </rPr>
      <t xml:space="preserve"> (dle</t>
    </r>
    <r>
      <rPr>
        <b/>
        <vertAlign val="superscript"/>
        <sz val="10"/>
        <color theme="1"/>
        <rFont val="Calibri"/>
        <family val="2"/>
        <charset val="238"/>
        <scheme val="minor"/>
      </rPr>
      <t>93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</si>
  <si>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rPr>
        <b/>
        <u/>
        <sz val="10"/>
        <color theme="1"/>
        <rFont val="Calibri"/>
        <family val="2"/>
        <charset val="238"/>
        <scheme val="minor"/>
      </rPr>
      <t>nVPMD</t>
    </r>
    <r>
      <rPr>
        <sz val="10"/>
        <color theme="1"/>
        <rFont val="Calibri"/>
        <family val="2"/>
        <charset val="238"/>
        <scheme val="minor"/>
      </rPr>
      <t>: 6mg 1x měsíčně - celkem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 dávky  </t>
    </r>
  </si>
  <si>
    <r>
      <rPr>
        <b/>
        <u/>
        <sz val="10"/>
        <color theme="1"/>
        <rFont val="Calibri"/>
        <family val="2"/>
        <charset val="238"/>
        <scheme val="minor"/>
      </rPr>
      <t>nVPMD bez znám. aktiv. po 1. roce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6mg 1x za 3 měsíce.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rok -  </t>
    </r>
    <r>
      <rPr>
        <b/>
        <u/>
        <sz val="10"/>
        <color theme="1"/>
        <rFont val="Calibri"/>
        <family val="2"/>
        <charset val="238"/>
        <scheme val="minor"/>
      </rPr>
      <t>celk. 4 dávky</t>
    </r>
  </si>
  <si>
    <r>
      <rPr>
        <b/>
        <u/>
        <sz val="10"/>
        <color theme="1"/>
        <rFont val="Calibri"/>
        <family val="2"/>
        <charset val="238"/>
        <scheme val="minor"/>
      </rPr>
      <t>DME</t>
    </r>
    <r>
      <rPr>
        <sz val="10"/>
        <color theme="1"/>
        <rFont val="Calibri"/>
        <family val="2"/>
        <charset val="238"/>
        <scheme val="minor"/>
      </rPr>
      <t>: 6mg 1x za 6 týdnů - celkem</t>
    </r>
    <r>
      <rPr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 xml:space="preserve"> dávek  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</si>
  <si>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DME bez zn. aktivity po LD 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2 </t>
    </r>
    <r>
      <rPr>
        <sz val="10"/>
        <color theme="1"/>
        <rFont val="Calibri"/>
        <family val="2"/>
        <charset val="238"/>
        <scheme val="minor"/>
      </rPr>
      <t xml:space="preserve"> 6mg 1x za 3 měsíce.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1. rok -  </t>
    </r>
    <r>
      <rPr>
        <b/>
        <u/>
        <sz val="10"/>
        <color theme="1"/>
        <rFont val="Calibri"/>
        <family val="2"/>
        <charset val="238"/>
        <scheme val="minor"/>
      </rPr>
      <t>celk. 6 dávek</t>
    </r>
  </si>
  <si>
    <r>
      <rPr>
        <b/>
        <u/>
        <sz val="10"/>
        <color theme="1"/>
        <rFont val="Calibri"/>
        <family val="2"/>
        <charset val="238"/>
        <scheme val="minor"/>
      </rPr>
      <t>DME bez znám. aktiv. po 1. roce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6mg 1x za 3 měsíce.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rok -  </t>
    </r>
    <r>
      <rPr>
        <b/>
        <u/>
        <sz val="10"/>
        <color theme="1"/>
        <rFont val="Calibri"/>
        <family val="2"/>
        <charset val="238"/>
        <scheme val="minor"/>
      </rPr>
      <t>celk. 4 dávky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</si>
  <si>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DME s aktiv. onem. po LD 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2 </t>
    </r>
    <r>
      <rPr>
        <sz val="10"/>
        <color theme="1"/>
        <rFont val="Calibri"/>
        <family val="2"/>
        <charset val="238"/>
        <scheme val="minor"/>
      </rPr>
      <t xml:space="preserve">6mg 1x za 2 měsíce.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1. rok -  </t>
    </r>
    <r>
      <rPr>
        <b/>
        <u/>
        <sz val="10"/>
        <color theme="1"/>
        <rFont val="Calibri"/>
        <family val="2"/>
        <charset val="238"/>
        <scheme val="minor"/>
      </rPr>
      <t>celk. 7 dávek</t>
    </r>
  </si>
  <si>
    <r>
      <rPr>
        <b/>
        <u/>
        <sz val="10"/>
        <color theme="1"/>
        <rFont val="Calibri"/>
        <family val="2"/>
        <charset val="238"/>
        <scheme val="minor"/>
      </rPr>
      <t>DME s aktiv. onem. po 1. roce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6mg 1x za 2 měsíce.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rok -  </t>
    </r>
    <r>
      <rPr>
        <b/>
        <u/>
        <sz val="10"/>
        <color theme="1"/>
        <rFont val="Calibri"/>
        <family val="2"/>
        <charset val="238"/>
        <scheme val="minor"/>
      </rPr>
      <t>celk. 6 dávek</t>
    </r>
  </si>
  <si>
    <t>cena s DPH (NCSD) k 24.1.2023</t>
  </si>
  <si>
    <t>cena s DPH (NCSD) k 24.1.2023 vč. bonusu</t>
  </si>
  <si>
    <r>
      <t xml:space="preserve">počet dávek za 1. rok léčby                                  </t>
    </r>
    <r>
      <rPr>
        <sz val="9"/>
        <color theme="1"/>
        <rFont val="Calibri"/>
        <family val="2"/>
        <charset val="238"/>
        <scheme val="minor"/>
      </rPr>
      <t xml:space="preserve"> (pro účely přepočtu: 1 měsíc = 30,42 dne)          </t>
    </r>
    <r>
      <rPr>
        <b/>
        <sz val="11"/>
        <color theme="1"/>
        <rFont val="Calibri"/>
        <family val="2"/>
        <charset val="238"/>
        <scheme val="minor"/>
      </rPr>
      <t xml:space="preserve">            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</si>
  <si>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nVPMD bez zn. aktivity po LD 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2 </t>
    </r>
    <r>
      <rPr>
        <sz val="10"/>
        <color theme="1"/>
        <rFont val="Calibri"/>
        <family val="2"/>
        <charset val="238"/>
        <scheme val="minor"/>
      </rPr>
      <t xml:space="preserve">po 4 měs. od zahájení pak 6mg 1x za 3 měsíce.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1. rok -  </t>
    </r>
    <r>
      <rPr>
        <b/>
        <u/>
        <sz val="10"/>
        <color theme="1"/>
        <rFont val="Calibri"/>
        <family val="2"/>
        <charset val="238"/>
        <scheme val="minor"/>
      </rPr>
      <t>celk. 5 dávek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</si>
  <si>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nVPMD s aktiv. onem. po LD 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2 </t>
    </r>
    <r>
      <rPr>
        <sz val="10"/>
        <color theme="1"/>
        <rFont val="Calibri"/>
        <family val="2"/>
        <charset val="238"/>
        <scheme val="minor"/>
      </rPr>
      <t xml:space="preserve">po 4 měs. od zahájení pak 6mg 1x za 2 měsíce.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1. rok -  </t>
    </r>
    <r>
      <rPr>
        <b/>
        <u/>
        <sz val="10"/>
        <color theme="1"/>
        <rFont val="Calibri"/>
        <family val="2"/>
        <charset val="238"/>
        <scheme val="minor"/>
      </rPr>
      <t>celk. 7 dávek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</si>
  <si>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nVPMD bez zn. aktivity po LD 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po 5 měs. od zahájení pak 6mg 1x za 4 měsíce.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1. rok -  </t>
    </r>
    <r>
      <rPr>
        <b/>
        <u/>
        <sz val="10"/>
        <color theme="1"/>
        <rFont val="Calibri"/>
        <family val="2"/>
        <charset val="238"/>
        <scheme val="minor"/>
      </rPr>
      <t>celk. 5 dávek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</si>
  <si>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nVPMD s aktiv. onem. po LD 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po 5 měs. od zahájení pak 6mg 1x za 2 měsíce.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1. rok -  </t>
    </r>
    <r>
      <rPr>
        <b/>
        <u/>
        <sz val="10"/>
        <color theme="1"/>
        <rFont val="Calibri"/>
        <family val="2"/>
        <charset val="238"/>
        <scheme val="minor"/>
      </rPr>
      <t>celk. 7 dávek</t>
    </r>
  </si>
  <si>
    <t xml:space="preserve">nejlevnější u nVPMD za 1. rok </t>
  </si>
  <si>
    <r>
      <rPr>
        <b/>
        <u/>
        <sz val="10"/>
        <color theme="1"/>
        <rFont val="Calibri"/>
        <family val="2"/>
        <charset val="238"/>
        <scheme val="minor"/>
      </rPr>
      <t xml:space="preserve">DME s TaE režim. po LD 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dle SPC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prodl. jednoráz. max. o 4 týdny, na max. 4 měs. - viz pozn. 122       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1. rok -  </t>
    </r>
    <r>
      <rPr>
        <b/>
        <u/>
        <sz val="10"/>
        <color theme="1"/>
        <rFont val="Calibri"/>
        <family val="2"/>
        <charset val="238"/>
        <scheme val="minor"/>
      </rPr>
      <t>celk. 6 dávek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</si>
  <si>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10"/>
        <color theme="1"/>
        <rFont val="Calibri"/>
        <family val="2"/>
        <charset val="238"/>
        <scheme val="minor"/>
      </rPr>
      <t>DME s TaE režimem po 4 měs.</t>
    </r>
    <r>
      <rPr>
        <sz val="10"/>
        <color theme="1"/>
        <rFont val="Calibri"/>
        <family val="2"/>
        <charset val="238"/>
        <scheme val="minor"/>
      </rPr>
      <t xml:space="preserve">: viz pozn. 122 </t>
    </r>
    <r>
      <rPr>
        <sz val="9"/>
        <color theme="1"/>
        <rFont val="Calibri"/>
        <family val="2"/>
        <charset val="238"/>
        <scheme val="minor"/>
      </rPr>
      <t xml:space="preserve">        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1. rok -  </t>
    </r>
    <r>
      <rPr>
        <b/>
        <u/>
        <sz val="10"/>
        <color theme="1"/>
        <rFont val="Calibri"/>
        <family val="2"/>
        <charset val="238"/>
        <scheme val="minor"/>
      </rPr>
      <t>celk. 3 dávky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</si>
  <si>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10"/>
        <color theme="1"/>
        <rFont val="Calibri"/>
        <family val="2"/>
        <charset val="238"/>
        <scheme val="minor"/>
      </rPr>
      <t>DME</t>
    </r>
    <r>
      <rPr>
        <b/>
        <u/>
        <sz val="9"/>
        <color theme="1"/>
        <rFont val="Calibri"/>
        <family val="2"/>
        <charset val="238"/>
        <scheme val="minor"/>
      </rPr>
      <t xml:space="preserve"> s režim. Q8W ve stud. YOSEMITE a RHINE</t>
    </r>
    <r>
      <rPr>
        <b/>
        <u/>
        <vertAlign val="superscript"/>
        <sz val="9"/>
        <color theme="1"/>
        <rFont val="Calibri"/>
        <family val="2"/>
        <charset val="238"/>
        <scheme val="minor"/>
      </rPr>
      <t>113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>6mg po 4 týdn. - celkem 6 dávek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</si>
  <si>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DME </t>
    </r>
    <r>
      <rPr>
        <b/>
        <u/>
        <sz val="9"/>
        <color theme="1"/>
        <rFont val="Calibri"/>
        <family val="2"/>
        <charset val="238"/>
        <scheme val="minor"/>
      </rPr>
      <t>s režim. Q8W ve stud. YOSEMITE a RHINE</t>
    </r>
    <r>
      <rPr>
        <b/>
        <u/>
        <vertAlign val="superscript"/>
        <sz val="9"/>
        <color theme="1"/>
        <rFont val="Calibri"/>
        <family val="2"/>
        <charset val="238"/>
        <scheme val="minor"/>
      </rPr>
      <t>113</t>
    </r>
    <r>
      <rPr>
        <sz val="10"/>
        <color theme="1"/>
        <rFont val="Calibri"/>
        <family val="2"/>
        <charset val="238"/>
        <scheme val="minor"/>
      </rPr>
      <t xml:space="preserve">: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1. rok -  </t>
    </r>
    <r>
      <rPr>
        <b/>
        <u/>
        <sz val="10"/>
        <color theme="1"/>
        <rFont val="Calibri"/>
        <family val="2"/>
        <charset val="238"/>
        <scheme val="minor"/>
      </rPr>
      <t>celk. 10 dávek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</si>
  <si>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10"/>
        <color theme="1"/>
        <rFont val="Calibri"/>
        <family val="2"/>
        <charset val="238"/>
        <scheme val="minor"/>
      </rPr>
      <t>DME s režim. Q8W ve studiích YOSEMITE a RHINE</t>
    </r>
    <r>
      <rPr>
        <b/>
        <u/>
        <vertAlign val="superscript"/>
        <sz val="10"/>
        <color theme="1"/>
        <rFont val="Calibri"/>
        <family val="2"/>
        <charset val="238"/>
        <scheme val="minor"/>
      </rPr>
      <t>113</t>
    </r>
    <r>
      <rPr>
        <sz val="10"/>
        <color theme="1"/>
        <rFont val="Calibri"/>
        <family val="2"/>
        <charset val="238"/>
        <scheme val="minor"/>
      </rPr>
      <t xml:space="preserve">: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za celý rok -  </t>
    </r>
    <r>
      <rPr>
        <b/>
        <u/>
        <sz val="10"/>
        <color theme="1"/>
        <rFont val="Calibri"/>
        <family val="2"/>
        <charset val="238"/>
        <scheme val="minor"/>
      </rPr>
      <t>celk. 6 dávek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</si>
  <si>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násobek ceny za léčbu vůči nejlevnějšímu</t>
  </si>
  <si>
    <t xml:space="preserve">nejlevnější u DME za 1. rok </t>
  </si>
  <si>
    <r>
      <t xml:space="preserve">cena za léčbu (jen LP) 1 pac. při </t>
    </r>
    <r>
      <rPr>
        <b/>
        <u/>
        <sz val="10"/>
        <color theme="1"/>
        <rFont val="Calibri"/>
        <family val="2"/>
        <charset val="238"/>
        <scheme val="minor"/>
      </rPr>
      <t>dávk. ve sl. "dávk.</t>
    </r>
    <r>
      <rPr>
        <b/>
        <sz val="10"/>
        <color theme="1"/>
        <rFont val="Calibri"/>
        <family val="2"/>
        <charset val="238"/>
        <scheme val="minor"/>
      </rPr>
      <t xml:space="preserve">" za 1. rok                                      </t>
    </r>
  </si>
  <si>
    <r>
      <t>cena za léčbu (vč. dalších nákl.</t>
    </r>
    <r>
      <rPr>
        <b/>
        <vertAlign val="superscript"/>
        <sz val="10"/>
        <color theme="1"/>
        <rFont val="Calibri"/>
        <family val="2"/>
        <charset val="238"/>
        <scheme val="minor"/>
      </rPr>
      <t>123</t>
    </r>
    <r>
      <rPr>
        <b/>
        <sz val="10"/>
        <color theme="1"/>
        <rFont val="Calibri"/>
        <family val="2"/>
        <charset val="238"/>
        <scheme val="minor"/>
      </rPr>
      <t xml:space="preserve">) 1 pac. při </t>
    </r>
    <r>
      <rPr>
        <b/>
        <u/>
        <sz val="10"/>
        <color theme="1"/>
        <rFont val="Calibri"/>
        <family val="2"/>
        <charset val="238"/>
        <scheme val="minor"/>
      </rPr>
      <t>dávk. ve sl. "dávk.</t>
    </r>
    <r>
      <rPr>
        <b/>
        <sz val="10"/>
        <color theme="1"/>
        <rFont val="Calibri"/>
        <family val="2"/>
        <charset val="238"/>
        <scheme val="minor"/>
      </rPr>
      <t xml:space="preserve">" za 1. rok                                      </t>
    </r>
  </si>
  <si>
    <t>nejlevnější u nVPMD za 1. rok (vč. dalších nákladů)</t>
  </si>
  <si>
    <t>nejlevnější u DME za 1. rok (vč. dalších nákladů)</t>
  </si>
  <si>
    <t>nejlevnější u nVPMD za 2. rok (vč. dalších nákladů)</t>
  </si>
  <si>
    <t>nejlevnější u DME za 2. rok (vč. dalších nákladů)</t>
  </si>
  <si>
    <r>
      <t xml:space="preserve">cena za léčbu (jen LP) 1 pac. při </t>
    </r>
    <r>
      <rPr>
        <b/>
        <u/>
        <sz val="10"/>
        <color theme="1"/>
        <rFont val="Calibri"/>
        <family val="2"/>
        <charset val="238"/>
        <scheme val="minor"/>
      </rPr>
      <t>dávk. ve sl. "dávkování</t>
    </r>
    <r>
      <rPr>
        <b/>
        <sz val="10"/>
        <color theme="1"/>
        <rFont val="Calibri"/>
        <family val="2"/>
        <charset val="238"/>
        <scheme val="minor"/>
      </rPr>
      <t xml:space="preserve">"  za 2. a další rok                           </t>
    </r>
  </si>
  <si>
    <r>
      <t>cena za léčbu (vč. dalších nákl.</t>
    </r>
    <r>
      <rPr>
        <b/>
        <vertAlign val="superscript"/>
        <sz val="10"/>
        <color theme="1"/>
        <rFont val="Calibri"/>
        <family val="2"/>
        <charset val="238"/>
        <scheme val="minor"/>
      </rPr>
      <t>123</t>
    </r>
    <r>
      <rPr>
        <b/>
        <sz val="10"/>
        <color theme="1"/>
        <rFont val="Calibri"/>
        <family val="2"/>
        <charset val="238"/>
        <scheme val="minor"/>
      </rPr>
      <t xml:space="preserve">) 1 pac. při </t>
    </r>
    <r>
      <rPr>
        <b/>
        <u/>
        <sz val="10"/>
        <color theme="1"/>
        <rFont val="Calibri"/>
        <family val="2"/>
        <charset val="238"/>
        <scheme val="minor"/>
      </rPr>
      <t>dávk. ve sl. "dávk.</t>
    </r>
    <r>
      <rPr>
        <b/>
        <sz val="10"/>
        <color theme="1"/>
        <rFont val="Calibri"/>
        <family val="2"/>
        <charset val="238"/>
        <scheme val="minor"/>
      </rPr>
      <t xml:space="preserve">" za 2. a další rok                                      </t>
    </r>
  </si>
  <si>
    <t>Alimera</t>
  </si>
  <si>
    <t>ILUVIEN -  fluocinolon acetonid (kortikoid)</t>
  </si>
  <si>
    <r>
      <t xml:space="preserve">OZURDEX 700 mcg/ ILUVIEN 190 mcg intravitrální implantáty </t>
    </r>
    <r>
      <rPr>
        <b/>
        <sz val="9"/>
        <color theme="1"/>
        <rFont val="Calibri"/>
        <family val="2"/>
        <charset val="238"/>
        <scheme val="minor"/>
      </rPr>
      <t>(</t>
    </r>
    <r>
      <rPr>
        <b/>
        <u/>
        <sz val="9"/>
        <color theme="1"/>
        <rFont val="Calibri"/>
        <family val="2"/>
        <charset val="238"/>
        <scheme val="minor"/>
      </rPr>
      <t>nemají v ČR na DME úhradu!</t>
    </r>
    <r>
      <rPr>
        <b/>
        <sz val="9"/>
        <color theme="1"/>
        <rFont val="Calibri"/>
        <family val="2"/>
        <charset val="238"/>
        <scheme val="minor"/>
      </rPr>
      <t>)</t>
    </r>
  </si>
  <si>
    <t>AbbVie</t>
  </si>
  <si>
    <r>
      <rPr>
        <b/>
        <u/>
        <sz val="10"/>
        <color theme="1"/>
        <rFont val="Calibri"/>
        <family val="2"/>
        <charset val="238"/>
        <scheme val="minor"/>
      </rPr>
      <t>DME:</t>
    </r>
    <r>
      <rPr>
        <sz val="10"/>
        <color theme="1"/>
        <rFont val="Calibri"/>
        <family val="2"/>
        <charset val="238"/>
        <scheme val="minor"/>
      </rPr>
      <t xml:space="preserve"> 1 implantát OZURDEXU - </t>
    </r>
    <r>
      <rPr>
        <sz val="9"/>
        <color theme="1"/>
        <rFont val="Calibri"/>
        <family val="2"/>
        <charset val="238"/>
        <scheme val="minor"/>
      </rPr>
      <t>viz Příloha č. 12 pozn. 100 a 101</t>
    </r>
  </si>
  <si>
    <r>
      <rPr>
        <b/>
        <u/>
        <sz val="10"/>
        <color theme="1"/>
        <rFont val="Calibri"/>
        <family val="2"/>
        <charset val="238"/>
        <scheme val="minor"/>
      </rPr>
      <t>DME:</t>
    </r>
    <r>
      <rPr>
        <sz val="9"/>
        <color theme="1"/>
        <rFont val="Calibri"/>
        <family val="2"/>
        <charset val="238"/>
        <scheme val="minor"/>
      </rPr>
      <t xml:space="preserve"> 1 impl. (na cca 6 měs., obvykle max. 7x, tj. na cca 3,5 roku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)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rok - </t>
    </r>
    <r>
      <rPr>
        <b/>
        <u/>
        <sz val="10"/>
        <color theme="1"/>
        <rFont val="Calibri"/>
        <family val="2"/>
        <charset val="238"/>
        <scheme val="minor"/>
      </rPr>
      <t>celk. 2 implantáty</t>
    </r>
  </si>
  <si>
    <r>
      <rPr>
        <b/>
        <u/>
        <sz val="10"/>
        <color theme="1"/>
        <rFont val="Calibri"/>
        <family val="2"/>
        <charset val="238"/>
        <scheme val="minor"/>
      </rPr>
      <t>DME:</t>
    </r>
    <r>
      <rPr>
        <sz val="10"/>
        <color theme="1"/>
        <rFont val="Calibri"/>
        <family val="2"/>
        <charset val="238"/>
        <scheme val="minor"/>
      </rPr>
      <t xml:space="preserve"> 1 implantát (na cca 6 měs.) - </t>
    </r>
    <r>
      <rPr>
        <sz val="9"/>
        <color theme="1"/>
        <rFont val="Calibri"/>
        <family val="2"/>
        <charset val="238"/>
        <scheme val="minor"/>
      </rPr>
      <t>viz Příloha č. 12, pozn. 100 a 101</t>
    </r>
  </si>
  <si>
    <r>
      <rPr>
        <b/>
        <u/>
        <sz val="10"/>
        <color theme="1"/>
        <rFont val="Calibri"/>
        <family val="2"/>
        <charset val="238"/>
        <scheme val="minor"/>
      </rPr>
      <t>DME:</t>
    </r>
    <r>
      <rPr>
        <sz val="10"/>
        <color theme="1"/>
        <rFont val="Calibri"/>
        <family val="2"/>
        <charset val="238"/>
        <scheme val="minor"/>
      </rPr>
      <t xml:space="preserve"> 1 impl. (na cca 6 měs., obvykle max.7x, tj.na cca 3,5 roku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) - </t>
    </r>
    <r>
      <rPr>
        <sz val="9"/>
        <color theme="1"/>
        <rFont val="Calibri"/>
        <family val="2"/>
        <charset val="238"/>
        <scheme val="minor"/>
      </rPr>
      <t xml:space="preserve">viz Příl. č. 12,pozn. 100 a 101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Za celý 1. rok - </t>
    </r>
    <r>
      <rPr>
        <b/>
        <u/>
        <sz val="10"/>
        <color theme="1"/>
        <rFont val="Calibri"/>
        <family val="2"/>
        <charset val="238"/>
        <scheme val="minor"/>
      </rPr>
      <t>celk. 3 implantáty</t>
    </r>
  </si>
  <si>
    <r>
      <rPr>
        <b/>
        <u/>
        <sz val="10"/>
        <color theme="1"/>
        <rFont val="Calibri"/>
        <family val="2"/>
        <charset val="238"/>
        <scheme val="minor"/>
      </rPr>
      <t>DME dle dopor. v Příloze č. 12:</t>
    </r>
    <r>
      <rPr>
        <sz val="10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po 2 měs. po aplikaci OZURDEXU zhodnotit léč. odpověď, v pozit. případě aplikovat </t>
    </r>
    <r>
      <rPr>
        <b/>
        <u/>
        <sz val="9"/>
        <color theme="1"/>
        <rFont val="Calibri"/>
        <family val="2"/>
        <charset val="238"/>
        <scheme val="minor"/>
      </rPr>
      <t>ILUVIEN  (obvykle 1 impl. až na cca 3 roky</t>
    </r>
    <r>
      <rPr>
        <b/>
        <u/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)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viz pozn. 100 a 101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/>
    </r>
  </si>
  <si>
    <r>
      <rPr>
        <b/>
        <u/>
        <sz val="10"/>
        <color theme="1"/>
        <rFont val="Calibri"/>
        <family val="2"/>
        <charset val="238"/>
        <scheme val="minor"/>
      </rPr>
      <t>DME dle dopor. v Příloze č. 12:</t>
    </r>
    <r>
      <rPr>
        <sz val="10"/>
        <color theme="1"/>
        <rFont val="Calibri"/>
        <family val="2"/>
        <charset val="238"/>
        <scheme val="minor"/>
      </rPr>
      <t xml:space="preserve">  </t>
    </r>
    <r>
      <rPr>
        <b/>
        <u/>
        <sz val="9"/>
        <color theme="1"/>
        <rFont val="Calibri"/>
        <family val="2"/>
        <charset val="238"/>
        <scheme val="minor"/>
      </rPr>
      <t>ILUVIEN  (obvykle 1 impl. až na cca 3 roky</t>
    </r>
    <r>
      <rPr>
        <b/>
        <u/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)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viz pozn. 100 a 101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/>
    </r>
  </si>
  <si>
    <t xml:space="preserve">nejlevnější u nVPMD za 2. a další rok </t>
  </si>
  <si>
    <t xml:space="preserve">nejlevnější u DME za 2. a další rok </t>
  </si>
  <si>
    <r>
      <t>OZURDEX 700 mcg intravitrální implantát 1ks (</t>
    </r>
    <r>
      <rPr>
        <b/>
        <u/>
        <sz val="9"/>
        <color theme="1"/>
        <rFont val="Calibri"/>
        <family val="2"/>
        <charset val="238"/>
        <scheme val="minor"/>
      </rPr>
      <t>nemá v ČR na DME úhradu !!</t>
    </r>
    <r>
      <rPr>
        <b/>
        <sz val="9"/>
        <color theme="1"/>
        <rFont val="Calibri"/>
        <family val="2"/>
        <charset val="238"/>
        <scheme val="minor"/>
      </rPr>
      <t>)</t>
    </r>
  </si>
  <si>
    <t>nVPMD</t>
  </si>
  <si>
    <r>
      <t>PDT</t>
    </r>
    <r>
      <rPr>
        <b/>
        <vertAlign val="superscript"/>
        <sz val="10"/>
        <color theme="1"/>
        <rFont val="Calibri"/>
        <family val="2"/>
        <charset val="238"/>
        <scheme val="minor"/>
      </rPr>
      <t>33</t>
    </r>
    <r>
      <rPr>
        <b/>
        <sz val="10"/>
        <color theme="1"/>
        <rFont val="Calibri"/>
        <family val="2"/>
        <charset val="238"/>
        <scheme val="minor"/>
      </rPr>
      <t xml:space="preserve"> + VISUDYNE 15mg pášek pro inf. 1 amp.</t>
    </r>
  </si>
  <si>
    <t>verteporfin (fotosenzibil. látka)</t>
  </si>
  <si>
    <t>Cheplapharm</t>
  </si>
  <si>
    <r>
      <rPr>
        <b/>
        <u/>
        <sz val="10"/>
        <color theme="1"/>
        <rFont val="Calibri"/>
        <family val="2"/>
        <charset val="238"/>
        <scheme val="minor"/>
      </rPr>
      <t>nVPMD</t>
    </r>
    <r>
      <rPr>
        <sz val="10"/>
        <color theme="1"/>
        <rFont val="Calibri"/>
        <family val="2"/>
        <charset val="238"/>
        <scheme val="minor"/>
      </rPr>
      <t>: dle SPC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je dáv. VISUDYNE 6mg/m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, za 15 min po zahájení inf. pak světelná aktivace laserem</t>
    </r>
    <r>
      <rPr>
        <vertAlign val="superscript"/>
        <sz val="10"/>
        <color theme="1"/>
        <rFont val="Calibri"/>
        <family val="2"/>
        <charset val="238"/>
        <scheme val="minor"/>
      </rPr>
      <t>33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b/>
        <u/>
        <sz val="10"/>
        <color theme="1"/>
        <rFont val="Calibri"/>
        <family val="2"/>
        <charset val="238"/>
        <scheme val="minor"/>
      </rPr>
      <t>celk. max. 4x za rok</t>
    </r>
  </si>
  <si>
    <r>
      <rPr>
        <b/>
        <u/>
        <sz val="10"/>
        <color theme="1"/>
        <rFont val="Calibri"/>
        <family val="2"/>
        <charset val="238"/>
        <scheme val="minor"/>
      </rPr>
      <t>nVPMD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sz val="8"/>
        <color theme="1"/>
        <rFont val="Calibri"/>
        <family val="2"/>
        <charset val="238"/>
        <scheme val="minor"/>
      </rPr>
      <t>dle SPC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 xml:space="preserve"> je dávka VISUDYNE 6mg/m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za 15 min po zahájení inf. pak svět. akt. laserem</t>
    </r>
    <r>
      <rPr>
        <vertAlign val="superscript"/>
        <sz val="8"/>
        <color theme="1"/>
        <rFont val="Calibri"/>
        <family val="2"/>
        <charset val="238"/>
        <scheme val="minor"/>
      </rPr>
      <t>33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b/>
        <u/>
        <sz val="10"/>
        <color theme="1"/>
        <rFont val="Calibri"/>
        <family val="2"/>
        <charset val="238"/>
        <scheme val="minor"/>
      </rPr>
      <t>celk.max. 4x za rok</t>
    </r>
  </si>
  <si>
    <t>procenta LP z ceny za léčbu</t>
  </si>
  <si>
    <t>dexa-methason (kortikoid)</t>
  </si>
  <si>
    <r>
      <t>náklady (LP + další nákl.</t>
    </r>
    <r>
      <rPr>
        <b/>
        <vertAlign val="superscript"/>
        <sz val="11"/>
        <color theme="1"/>
        <rFont val="Calibri"/>
        <family val="2"/>
        <charset val="238"/>
        <scheme val="minor"/>
      </rPr>
      <t>123</t>
    </r>
    <r>
      <rPr>
        <b/>
        <sz val="11"/>
        <color theme="1"/>
        <rFont val="Calibri"/>
        <family val="2"/>
        <charset val="238"/>
        <scheme val="minor"/>
      </rPr>
      <t>) na 1 pac. za 3 roky (bez diskont.)</t>
    </r>
  </si>
  <si>
    <r>
      <rPr>
        <b/>
        <u/>
        <sz val="9"/>
        <color theme="1"/>
        <rFont val="Calibri"/>
        <family val="2"/>
        <charset val="238"/>
        <scheme val="minor"/>
      </rPr>
      <t>rozdíl</t>
    </r>
    <r>
      <rPr>
        <b/>
        <sz val="9"/>
        <color theme="1"/>
        <rFont val="Calibri"/>
        <family val="2"/>
        <charset val="238"/>
        <scheme val="minor"/>
      </rPr>
      <t xml:space="preserve"> nákladů (za LP + další nákl.</t>
    </r>
    <r>
      <rPr>
        <b/>
        <vertAlign val="superscript"/>
        <sz val="9"/>
        <color theme="1"/>
        <rFont val="Calibri"/>
        <family val="2"/>
        <charset val="238"/>
        <scheme val="minor"/>
      </rPr>
      <t>123</t>
    </r>
    <r>
      <rPr>
        <b/>
        <sz val="9"/>
        <color theme="1"/>
        <rFont val="Calibri"/>
        <family val="2"/>
        <charset val="238"/>
        <scheme val="minor"/>
      </rPr>
      <t xml:space="preserve">) </t>
    </r>
    <r>
      <rPr>
        <b/>
        <u/>
        <sz val="9"/>
        <color theme="1"/>
        <rFont val="Calibri"/>
        <family val="2"/>
        <charset val="238"/>
        <scheme val="minor"/>
      </rPr>
      <t>v 1. roce na 125 pac. s nVPMD, resp. 25 pac. s DME VABYSMA od daného LP</t>
    </r>
  </si>
  <si>
    <t>LL náklady za VABYSMO (+další) za 1. rok u nVPMD</t>
  </si>
  <si>
    <t>UL náklady za VABYSMO (+další) za 1. rok u nVPMD</t>
  </si>
  <si>
    <r>
      <rPr>
        <b/>
        <u/>
        <sz val="9"/>
        <color theme="1"/>
        <rFont val="Calibri"/>
        <family val="2"/>
        <charset val="238"/>
        <scheme val="minor"/>
      </rPr>
      <t>rozdíl</t>
    </r>
    <r>
      <rPr>
        <b/>
        <sz val="9"/>
        <color theme="1"/>
        <rFont val="Calibri"/>
        <family val="2"/>
        <charset val="238"/>
        <scheme val="minor"/>
      </rPr>
      <t xml:space="preserve"> nákladů (LP + další nákl.</t>
    </r>
    <r>
      <rPr>
        <b/>
        <vertAlign val="superscript"/>
        <sz val="9"/>
        <color theme="1"/>
        <rFont val="Calibri"/>
        <family val="2"/>
        <charset val="238"/>
        <scheme val="minor"/>
      </rPr>
      <t>123</t>
    </r>
    <r>
      <rPr>
        <b/>
        <sz val="9"/>
        <color theme="1"/>
        <rFont val="Calibri"/>
        <family val="2"/>
        <charset val="238"/>
        <scheme val="minor"/>
      </rPr>
      <t xml:space="preserve">) </t>
    </r>
    <r>
      <rPr>
        <b/>
        <u/>
        <sz val="9"/>
        <color theme="1"/>
        <rFont val="Calibri"/>
        <family val="2"/>
        <charset val="238"/>
        <scheme val="minor"/>
      </rPr>
      <t>v 2.a dalším roce na 125 pac. s nVPMD, resp. 25 pac. s DME VABYSMA od daného LP</t>
    </r>
  </si>
  <si>
    <r>
      <rPr>
        <b/>
        <u/>
        <sz val="9"/>
        <color theme="1"/>
        <rFont val="Calibri"/>
        <family val="2"/>
        <charset val="238"/>
        <scheme val="minor"/>
      </rPr>
      <t xml:space="preserve">rozdíl </t>
    </r>
    <r>
      <rPr>
        <b/>
        <sz val="9"/>
        <color theme="1"/>
        <rFont val="Calibri"/>
        <family val="2"/>
        <charset val="238"/>
        <scheme val="minor"/>
      </rPr>
      <t>nákladů (LP + další nákl.</t>
    </r>
    <r>
      <rPr>
        <b/>
        <vertAlign val="superscript"/>
        <sz val="9"/>
        <color theme="1"/>
        <rFont val="Calibri"/>
        <family val="2"/>
        <charset val="238"/>
        <scheme val="minor"/>
      </rPr>
      <t>123</t>
    </r>
    <r>
      <rPr>
        <b/>
        <sz val="9"/>
        <color theme="1"/>
        <rFont val="Calibri"/>
        <family val="2"/>
        <charset val="238"/>
        <scheme val="minor"/>
      </rPr>
      <t xml:space="preserve">) </t>
    </r>
    <r>
      <rPr>
        <b/>
        <u/>
        <sz val="9"/>
        <color theme="1"/>
        <rFont val="Calibri"/>
        <family val="2"/>
        <charset val="238"/>
        <scheme val="minor"/>
      </rPr>
      <t>za 3 roky</t>
    </r>
    <r>
      <rPr>
        <b/>
        <sz val="9"/>
        <color theme="1"/>
        <rFont val="Calibri"/>
        <family val="2"/>
        <charset val="238"/>
        <scheme val="minor"/>
      </rPr>
      <t xml:space="preserve"> (bez diskont.)</t>
    </r>
    <r>
      <rPr>
        <b/>
        <u/>
        <sz val="9"/>
        <color theme="1"/>
        <rFont val="Calibri"/>
        <family val="2"/>
        <charset val="238"/>
        <scheme val="minor"/>
      </rPr>
      <t xml:space="preserve"> na 125 pac. s nVPMD, resp. 25 pac. s DME VABYSMA od daného LP</t>
    </r>
  </si>
  <si>
    <t>LL náklady za VABYSMO (+další) za 1. rok u DME</t>
  </si>
  <si>
    <t>UL náklady za VABYSMO (+další) za 1. rok u DME</t>
  </si>
  <si>
    <t>LL náklady za VABYSMO (+další) za 2. a další rok u DME</t>
  </si>
  <si>
    <t>UL náklady za VABYSMO (+další) za 2. a další rok u DME</t>
  </si>
  <si>
    <t>LL náklady za VABYSMO (+další) za 3 roky u DME</t>
  </si>
  <si>
    <t>UL náklady za VABYSMO (+další) za 3 roky u DME</t>
  </si>
  <si>
    <t>LL náklady za VABYSMO (+další) za 3 roky u nVPMD</t>
  </si>
  <si>
    <t>UL náklady za VABYSMO (+další) za 3 roky u nVPMD</t>
  </si>
  <si>
    <t>LL náklady za VABYSMO (+další) za 2. a další rok u nVPMD</t>
  </si>
  <si>
    <t>UL náklady za VABYSMO (+další) za 2. a další rok u nVPMD</t>
  </si>
  <si>
    <t>procenta rozdílu nákladů za 1. rok z rozdílu za 3 roky</t>
  </si>
  <si>
    <t>v 1. roce je Vabysmo dražší !</t>
  </si>
  <si>
    <t>náklady (LP + ostatní)</t>
  </si>
  <si>
    <t>EYLEA (aflibercept - dávka 2mg)                                          za 1. rok (7x - 10x)</t>
  </si>
  <si>
    <t>BEOVU (brolucizumab - dávka 6mg)                                           za 1. rok (5x - 7x)</t>
  </si>
  <si>
    <t>LUCENTIS (ranibizumab - dávka 0,5mg)             za 1. rok (7x - 12x)</t>
  </si>
  <si>
    <t>VABYSMO (faricimab - dávka 6mg)                                          za 1. rok (5x - 7x)</t>
  </si>
  <si>
    <t>LUCENTIS (ranibizumab - dávka 0,5mg)                   za 3 roky (7+5+5 až 12+12+12)</t>
  </si>
  <si>
    <t>EYLEA (aflibercept - dávka 2mg)                                           za 3 roky (7+6+6 až 10+8+8)</t>
  </si>
  <si>
    <t>BEOVU (brolucizumab - dávka 6mg)                                           za 3 roky (5+4+4 až 7+6+6)</t>
  </si>
  <si>
    <t>VABYSMO (faricimab - dávka 6mg)                                           za 3 roky (5+3+3 až 7+6+6)</t>
  </si>
  <si>
    <t>LUCENTIS (ranibizumab - dávka 0,5mg)                   za 3 roky (7+2+2 až 12+9+9)</t>
  </si>
  <si>
    <t>EYLEA (aflibercept - dávka 2mg)                                           za 3 roky (7+2+2 až 11+8+8)</t>
  </si>
  <si>
    <t>BEOVU (brolucizumab - dávka 6mg)                                           za 3 roky (6+4+4 až 7+6+6)</t>
  </si>
  <si>
    <t>VABYSMO (faricimab - dávka 6mg)                                           za 3 roky (6+3+3 až 10+6+6)</t>
  </si>
  <si>
    <t>EYLEA (aflibercept - dávka 2mg)                                          za 1. rok (7x - 11x)</t>
  </si>
  <si>
    <t>BEOVU (brolucizumab - dávka 6mg)                                           za 1. rok (6x - 7x)</t>
  </si>
  <si>
    <t>VABYSMO (faricimab - dávka 6mg)                                          za 1. rok (6x - 10x)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</si>
</sst>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.0"/>
    <numFmt numFmtId="167" formatCode="0.0%"/>
    <numFmt numFmtId="168" formatCode="_-* #,##0\ &quot;Kč&quot;_-;\-* #,##0\ &quot;Kč&quot;_-;_-* &quot;-&quot;??\ &quot;Kč&quot;_-;_-@_-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color rgb="FFFFFF00"/>
      <name val="Calibri"/>
      <family val="2"/>
      <charset val="238"/>
      <scheme val="minor"/>
    </font>
    <font>
      <b/>
      <sz val="9"/>
      <color rgb="FFFFFF00"/>
      <name val="Calibri"/>
      <family val="2"/>
      <charset val="238"/>
    </font>
    <font>
      <b/>
      <sz val="8.1"/>
      <color rgb="FFFFFF00"/>
      <name val="Calibri"/>
      <family val="2"/>
      <charset val="238"/>
    </font>
    <font>
      <sz val="7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vertAlign val="superscript"/>
      <sz val="10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0"/>
      <color rgb="FF223E54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7" fillId="0" borderId="0"/>
  </cellStyleXfs>
  <cellXfs count="208">
    <xf numFmtId="0" fontId="0" fillId="0" borderId="0" xfId="0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6" xfId="0" applyNumberFormat="1" applyBorder="1" applyAlignment="1">
      <alignment horizontal="center" vertical="center"/>
    </xf>
    <xf numFmtId="0" fontId="0" fillId="5" borderId="0" xfId="0" applyFill="1"/>
    <xf numFmtId="0" fontId="11" fillId="5" borderId="0" xfId="0" applyFont="1" applyFill="1"/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4" fontId="0" fillId="0" borderId="4" xfId="1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164" fontId="0" fillId="0" borderId="6" xfId="1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  <xf numFmtId="165" fontId="0" fillId="0" borderId="0" xfId="0" applyNumberFormat="1"/>
    <xf numFmtId="0" fontId="19" fillId="8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22" fillId="5" borderId="0" xfId="0" applyFont="1" applyFill="1"/>
    <xf numFmtId="0" fontId="11" fillId="5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6" borderId="15" xfId="0" applyFont="1" applyFill="1" applyBorder="1" applyAlignment="1">
      <alignment horizontal="center" vertical="center" wrapText="1"/>
    </xf>
    <xf numFmtId="44" fontId="1" fillId="4" borderId="4" xfId="1" applyFont="1" applyFill="1" applyBorder="1" applyAlignment="1">
      <alignment vertical="center"/>
    </xf>
    <xf numFmtId="44" fontId="1" fillId="4" borderId="16" xfId="1" applyFont="1" applyFill="1" applyBorder="1" applyAlignment="1">
      <alignment vertical="center"/>
    </xf>
    <xf numFmtId="44" fontId="1" fillId="4" borderId="6" xfId="1" applyFont="1" applyFill="1" applyBorder="1" applyAlignment="1">
      <alignment vertical="center"/>
    </xf>
    <xf numFmtId="44" fontId="1" fillId="4" borderId="7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0" fillId="0" borderId="0" xfId="0" applyFill="1"/>
    <xf numFmtId="0" fontId="29" fillId="0" borderId="0" xfId="0" applyFont="1"/>
    <xf numFmtId="0" fontId="4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164" fontId="0" fillId="0" borderId="17" xfId="1" applyNumberFormat="1" applyFont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165" fontId="13" fillId="0" borderId="2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66" fontId="35" fillId="0" borderId="18" xfId="0" applyNumberFormat="1" applyFont="1" applyBorder="1" applyAlignment="1">
      <alignment horizontal="center" vertical="center"/>
    </xf>
    <xf numFmtId="166" fontId="35" fillId="0" borderId="12" xfId="0" applyNumberFormat="1" applyFont="1" applyBorder="1" applyAlignment="1">
      <alignment horizontal="center" vertical="center"/>
    </xf>
    <xf numFmtId="166" fontId="35" fillId="4" borderId="18" xfId="0" applyNumberFormat="1" applyFont="1" applyFill="1" applyBorder="1" applyAlignment="1">
      <alignment horizontal="center" vertical="center"/>
    </xf>
    <xf numFmtId="166" fontId="35" fillId="4" borderId="12" xfId="0" applyNumberFormat="1" applyFont="1" applyFill="1" applyBorder="1" applyAlignment="1">
      <alignment horizontal="center" vertical="center"/>
    </xf>
    <xf numFmtId="0" fontId="6" fillId="5" borderId="0" xfId="0" applyFont="1" applyFill="1"/>
    <xf numFmtId="0" fontId="12" fillId="5" borderId="0" xfId="0" applyFont="1" applyFill="1"/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/>
    </xf>
    <xf numFmtId="6" fontId="11" fillId="5" borderId="0" xfId="0" applyNumberFormat="1" applyFont="1" applyFill="1" applyAlignment="1">
      <alignment horizontal="center"/>
    </xf>
    <xf numFmtId="167" fontId="0" fillId="0" borderId="18" xfId="0" applyNumberFormat="1" applyBorder="1"/>
    <xf numFmtId="167" fontId="0" fillId="0" borderId="12" xfId="0" applyNumberFormat="1" applyBorder="1"/>
    <xf numFmtId="0" fontId="3" fillId="4" borderId="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166" fontId="35" fillId="9" borderId="18" xfId="0" applyNumberFormat="1" applyFont="1" applyFill="1" applyBorder="1" applyAlignment="1">
      <alignment horizontal="center" vertical="center"/>
    </xf>
    <xf numFmtId="166" fontId="35" fillId="9" borderId="12" xfId="0" applyNumberFormat="1" applyFont="1" applyFill="1" applyBorder="1" applyAlignment="1">
      <alignment horizontal="center" vertical="center"/>
    </xf>
    <xf numFmtId="165" fontId="13" fillId="11" borderId="18" xfId="0" applyNumberFormat="1" applyFont="1" applyFill="1" applyBorder="1" applyAlignment="1">
      <alignment horizontal="center" vertical="center"/>
    </xf>
    <xf numFmtId="166" fontId="35" fillId="11" borderId="18" xfId="0" applyNumberFormat="1" applyFont="1" applyFill="1" applyBorder="1" applyAlignment="1">
      <alignment horizontal="center" vertical="center"/>
    </xf>
    <xf numFmtId="165" fontId="13" fillId="11" borderId="12" xfId="0" applyNumberFormat="1" applyFont="1" applyFill="1" applyBorder="1" applyAlignment="1">
      <alignment horizontal="center" vertical="center"/>
    </xf>
    <xf numFmtId="166" fontId="35" fillId="11" borderId="12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165" fontId="13" fillId="9" borderId="18" xfId="0" applyNumberFormat="1" applyFont="1" applyFill="1" applyBorder="1" applyAlignment="1">
      <alignment horizontal="center" vertical="center"/>
    </xf>
    <xf numFmtId="165" fontId="13" fillId="9" borderId="12" xfId="0" applyNumberFormat="1" applyFont="1" applyFill="1" applyBorder="1" applyAlignment="1">
      <alignment horizontal="center" vertical="center"/>
    </xf>
    <xf numFmtId="165" fontId="13" fillId="4" borderId="18" xfId="0" applyNumberFormat="1" applyFont="1" applyFill="1" applyBorder="1" applyAlignment="1">
      <alignment horizontal="center" vertical="center"/>
    </xf>
    <xf numFmtId="165" fontId="13" fillId="4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13" borderId="15" xfId="0" applyFont="1" applyFill="1" applyBorder="1" applyAlignment="1">
      <alignment horizontal="center" vertical="center" wrapText="1"/>
    </xf>
    <xf numFmtId="166" fontId="35" fillId="7" borderId="18" xfId="0" applyNumberFormat="1" applyFont="1" applyFill="1" applyBorder="1" applyAlignment="1">
      <alignment horizontal="center" vertical="center"/>
    </xf>
    <xf numFmtId="166" fontId="35" fillId="7" borderId="12" xfId="0" applyNumberFormat="1" applyFont="1" applyFill="1" applyBorder="1" applyAlignment="1">
      <alignment horizontal="center" vertical="center"/>
    </xf>
    <xf numFmtId="166" fontId="35" fillId="6" borderId="18" xfId="0" applyNumberFormat="1" applyFont="1" applyFill="1" applyBorder="1" applyAlignment="1">
      <alignment horizontal="center" vertical="center"/>
    </xf>
    <xf numFmtId="166" fontId="35" fillId="6" borderId="12" xfId="0" applyNumberFormat="1" applyFont="1" applyFill="1" applyBorder="1" applyAlignment="1">
      <alignment horizontal="center" vertical="center"/>
    </xf>
    <xf numFmtId="165" fontId="13" fillId="7" borderId="18" xfId="0" applyNumberFormat="1" applyFont="1" applyFill="1" applyBorder="1" applyAlignment="1">
      <alignment horizontal="center" vertical="center"/>
    </xf>
    <xf numFmtId="165" fontId="13" fillId="7" borderId="12" xfId="0" applyNumberFormat="1" applyFont="1" applyFill="1" applyBorder="1" applyAlignment="1">
      <alignment horizontal="center" vertical="center"/>
    </xf>
    <xf numFmtId="165" fontId="13" fillId="6" borderId="18" xfId="0" applyNumberFormat="1" applyFont="1" applyFill="1" applyBorder="1" applyAlignment="1">
      <alignment horizontal="center" vertical="center"/>
    </xf>
    <xf numFmtId="165" fontId="13" fillId="6" borderId="12" xfId="0" applyNumberFormat="1" applyFont="1" applyFill="1" applyBorder="1" applyAlignment="1">
      <alignment horizontal="center" vertical="center"/>
    </xf>
    <xf numFmtId="165" fontId="13" fillId="17" borderId="18" xfId="0" applyNumberFormat="1" applyFont="1" applyFill="1" applyBorder="1" applyAlignment="1">
      <alignment horizontal="center" vertical="center"/>
    </xf>
    <xf numFmtId="165" fontId="13" fillId="17" borderId="12" xfId="0" applyNumberFormat="1" applyFont="1" applyFill="1" applyBorder="1" applyAlignment="1">
      <alignment horizontal="center" vertical="center"/>
    </xf>
    <xf numFmtId="167" fontId="0" fillId="0" borderId="27" xfId="0" applyNumberFormat="1" applyBorder="1"/>
    <xf numFmtId="0" fontId="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left" vertical="center" wrapText="1"/>
    </xf>
    <xf numFmtId="164" fontId="0" fillId="0" borderId="24" xfId="1" applyNumberFormat="1" applyFon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5" fontId="13" fillId="0" borderId="29" xfId="0" applyNumberFormat="1" applyFont="1" applyBorder="1" applyAlignment="1">
      <alignment horizontal="center" vertical="center"/>
    </xf>
    <xf numFmtId="166" fontId="35" fillId="0" borderId="29" xfId="0" applyNumberFormat="1" applyFont="1" applyBorder="1" applyAlignment="1">
      <alignment horizontal="center" vertical="center"/>
    </xf>
    <xf numFmtId="165" fontId="13" fillId="9" borderId="29" xfId="0" applyNumberFormat="1" applyFont="1" applyFill="1" applyBorder="1" applyAlignment="1">
      <alignment horizontal="center" vertical="center"/>
    </xf>
    <xf numFmtId="166" fontId="35" fillId="9" borderId="29" xfId="0" applyNumberFormat="1" applyFont="1" applyFill="1" applyBorder="1" applyAlignment="1">
      <alignment horizontal="center" vertical="center"/>
    </xf>
    <xf numFmtId="165" fontId="13" fillId="7" borderId="29" xfId="0" applyNumberFormat="1" applyFont="1" applyFill="1" applyBorder="1" applyAlignment="1">
      <alignment horizontal="center" vertical="center"/>
    </xf>
    <xf numFmtId="166" fontId="35" fillId="7" borderId="29" xfId="0" applyNumberFormat="1" applyFont="1" applyFill="1" applyBorder="1" applyAlignment="1">
      <alignment horizontal="center" vertical="center"/>
    </xf>
    <xf numFmtId="167" fontId="0" fillId="0" borderId="29" xfId="0" applyNumberFormat="1" applyBorder="1"/>
    <xf numFmtId="165" fontId="13" fillId="7" borderId="11" xfId="0" applyNumberFormat="1" applyFont="1" applyFill="1" applyBorder="1" applyAlignment="1">
      <alignment horizontal="center" vertical="center"/>
    </xf>
    <xf numFmtId="166" fontId="35" fillId="7" borderId="11" xfId="0" applyNumberFormat="1" applyFont="1" applyFill="1" applyBorder="1" applyAlignment="1">
      <alignment horizontal="center" vertical="center"/>
    </xf>
    <xf numFmtId="167" fontId="0" fillId="0" borderId="11" xfId="0" applyNumberFormat="1" applyBorder="1"/>
    <xf numFmtId="0" fontId="4" fillId="12" borderId="8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left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vertical="center" wrapText="1"/>
    </xf>
    <xf numFmtId="164" fontId="0" fillId="15" borderId="30" xfId="0" applyNumberFormat="1" applyFill="1" applyBorder="1" applyAlignment="1">
      <alignment horizontal="center" vertical="center"/>
    </xf>
    <xf numFmtId="165" fontId="13" fillId="15" borderId="11" xfId="0" applyNumberFormat="1" applyFont="1" applyFill="1" applyBorder="1" applyAlignment="1">
      <alignment horizontal="center" vertical="center"/>
    </xf>
    <xf numFmtId="166" fontId="35" fillId="15" borderId="11" xfId="0" applyNumberFormat="1" applyFont="1" applyFill="1" applyBorder="1" applyAlignment="1">
      <alignment horizontal="center" vertical="center"/>
    </xf>
    <xf numFmtId="164" fontId="0" fillId="12" borderId="26" xfId="0" applyNumberFormat="1" applyFill="1" applyBorder="1" applyAlignment="1">
      <alignment horizontal="center" vertical="center"/>
    </xf>
    <xf numFmtId="165" fontId="13" fillId="12" borderId="27" xfId="0" applyNumberFormat="1" applyFont="1" applyFill="1" applyBorder="1" applyAlignment="1">
      <alignment horizontal="center" vertical="center"/>
    </xf>
    <xf numFmtId="166" fontId="35" fillId="12" borderId="27" xfId="0" applyNumberFormat="1" applyFont="1" applyFill="1" applyBorder="1" applyAlignment="1">
      <alignment horizontal="center" vertical="center"/>
    </xf>
    <xf numFmtId="44" fontId="1" fillId="15" borderId="9" xfId="1" applyFont="1" applyFill="1" applyBorder="1" applyAlignment="1">
      <alignment vertical="center"/>
    </xf>
    <xf numFmtId="44" fontId="3" fillId="15" borderId="9" xfId="1" applyFont="1" applyFill="1" applyBorder="1" applyAlignment="1">
      <alignment vertical="center"/>
    </xf>
    <xf numFmtId="168" fontId="13" fillId="15" borderId="9" xfId="1" applyNumberFormat="1" applyFont="1" applyFill="1" applyBorder="1" applyAlignment="1">
      <alignment vertical="center"/>
    </xf>
    <xf numFmtId="168" fontId="39" fillId="15" borderId="9" xfId="1" applyNumberFormat="1" applyFont="1" applyFill="1" applyBorder="1" applyAlignment="1">
      <alignment vertical="center"/>
    </xf>
    <xf numFmtId="165" fontId="13" fillId="7" borderId="19" xfId="0" applyNumberFormat="1" applyFont="1" applyFill="1" applyBorder="1" applyAlignment="1">
      <alignment horizontal="center" vertical="center"/>
    </xf>
    <xf numFmtId="165" fontId="13" fillId="7" borderId="13" xfId="0" applyNumberFormat="1" applyFont="1" applyFill="1" applyBorder="1" applyAlignment="1">
      <alignment horizontal="center" vertical="center"/>
    </xf>
    <xf numFmtId="165" fontId="13" fillId="7" borderId="9" xfId="1" applyNumberFormat="1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vertical="center" wrapText="1"/>
    </xf>
    <xf numFmtId="44" fontId="1" fillId="12" borderId="9" xfId="1" applyFont="1" applyFill="1" applyBorder="1" applyAlignment="1">
      <alignment vertical="center"/>
    </xf>
    <xf numFmtId="9" fontId="9" fillId="9" borderId="18" xfId="0" applyNumberFormat="1" applyFont="1" applyFill="1" applyBorder="1" applyAlignment="1">
      <alignment horizontal="center" vertical="center"/>
    </xf>
    <xf numFmtId="9" fontId="9" fillId="9" borderId="12" xfId="0" applyNumberFormat="1" applyFont="1" applyFill="1" applyBorder="1" applyAlignment="1">
      <alignment horizontal="center" vertical="center"/>
    </xf>
    <xf numFmtId="9" fontId="9" fillId="4" borderId="18" xfId="0" applyNumberFormat="1" applyFont="1" applyFill="1" applyBorder="1" applyAlignment="1">
      <alignment horizontal="center" vertical="center"/>
    </xf>
    <xf numFmtId="9" fontId="9" fillId="4" borderId="12" xfId="0" applyNumberFormat="1" applyFont="1" applyFill="1" applyBorder="1" applyAlignment="1">
      <alignment horizontal="center" vertical="center"/>
    </xf>
    <xf numFmtId="0" fontId="37" fillId="10" borderId="15" xfId="0" applyFont="1" applyFill="1" applyBorder="1" applyAlignment="1">
      <alignment horizontal="center" vertical="center" wrapText="1"/>
    </xf>
    <xf numFmtId="9" fontId="9" fillId="12" borderId="18" xfId="0" applyNumberFormat="1" applyFont="1" applyFill="1" applyBorder="1" applyAlignment="1">
      <alignment horizontal="center" vertical="center"/>
    </xf>
    <xf numFmtId="9" fontId="9" fillId="15" borderId="18" xfId="0" applyNumberFormat="1" applyFont="1" applyFill="1" applyBorder="1" applyAlignment="1">
      <alignment horizontal="center" vertical="center"/>
    </xf>
    <xf numFmtId="9" fontId="9" fillId="7" borderId="18" xfId="0" applyNumberFormat="1" applyFont="1" applyFill="1" applyBorder="1" applyAlignment="1">
      <alignment horizontal="center" vertical="center"/>
    </xf>
    <xf numFmtId="9" fontId="9" fillId="7" borderId="12" xfId="0" applyNumberFormat="1" applyFont="1" applyFill="1" applyBorder="1" applyAlignment="1">
      <alignment horizontal="center" vertical="center"/>
    </xf>
    <xf numFmtId="9" fontId="9" fillId="12" borderId="12" xfId="0" applyNumberFormat="1" applyFont="1" applyFill="1" applyBorder="1" applyAlignment="1">
      <alignment horizontal="center" vertical="center"/>
    </xf>
    <xf numFmtId="9" fontId="9" fillId="7" borderId="11" xfId="0" applyNumberFormat="1" applyFont="1" applyFill="1" applyBorder="1" applyAlignment="1">
      <alignment horizontal="center" vertical="center"/>
    </xf>
    <xf numFmtId="9" fontId="9" fillId="17" borderId="18" xfId="0" applyNumberFormat="1" applyFont="1" applyFill="1" applyBorder="1" applyAlignment="1">
      <alignment horizontal="center" vertical="center"/>
    </xf>
    <xf numFmtId="9" fontId="9" fillId="17" borderId="12" xfId="0" applyNumberFormat="1" applyFont="1" applyFill="1" applyBorder="1" applyAlignment="1">
      <alignment horizontal="center" vertical="center"/>
    </xf>
    <xf numFmtId="0" fontId="37" fillId="17" borderId="15" xfId="0" applyFont="1" applyFill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0" fontId="37" fillId="16" borderId="15" xfId="0" applyFont="1" applyFill="1" applyBorder="1" applyAlignment="1">
      <alignment horizontal="center" vertical="center" wrapText="1"/>
    </xf>
    <xf numFmtId="165" fontId="40" fillId="4" borderId="18" xfId="0" applyNumberFormat="1" applyFont="1" applyFill="1" applyBorder="1" applyAlignment="1">
      <alignment horizontal="center" vertical="center"/>
    </xf>
    <xf numFmtId="165" fontId="40" fillId="4" borderId="12" xfId="0" applyNumberFormat="1" applyFont="1" applyFill="1" applyBorder="1" applyAlignment="1">
      <alignment horizontal="center" vertical="center"/>
    </xf>
    <xf numFmtId="165" fontId="40" fillId="9" borderId="18" xfId="0" applyNumberFormat="1" applyFont="1" applyFill="1" applyBorder="1" applyAlignment="1">
      <alignment horizontal="center" vertical="center"/>
    </xf>
    <xf numFmtId="165" fontId="40" fillId="9" borderId="12" xfId="0" applyNumberFormat="1" applyFont="1" applyFill="1" applyBorder="1" applyAlignment="1">
      <alignment horizontal="center" vertical="center"/>
    </xf>
    <xf numFmtId="165" fontId="40" fillId="12" borderId="12" xfId="0" applyNumberFormat="1" applyFont="1" applyFill="1" applyBorder="1" applyAlignment="1">
      <alignment horizontal="center" vertical="center"/>
    </xf>
    <xf numFmtId="165" fontId="40" fillId="12" borderId="11" xfId="0" applyNumberFormat="1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 wrapText="1"/>
    </xf>
    <xf numFmtId="0" fontId="4" fillId="18" borderId="25" xfId="0" applyFont="1" applyFill="1" applyBorder="1" applyAlignment="1">
      <alignment horizontal="center" vertical="center" wrapText="1"/>
    </xf>
    <xf numFmtId="0" fontId="4" fillId="19" borderId="25" xfId="0" applyFont="1" applyFill="1" applyBorder="1" applyAlignment="1">
      <alignment horizontal="center" vertical="center" wrapText="1"/>
    </xf>
    <xf numFmtId="165" fontId="40" fillId="15" borderId="12" xfId="0" applyNumberFormat="1" applyFont="1" applyFill="1" applyBorder="1" applyAlignment="1">
      <alignment horizontal="center" vertical="center"/>
    </xf>
    <xf numFmtId="165" fontId="40" fillId="7" borderId="12" xfId="0" applyNumberFormat="1" applyFont="1" applyFill="1" applyBorder="1" applyAlignment="1">
      <alignment horizontal="center" vertical="center"/>
    </xf>
    <xf numFmtId="165" fontId="40" fillId="17" borderId="12" xfId="0" applyNumberFormat="1" applyFont="1" applyFill="1" applyBorder="1" applyAlignment="1">
      <alignment horizontal="center" vertical="center"/>
    </xf>
    <xf numFmtId="165" fontId="40" fillId="7" borderId="18" xfId="0" applyNumberFormat="1" applyFont="1" applyFill="1" applyBorder="1" applyAlignment="1">
      <alignment horizontal="center" vertical="center"/>
    </xf>
    <xf numFmtId="165" fontId="40" fillId="17" borderId="18" xfId="0" applyNumberFormat="1" applyFont="1" applyFill="1" applyBorder="1" applyAlignment="1">
      <alignment horizontal="center" vertical="center"/>
    </xf>
    <xf numFmtId="165" fontId="41" fillId="14" borderId="18" xfId="0" applyNumberFormat="1" applyFont="1" applyFill="1" applyBorder="1" applyAlignment="1">
      <alignment horizontal="center" vertical="center"/>
    </xf>
    <xf numFmtId="165" fontId="41" fillId="14" borderId="12" xfId="0" applyNumberFormat="1" applyFont="1" applyFill="1" applyBorder="1" applyAlignment="1">
      <alignment horizontal="center" vertical="center"/>
    </xf>
    <xf numFmtId="165" fontId="35" fillId="14" borderId="18" xfId="0" applyNumberFormat="1" applyFont="1" applyFill="1" applyBorder="1" applyAlignment="1">
      <alignment horizontal="center" vertical="center"/>
    </xf>
    <xf numFmtId="165" fontId="35" fillId="14" borderId="12" xfId="0" applyNumberFormat="1" applyFont="1" applyFill="1" applyBorder="1" applyAlignment="1">
      <alignment horizontal="center" vertical="center"/>
    </xf>
    <xf numFmtId="165" fontId="41" fillId="4" borderId="18" xfId="0" applyNumberFormat="1" applyFont="1" applyFill="1" applyBorder="1" applyAlignment="1">
      <alignment horizontal="center" vertical="center"/>
    </xf>
    <xf numFmtId="165" fontId="41" fillId="4" borderId="12" xfId="0" applyNumberFormat="1" applyFont="1" applyFill="1" applyBorder="1" applyAlignment="1">
      <alignment horizontal="center" vertical="center"/>
    </xf>
    <xf numFmtId="165" fontId="35" fillId="4" borderId="18" xfId="0" applyNumberFormat="1" applyFont="1" applyFill="1" applyBorder="1" applyAlignment="1">
      <alignment horizontal="center" vertical="center"/>
    </xf>
    <xf numFmtId="165" fontId="35" fillId="4" borderId="12" xfId="0" applyNumberFormat="1" applyFont="1" applyFill="1" applyBorder="1" applyAlignment="1">
      <alignment horizontal="center" vertical="center"/>
    </xf>
    <xf numFmtId="0" fontId="12" fillId="16" borderId="25" xfId="0" applyFont="1" applyFill="1" applyBorder="1" applyAlignment="1">
      <alignment horizontal="center" vertical="center" wrapText="1"/>
    </xf>
    <xf numFmtId="9" fontId="10" fillId="14" borderId="18" xfId="0" applyNumberFormat="1" applyFont="1" applyFill="1" applyBorder="1" applyAlignment="1">
      <alignment horizontal="center" vertical="center"/>
    </xf>
    <xf numFmtId="9" fontId="10" fillId="4" borderId="18" xfId="0" applyNumberFormat="1" applyFont="1" applyFill="1" applyBorder="1" applyAlignment="1">
      <alignment horizontal="center" vertical="center"/>
    </xf>
    <xf numFmtId="9" fontId="10" fillId="4" borderId="12" xfId="0" applyNumberFormat="1" applyFont="1" applyFill="1" applyBorder="1" applyAlignment="1">
      <alignment horizontal="center" vertical="center"/>
    </xf>
    <xf numFmtId="165" fontId="41" fillId="2" borderId="18" xfId="0" applyNumberFormat="1" applyFont="1" applyFill="1" applyBorder="1" applyAlignment="1">
      <alignment horizontal="center" vertical="center"/>
    </xf>
    <xf numFmtId="9" fontId="10" fillId="2" borderId="18" xfId="0" applyNumberFormat="1" applyFont="1" applyFill="1" applyBorder="1" applyAlignment="1">
      <alignment horizontal="center" vertical="center"/>
    </xf>
    <xf numFmtId="165" fontId="41" fillId="2" borderId="12" xfId="0" applyNumberFormat="1" applyFont="1" applyFill="1" applyBorder="1" applyAlignment="1">
      <alignment horizontal="center" vertical="center"/>
    </xf>
    <xf numFmtId="9" fontId="10" fillId="14" borderId="12" xfId="0" applyNumberFormat="1" applyFont="1" applyFill="1" applyBorder="1" applyAlignment="1">
      <alignment horizontal="center" vertical="center"/>
    </xf>
    <xf numFmtId="9" fontId="10" fillId="2" borderId="12" xfId="0" applyNumberFormat="1" applyFont="1" applyFill="1" applyBorder="1" applyAlignment="1">
      <alignment horizontal="center" vertical="center"/>
    </xf>
    <xf numFmtId="9" fontId="9" fillId="2" borderId="12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8" fillId="0" borderId="3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3" fillId="5" borderId="32" xfId="0" applyNumberFormat="1" applyFont="1" applyFill="1" applyBorder="1" applyAlignment="1">
      <alignment horizontal="center" vertical="center"/>
    </xf>
    <xf numFmtId="165" fontId="0" fillId="5" borderId="24" xfId="0" applyNumberFormat="1" applyFill="1" applyBorder="1" applyAlignment="1">
      <alignment horizontal="center" vertical="center"/>
    </xf>
    <xf numFmtId="166" fontId="0" fillId="5" borderId="24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5" fontId="0" fillId="5" borderId="2" xfId="0" applyNumberFormat="1" applyFill="1" applyBorder="1" applyAlignment="1">
      <alignment horizontal="center" vertical="center"/>
    </xf>
    <xf numFmtId="166" fontId="0" fillId="5" borderId="2" xfId="0" applyNumberFormat="1" applyFill="1" applyBorder="1" applyAlignment="1">
      <alignment horizontal="center" vertical="center"/>
    </xf>
    <xf numFmtId="165" fontId="0" fillId="5" borderId="4" xfId="0" applyNumberFormat="1" applyFill="1" applyBorder="1" applyAlignment="1">
      <alignment horizontal="center" vertical="center"/>
    </xf>
    <xf numFmtId="166" fontId="0" fillId="5" borderId="4" xfId="0" applyNumberFormat="1" applyFill="1" applyBorder="1" applyAlignment="1">
      <alignment horizontal="center" vertical="center"/>
    </xf>
    <xf numFmtId="165" fontId="0" fillId="5" borderId="16" xfId="0" applyNumberForma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 wrapText="1"/>
    </xf>
    <xf numFmtId="165" fontId="0" fillId="5" borderId="34" xfId="0" applyNumberForma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 wrapText="1"/>
    </xf>
    <xf numFmtId="165" fontId="0" fillId="5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5" fontId="0" fillId="5" borderId="7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4">
    <cellStyle name="Excel Built-in Normal" xfId="3"/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41061533974921E-2"/>
          <c:y val="0.16855647433358986"/>
          <c:w val="0.51719422572178475"/>
          <c:h val="0.65190454282152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'BIA (nVPMD)'!$D$3</c:f>
              <c:strCache>
                <c:ptCount val="1"/>
                <c:pt idx="0">
                  <c:v>LUCENTIS (ranibizumab - dávka 0,5mg)                   za 3 roky (7+5+5 až 12+12+12)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'BIA (nVPMD)'!$I$3:$K$3</c:f>
              <c:numCache>
                <c:formatCode>#,##0\ "Kč"</c:formatCode>
                <c:ptCount val="3"/>
                <c:pt idx="0">
                  <c:v>161199.14679999999</c:v>
                </c:pt>
                <c:pt idx="1">
                  <c:v>161199.14679999999</c:v>
                </c:pt>
                <c:pt idx="2">
                  <c:v>308571.13439999998</c:v>
                </c:pt>
              </c:numCache>
            </c:numRef>
          </c:xVal>
          <c:yVal>
            <c:numRef>
              <c:f>'BIA (nVPMD)'!$A$3:$C$3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9E-436B-AE00-E25C9D80539F}"/>
            </c:ext>
          </c:extLst>
        </c:ser>
        <c:ser>
          <c:idx val="1"/>
          <c:order val="1"/>
          <c:tx>
            <c:strRef>
              <c:f>'BIA (nVPMD)'!$D$4</c:f>
              <c:strCache>
                <c:ptCount val="1"/>
                <c:pt idx="0">
                  <c:v>EYLEA (aflibercept - dávka 2mg)                                           za 3 roky (7+6+6 až 10+8+8)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'BIA (nVPMD)'!$I$4:$K$4</c:f>
              <c:numCache>
                <c:formatCode>#,##0\ "Kč"</c:formatCode>
                <c:ptCount val="3"/>
                <c:pt idx="0">
                  <c:v>292258.6973</c:v>
                </c:pt>
                <c:pt idx="1">
                  <c:v>292258.6973</c:v>
                </c:pt>
                <c:pt idx="2">
                  <c:v>399932.95420000004</c:v>
                </c:pt>
              </c:numCache>
            </c:numRef>
          </c:xVal>
          <c:yVal>
            <c:numRef>
              <c:f>'BIA (nVPMD)'!$A$4:$C$4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39E-436B-AE00-E25C9D80539F}"/>
            </c:ext>
          </c:extLst>
        </c:ser>
        <c:ser>
          <c:idx val="2"/>
          <c:order val="2"/>
          <c:tx>
            <c:strRef>
              <c:f>'BIA (nVPMD)'!$D$5</c:f>
              <c:strCache>
                <c:ptCount val="1"/>
                <c:pt idx="0">
                  <c:v>BEOVU (brolucizumab - dávka 6mg)                                           za 3 roky (5+4+4 až 7+6+6)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'BIA (nVPMD)'!$I$5:$K$5</c:f>
              <c:numCache>
                <c:formatCode>#,##0\ "Kč"</c:formatCode>
                <c:ptCount val="3"/>
                <c:pt idx="0">
                  <c:v>111428.46519999999</c:v>
                </c:pt>
                <c:pt idx="1">
                  <c:v>111428.46519999999</c:v>
                </c:pt>
                <c:pt idx="2">
                  <c:v>162856.98759999999</c:v>
                </c:pt>
              </c:numCache>
            </c:numRef>
          </c:xVal>
          <c:yVal>
            <c:numRef>
              <c:f>'BIA (nVPMD)'!$A$5:$C$5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39E-436B-AE00-E25C9D80539F}"/>
            </c:ext>
          </c:extLst>
        </c:ser>
        <c:ser>
          <c:idx val="3"/>
          <c:order val="3"/>
          <c:tx>
            <c:strRef>
              <c:f>'BIA (nVPMD)'!$D$6</c:f>
              <c:strCache>
                <c:ptCount val="1"/>
                <c:pt idx="0">
                  <c:v>VABYSMO (faricimab - dávka 6mg)                                           za 3 roky (5+3+3 až 7+6+6)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'BIA (nVPMD)'!$I$6:$K$6</c:f>
              <c:numCache>
                <c:formatCode>#,##0\ "Kč"</c:formatCode>
                <c:ptCount val="3"/>
                <c:pt idx="0">
                  <c:v>203183.2</c:v>
                </c:pt>
                <c:pt idx="1">
                  <c:v>203183.2</c:v>
                </c:pt>
                <c:pt idx="2">
                  <c:v>350952.80000000005</c:v>
                </c:pt>
              </c:numCache>
            </c:numRef>
          </c:xVal>
          <c:yVal>
            <c:numRef>
              <c:f>'BIA (nVPMD)'!$A$6:$C$6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39E-436B-AE00-E25C9D80539F}"/>
            </c:ext>
          </c:extLst>
        </c:ser>
        <c:ser>
          <c:idx val="4"/>
          <c:order val="4"/>
          <c:tx>
            <c:strRef>
              <c:f>'BIA (nVPMD)'!$D$7</c:f>
              <c:strCache>
                <c:ptCount val="1"/>
                <c:pt idx="0">
                  <c:v>LUCENTIS (ranibizumab - dávka 0,5mg)             za 1. rok (7x - 12x)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'BIA (nVPMD)'!$I$7:$K$7</c:f>
              <c:numCache>
                <c:formatCode>#,##0\ "Kč"</c:formatCode>
                <c:ptCount val="3"/>
                <c:pt idx="0">
                  <c:v>64074.94279999999</c:v>
                </c:pt>
                <c:pt idx="1">
                  <c:v>64074.94279999999</c:v>
                </c:pt>
                <c:pt idx="2">
                  <c:v>102857.04479999999</c:v>
                </c:pt>
              </c:numCache>
            </c:numRef>
          </c:xVal>
          <c:yVal>
            <c:numRef>
              <c:f>'BIA (nVPMD)'!$A$7:$C$7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39E-436B-AE00-E25C9D80539F}"/>
            </c:ext>
          </c:extLst>
        </c:ser>
        <c:ser>
          <c:idx val="5"/>
          <c:order val="5"/>
          <c:tx>
            <c:strRef>
              <c:f>'BIA (nVPMD)'!$D$8</c:f>
              <c:strCache>
                <c:ptCount val="1"/>
                <c:pt idx="0">
                  <c:v>EYLEA (aflibercept - dávka 2mg)                                          za 1. rok (7x - 10x)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'BIA (nVPMD)'!$I$8:$K$8</c:f>
              <c:numCache>
                <c:formatCode>#,##0\ "Kč"</c:formatCode>
                <c:ptCount val="3"/>
                <c:pt idx="0">
                  <c:v>107674.25690000001</c:v>
                </c:pt>
                <c:pt idx="1">
                  <c:v>107674.25690000001</c:v>
                </c:pt>
                <c:pt idx="2">
                  <c:v>153820.367</c:v>
                </c:pt>
              </c:numCache>
            </c:numRef>
          </c:xVal>
          <c:yVal>
            <c:numRef>
              <c:f>'BIA (nVPMD)'!$A$8:$C$8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39E-436B-AE00-E25C9D80539F}"/>
            </c:ext>
          </c:extLst>
        </c:ser>
        <c:ser>
          <c:idx val="6"/>
          <c:order val="6"/>
          <c:tx>
            <c:strRef>
              <c:f>'BIA (nVPMD)'!$D$9</c:f>
              <c:strCache>
                <c:ptCount val="1"/>
                <c:pt idx="0">
                  <c:v>BEOVU (brolucizumab - dávka 6mg)                                           za 1. rok (5x - 7x)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'BIA (nVPMD)'!$I$9:$K$9</c:f>
              <c:numCache>
                <c:formatCode>#,##0\ "Kč"</c:formatCode>
                <c:ptCount val="3"/>
                <c:pt idx="0">
                  <c:v>42857.101999999999</c:v>
                </c:pt>
                <c:pt idx="1">
                  <c:v>42857.101999999999</c:v>
                </c:pt>
                <c:pt idx="2">
                  <c:v>59999.94279999999</c:v>
                </c:pt>
              </c:numCache>
            </c:numRef>
          </c:xVal>
          <c:yVal>
            <c:numRef>
              <c:f>'BIA (nVPMD)'!$A$9:$C$9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39E-436B-AE00-E25C9D80539F}"/>
            </c:ext>
          </c:extLst>
        </c:ser>
        <c:ser>
          <c:idx val="7"/>
          <c:order val="7"/>
          <c:tx>
            <c:strRef>
              <c:f>'BIA (nVPMD)'!$D$10</c:f>
              <c:strCache>
                <c:ptCount val="1"/>
                <c:pt idx="0">
                  <c:v>VABYSMO (faricimab - dávka 6mg)                                          za 1. rok (5x - 7x)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'BIA (nVPMD)'!$I$10:$K$10</c:f>
              <c:numCache>
                <c:formatCode>#,##0\ "Kč"</c:formatCode>
                <c:ptCount val="3"/>
                <c:pt idx="0">
                  <c:v>92356</c:v>
                </c:pt>
                <c:pt idx="1">
                  <c:v>92356</c:v>
                </c:pt>
                <c:pt idx="2">
                  <c:v>129298.40000000001</c:v>
                </c:pt>
              </c:numCache>
            </c:numRef>
          </c:xVal>
          <c:yVal>
            <c:numRef>
              <c:f>'BIA (nVPMD)'!$A$10:$C$10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39E-436B-AE00-E25C9D805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84256"/>
        <c:axId val="139585792"/>
      </c:scatterChart>
      <c:valAx>
        <c:axId val="139584256"/>
        <c:scaling>
          <c:orientation val="minMax"/>
          <c:max val="400000"/>
          <c:min val="0"/>
        </c:scaling>
        <c:delete val="0"/>
        <c:axPos val="b"/>
        <c:numFmt formatCode="#\ ##0\ &quot;Kč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9585792"/>
        <c:crosses val="autoZero"/>
        <c:crossBetween val="midCat"/>
        <c:majorUnit val="100000"/>
      </c:valAx>
      <c:valAx>
        <c:axId val="13958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9584256"/>
        <c:crossesAt val="92356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743212081307708"/>
          <c:y val="0.20737633403814568"/>
          <c:w val="0.23882217471956899"/>
          <c:h val="0.58615834360356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14430140676873E-2"/>
          <c:y val="0.16855642988309014"/>
          <c:w val="0.49603021844491663"/>
          <c:h val="0.65190454282152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'BIA (DME)'!$D$3</c:f>
              <c:strCache>
                <c:ptCount val="1"/>
                <c:pt idx="0">
                  <c:v>LUCENTIS (ranibizumab - dávka 0,5mg)                   za 3 roky (7+2+2 až 12+9+9)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'BIA (DME)'!$I$3:$K$3</c:f>
              <c:numCache>
                <c:formatCode>#,##0\ "Kč"</c:formatCode>
                <c:ptCount val="3"/>
                <c:pt idx="0">
                  <c:v>100805.62439999999</c:v>
                </c:pt>
                <c:pt idx="1">
                  <c:v>100805.62439999999</c:v>
                </c:pt>
                <c:pt idx="2">
                  <c:v>258772.61199999996</c:v>
                </c:pt>
              </c:numCache>
            </c:numRef>
          </c:xVal>
          <c:yVal>
            <c:numRef>
              <c:f>'BIA (DME)'!$A$3:$C$3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1F-4C79-82DF-0C5F0326BDF2}"/>
            </c:ext>
          </c:extLst>
        </c:ser>
        <c:ser>
          <c:idx val="1"/>
          <c:order val="1"/>
          <c:tx>
            <c:strRef>
              <c:f>'BIA (DME)'!$D$4</c:f>
              <c:strCache>
                <c:ptCount val="1"/>
                <c:pt idx="0">
                  <c:v>EYLEA (aflibercept - dávka 2mg)                                           za 3 roky (7+2+2 až 11+8+8)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'BIA (DME)'!$I$4:$K$4</c:f>
              <c:numCache>
                <c:formatCode>#,##0\ "Kč"</c:formatCode>
                <c:ptCount val="3"/>
                <c:pt idx="0">
                  <c:v>175722.40370000002</c:v>
                </c:pt>
                <c:pt idx="1">
                  <c:v>175722.40370000002</c:v>
                </c:pt>
                <c:pt idx="2">
                  <c:v>419389.99089999998</c:v>
                </c:pt>
              </c:numCache>
            </c:numRef>
          </c:xVal>
          <c:yVal>
            <c:numRef>
              <c:f>'BIA (DME)'!$A$4:$C$4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1F-4C79-82DF-0C5F0326BDF2}"/>
            </c:ext>
          </c:extLst>
        </c:ser>
        <c:ser>
          <c:idx val="2"/>
          <c:order val="2"/>
          <c:tx>
            <c:strRef>
              <c:f>'BIA (DME)'!$D$5</c:f>
              <c:strCache>
                <c:ptCount val="1"/>
                <c:pt idx="0">
                  <c:v>BEOVU (brolucizumab - dávka 6mg)                                           za 3 roky (6+4+4 až 7+6+6)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'BIA (DME)'!$I$5:$K$5</c:f>
              <c:numCache>
                <c:formatCode>#,##0\ "Kč"</c:formatCode>
                <c:ptCount val="3"/>
                <c:pt idx="0">
                  <c:v>119999.88559999998</c:v>
                </c:pt>
                <c:pt idx="1">
                  <c:v>119999.88559999998</c:v>
                </c:pt>
                <c:pt idx="2">
                  <c:v>162856.98759999999</c:v>
                </c:pt>
              </c:numCache>
            </c:numRef>
          </c:xVal>
          <c:yVal>
            <c:numRef>
              <c:f>'BIA (DME)'!$A$5:$C$5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1F-4C79-82DF-0C5F0326BDF2}"/>
            </c:ext>
          </c:extLst>
        </c:ser>
        <c:ser>
          <c:idx val="3"/>
          <c:order val="3"/>
          <c:tx>
            <c:strRef>
              <c:f>'BIA (DME)'!$D$6</c:f>
              <c:strCache>
                <c:ptCount val="1"/>
                <c:pt idx="0">
                  <c:v>VABYSMO (faricimab - dávka 6mg)                                           za 3 roky (6+3+3 až 10+6+6)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'BIA (DME)'!$I$6:$K$6</c:f>
              <c:numCache>
                <c:formatCode>#,##0\ "Kč"</c:formatCode>
                <c:ptCount val="3"/>
                <c:pt idx="0">
                  <c:v>221654.40000000002</c:v>
                </c:pt>
                <c:pt idx="1">
                  <c:v>221654.40000000002</c:v>
                </c:pt>
                <c:pt idx="2">
                  <c:v>406366.4</c:v>
                </c:pt>
              </c:numCache>
            </c:numRef>
          </c:xVal>
          <c:yVal>
            <c:numRef>
              <c:f>'BIA (DME)'!$A$6:$C$6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61F-4C79-82DF-0C5F0326BDF2}"/>
            </c:ext>
          </c:extLst>
        </c:ser>
        <c:ser>
          <c:idx val="4"/>
          <c:order val="4"/>
          <c:tx>
            <c:strRef>
              <c:f>'BIA (DME)'!$D$7</c:f>
              <c:strCache>
                <c:ptCount val="1"/>
                <c:pt idx="0">
                  <c:v>LUCENTIS (ranibizumab - dávka 0,5mg)             za 1. rok (7x - 12x)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'BIA (DME)'!$I$7:$K$7</c:f>
              <c:numCache>
                <c:formatCode>#,##0\ "Kč"</c:formatCode>
                <c:ptCount val="3"/>
                <c:pt idx="0">
                  <c:v>61629.94279999999</c:v>
                </c:pt>
                <c:pt idx="1">
                  <c:v>61629.94279999999</c:v>
                </c:pt>
                <c:pt idx="2">
                  <c:v>102857.04479999999</c:v>
                </c:pt>
              </c:numCache>
            </c:numRef>
          </c:xVal>
          <c:yVal>
            <c:numRef>
              <c:f>'BIA (DME)'!$A$7:$C$7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61F-4C79-82DF-0C5F0326BDF2}"/>
            </c:ext>
          </c:extLst>
        </c:ser>
        <c:ser>
          <c:idx val="5"/>
          <c:order val="5"/>
          <c:tx>
            <c:strRef>
              <c:f>'BIA (DME)'!$D$8</c:f>
              <c:strCache>
                <c:ptCount val="1"/>
                <c:pt idx="0">
                  <c:v>EYLEA (aflibercept - dávka 2mg)                                          za 1. rok (7x - 11x)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'BIA (DME)'!$I$8:$K$8</c:f>
              <c:numCache>
                <c:formatCode>#,##0\ "Kč"</c:formatCode>
                <c:ptCount val="3"/>
                <c:pt idx="0">
                  <c:v>109304.25690000001</c:v>
                </c:pt>
                <c:pt idx="1">
                  <c:v>109304.25690000001</c:v>
                </c:pt>
                <c:pt idx="2">
                  <c:v>170017.4037</c:v>
                </c:pt>
              </c:numCache>
            </c:numRef>
          </c:xVal>
          <c:yVal>
            <c:numRef>
              <c:f>'BIA (DME)'!$A$8:$C$8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61F-4C79-82DF-0C5F0326BDF2}"/>
            </c:ext>
          </c:extLst>
        </c:ser>
        <c:ser>
          <c:idx val="6"/>
          <c:order val="6"/>
          <c:tx>
            <c:strRef>
              <c:f>'BIA (DME)'!$D$9</c:f>
              <c:strCache>
                <c:ptCount val="1"/>
                <c:pt idx="0">
                  <c:v>BEOVU (brolucizumab - dávka 6mg)                                           za 1. rok (6x - 7x)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'BIA (DME)'!$I$9:$K$9</c:f>
              <c:numCache>
                <c:formatCode>#,##0\ "Kč"</c:formatCode>
                <c:ptCount val="3"/>
                <c:pt idx="0">
                  <c:v>51428.522399999994</c:v>
                </c:pt>
                <c:pt idx="1">
                  <c:v>51428.522399999994</c:v>
                </c:pt>
                <c:pt idx="2">
                  <c:v>59999.94279999999</c:v>
                </c:pt>
              </c:numCache>
            </c:numRef>
          </c:xVal>
          <c:yVal>
            <c:numRef>
              <c:f>'BIA (DME)'!$A$9:$C$9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61F-4C79-82DF-0C5F0326BDF2}"/>
            </c:ext>
          </c:extLst>
        </c:ser>
        <c:ser>
          <c:idx val="7"/>
          <c:order val="7"/>
          <c:tx>
            <c:strRef>
              <c:f>'BIA (DME)'!$D$10</c:f>
              <c:strCache>
                <c:ptCount val="1"/>
                <c:pt idx="0">
                  <c:v>VABYSMO (faricimab - dávka 6mg)                                          za 1. rok (6x - 10x)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'BIA (DME)'!$I$10:$K$10</c:f>
              <c:numCache>
                <c:formatCode>#,##0\ "Kč"</c:formatCode>
                <c:ptCount val="3"/>
                <c:pt idx="0">
                  <c:v>110827.20000000001</c:v>
                </c:pt>
                <c:pt idx="1">
                  <c:v>110827.20000000001</c:v>
                </c:pt>
                <c:pt idx="2">
                  <c:v>184712</c:v>
                </c:pt>
              </c:numCache>
            </c:numRef>
          </c:xVal>
          <c:yVal>
            <c:numRef>
              <c:f>'BIA (DME)'!$A$10:$C$10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61F-4C79-82DF-0C5F0326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48096"/>
        <c:axId val="143762176"/>
      </c:scatterChart>
      <c:valAx>
        <c:axId val="143748096"/>
        <c:scaling>
          <c:orientation val="minMax"/>
          <c:max val="500000"/>
          <c:min val="0"/>
        </c:scaling>
        <c:delete val="0"/>
        <c:axPos val="b"/>
        <c:numFmt formatCode="#\ ##0\ &quot;Kč&quot;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3762176"/>
        <c:crosses val="autoZero"/>
        <c:crossBetween val="midCat"/>
        <c:majorUnit val="100000"/>
      </c:valAx>
      <c:valAx>
        <c:axId val="143762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3748096"/>
        <c:crossesAt val="92356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743212081307708"/>
          <c:y val="0.20737633403814568"/>
          <c:w val="0.23882217471956899"/>
          <c:h val="0.58615834360356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2" Type="http://schemas.openxmlformats.org/officeDocument/2006/relationships/image" Target="../media/image42.png"/><Relationship Id="rId1" Type="http://schemas.openxmlformats.org/officeDocument/2006/relationships/image" Target="../media/image41.png"/><Relationship Id="rId5" Type="http://schemas.openxmlformats.org/officeDocument/2006/relationships/image" Target="../media/image45.png"/><Relationship Id="rId4" Type="http://schemas.openxmlformats.org/officeDocument/2006/relationships/image" Target="../media/image4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3" Type="http://schemas.openxmlformats.org/officeDocument/2006/relationships/image" Target="../media/image48.png"/><Relationship Id="rId7" Type="http://schemas.openxmlformats.org/officeDocument/2006/relationships/image" Target="../media/image52.png"/><Relationship Id="rId2" Type="http://schemas.openxmlformats.org/officeDocument/2006/relationships/image" Target="../media/image47.png"/><Relationship Id="rId1" Type="http://schemas.openxmlformats.org/officeDocument/2006/relationships/image" Target="../media/image46.png"/><Relationship Id="rId6" Type="http://schemas.openxmlformats.org/officeDocument/2006/relationships/image" Target="../media/image51.png"/><Relationship Id="rId5" Type="http://schemas.openxmlformats.org/officeDocument/2006/relationships/image" Target="../media/image50.png"/><Relationship Id="rId10" Type="http://schemas.openxmlformats.org/officeDocument/2006/relationships/image" Target="../media/image55.png"/><Relationship Id="rId4" Type="http://schemas.openxmlformats.org/officeDocument/2006/relationships/image" Target="../media/image49.png"/><Relationship Id="rId9" Type="http://schemas.openxmlformats.org/officeDocument/2006/relationships/image" Target="../media/image5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52914</xdr:colOff>
      <xdr:row>23</xdr:row>
      <xdr:rowOff>42334</xdr:rowOff>
    </xdr:from>
    <xdr:to>
      <xdr:col>9</xdr:col>
      <xdr:colOff>0</xdr:colOff>
      <xdr:row>33</xdr:row>
      <xdr:rowOff>42333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43414" y="11980334"/>
          <a:ext cx="10583336" cy="15451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Anti-VEGF přípravky mohou být u nVPMD aplikovány buď: </a:t>
          </a:r>
          <a:r>
            <a:rPr lang="cs-CZ" sz="1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pevných (fixních) minimálně /maximálně doporučených (dle SPC daného anti-VEGF přípravku) intervalech (dle aktivity onemocnění) nebo ● adaptivním způsobem, ten může být dvojí: v případě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re nata přístupu (tzv. PRN, někdy nazýván také jako „reaktivní“ režim</a:t>
          </a:r>
          <a:r>
            <a:rPr lang="cs-CZ" sz="100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pacient přichází na kontroly v pevně stanovených intervalech, ale léčba je podávána pouze v případě, že je detekována aktivita onemocnění (viz  pozn. 5). V případě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treat-and-extend přístupu (tzv. TaE, někdy nazýván také jako „proaktivní“ režim</a:t>
          </a:r>
          <a:r>
            <a:rPr lang="cs-CZ" sz="100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pacient dostane anti-VEGF přípravek při každé kontrole, ale interval další kontroly se event. zkrátí či prodlouží podle anatomických a/nebo zrakových parametrů výsledků kontroly (viz výše pozn. 5).</a:t>
          </a:r>
        </a:p>
        <a:p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Dle: https://en.wikipedia.org/w/index.php?title=Macular_degeneration&amp;oldid=1127887761 ze dne 30.12.2022</a:t>
          </a:r>
        </a:p>
        <a:p>
          <a:endParaRPr lang="cs-CZ" sz="3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Anti-VEGF přípravky mohou být u DME aplikovány buď: 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v pevných (fixních) minimálně /maximálně doporučených (dle SPC daného anti-VEGF přípravku) intervalech (dle aktivity onemocnění) nebo ● adaptivním způsobem: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režim z DRCR.net studie</a:t>
          </a:r>
          <a:r>
            <a:rPr lang="cs-CZ" sz="100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92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(tzv. Protocol T - pro aflibercept a ranibizumab</a:t>
          </a:r>
          <a:r>
            <a:rPr lang="cs-CZ" sz="1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– viz Příloha č. 15, 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treat-and-extend přístupu (tzv. TaE, někdy nazýván také jako „proaktivní“ režim</a:t>
          </a:r>
          <a:r>
            <a:rPr lang="cs-CZ" sz="1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cs-CZ" sz="10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cs-CZ" sz="1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pacient dostane anti-VEGF přípravek při každé kontrole, ale interval další kontroly se event. zkrátí či prodlouží podle anatomických a/nebo zrakových parametrů výsledků kontroly</a:t>
          </a:r>
          <a:r>
            <a:rPr lang="cs-CZ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faricimabu také tzv. PTI režim</a:t>
          </a:r>
          <a:r>
            <a:rPr lang="cs-CZ" sz="100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113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cs-CZ" sz="1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viz také Příloha č. 16.</a:t>
          </a:r>
          <a:endParaRPr lang="cs-CZ" sz="1000" b="1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409574</xdr:colOff>
      <xdr:row>0</xdr:row>
      <xdr:rowOff>242886</xdr:rowOff>
    </xdr:from>
    <xdr:to>
      <xdr:col>27</xdr:col>
      <xdr:colOff>104774</xdr:colOff>
      <xdr:row>15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479423</xdr:colOff>
      <xdr:row>11</xdr:row>
      <xdr:rowOff>89958</xdr:rowOff>
    </xdr:from>
    <xdr:to>
      <xdr:col>22</xdr:col>
      <xdr:colOff>285750</xdr:colOff>
      <xdr:row>13</xdr:row>
      <xdr:rowOff>159809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080123" y="4585758"/>
          <a:ext cx="5292727" cy="412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cs-CZ" sz="9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kolik Kč vynaložím  za LP + další zdrav. náklady</a:t>
          </a:r>
          <a:r>
            <a:rPr lang="cs-CZ" sz="900" b="1" i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123</a:t>
          </a:r>
          <a:r>
            <a:rPr lang="cs-CZ" sz="9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1. rok, resp. celé 3 roky léčby anti-VEGF u nVPMD</a:t>
          </a:r>
          <a:endParaRPr lang="cs-CZ" sz="1100"/>
        </a:p>
      </xdr:txBody>
    </xdr:sp>
    <xdr:clientData/>
  </xdr:twoCellAnchor>
  <xdr:twoCellAnchor>
    <xdr:from>
      <xdr:col>26</xdr:col>
      <xdr:colOff>485775</xdr:colOff>
      <xdr:row>27</xdr:row>
      <xdr:rowOff>76200</xdr:rowOff>
    </xdr:from>
    <xdr:to>
      <xdr:col>27</xdr:col>
      <xdr:colOff>561976</xdr:colOff>
      <xdr:row>29</xdr:row>
      <xdr:rowOff>57150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 flipH="1" flipV="1">
          <a:off x="13849350" y="5467350"/>
          <a:ext cx="771526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466725</xdr:colOff>
      <xdr:row>29</xdr:row>
      <xdr:rowOff>85725</xdr:rowOff>
    </xdr:from>
    <xdr:to>
      <xdr:col>27</xdr:col>
      <xdr:colOff>571500</xdr:colOff>
      <xdr:row>32</xdr:row>
      <xdr:rowOff>95250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 flipH="1">
          <a:off x="13830300" y="5800725"/>
          <a:ext cx="80010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542925</xdr:colOff>
      <xdr:row>29</xdr:row>
      <xdr:rowOff>152400</xdr:rowOff>
    </xdr:from>
    <xdr:to>
      <xdr:col>28</xdr:col>
      <xdr:colOff>66675</xdr:colOff>
      <xdr:row>31</xdr:row>
      <xdr:rowOff>76200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H="1" flipV="1">
          <a:off x="10858500" y="5867400"/>
          <a:ext cx="3876675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27</xdr:row>
      <xdr:rowOff>38100</xdr:rowOff>
    </xdr:from>
    <xdr:to>
      <xdr:col>15</xdr:col>
      <xdr:colOff>304800</xdr:colOff>
      <xdr:row>31</xdr:row>
      <xdr:rowOff>171450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 flipV="1">
          <a:off x="4381500" y="5429250"/>
          <a:ext cx="2581275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27</xdr:row>
      <xdr:rowOff>161925</xdr:rowOff>
    </xdr:from>
    <xdr:to>
      <xdr:col>14</xdr:col>
      <xdr:colOff>28575</xdr:colOff>
      <xdr:row>31</xdr:row>
      <xdr:rowOff>104776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 flipV="1">
          <a:off x="4391025" y="5553075"/>
          <a:ext cx="1685925" cy="6477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30</xdr:row>
      <xdr:rowOff>114300</xdr:rowOff>
    </xdr:from>
    <xdr:to>
      <xdr:col>14</xdr:col>
      <xdr:colOff>342900</xdr:colOff>
      <xdr:row>32</xdr:row>
      <xdr:rowOff>76200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 flipV="1">
          <a:off x="4391025" y="6019800"/>
          <a:ext cx="20002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27</xdr:row>
      <xdr:rowOff>28575</xdr:rowOff>
    </xdr:from>
    <xdr:to>
      <xdr:col>17</xdr:col>
      <xdr:colOff>409575</xdr:colOff>
      <xdr:row>32</xdr:row>
      <xdr:rowOff>19050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 flipV="1">
          <a:off x="4381500" y="5419725"/>
          <a:ext cx="3905250" cy="885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33</xdr:row>
      <xdr:rowOff>76200</xdr:rowOff>
    </xdr:from>
    <xdr:to>
      <xdr:col>18</xdr:col>
      <xdr:colOff>209550</xdr:colOff>
      <xdr:row>35</xdr:row>
      <xdr:rowOff>85725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 flipV="1">
          <a:off x="4257675" y="6553200"/>
          <a:ext cx="443865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504825</xdr:colOff>
      <xdr:row>2</xdr:row>
      <xdr:rowOff>419100</xdr:rowOff>
    </xdr:from>
    <xdr:to>
      <xdr:col>17</xdr:col>
      <xdr:colOff>542925</xdr:colOff>
      <xdr:row>10</xdr:row>
      <xdr:rowOff>0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8543925" y="1133475"/>
          <a:ext cx="38100" cy="3228975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409574</xdr:colOff>
      <xdr:row>6</xdr:row>
      <xdr:rowOff>207168</xdr:rowOff>
    </xdr:from>
    <xdr:to>
      <xdr:col>27</xdr:col>
      <xdr:colOff>104774</xdr:colOff>
      <xdr:row>6</xdr:row>
      <xdr:rowOff>207168</xdr:rowOff>
    </xdr:to>
    <xdr:cxnSp macro="">
      <xdr:nvCxnSpPr>
        <xdr:cNvPr id="15" name="Přímá spojnice 14">
          <a:extLst>
            <a:ext uri="{FF2B5EF4-FFF2-40B4-BE49-F238E27FC236}">
              <a16:creationId xmlns:a16="http://schemas.microsoft.com/office/drawing/2014/main" xmlns="" id="{EA13E1E7-91F8-4398-98C8-7D6C34D754F1}"/>
            </a:ext>
          </a:extLst>
        </xdr:cNvPr>
        <xdr:cNvCxnSpPr>
          <a:stCxn id="2" idx="1"/>
          <a:endCxn id="2" idx="3"/>
        </xdr:cNvCxnSpPr>
      </xdr:nvCxnSpPr>
      <xdr:spPr>
        <a:xfrm>
          <a:off x="6010274" y="2759868"/>
          <a:ext cx="8315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533400</xdr:colOff>
      <xdr:row>6</xdr:row>
      <xdr:rowOff>257175</xdr:rowOff>
    </xdr:from>
    <xdr:to>
      <xdr:col>15</xdr:col>
      <xdr:colOff>552450</xdr:colOff>
      <xdr:row>10</xdr:row>
      <xdr:rowOff>9525</xdr:rowOff>
    </xdr:to>
    <xdr:cxnSp macro="">
      <xdr:nvCxnSpPr>
        <xdr:cNvPr id="21" name="Přímá spojnice 20">
          <a:extLst>
            <a:ext uri="{FF2B5EF4-FFF2-40B4-BE49-F238E27FC236}">
              <a16:creationId xmlns:a16="http://schemas.microsoft.com/office/drawing/2014/main" xmlns="" id="{ADC4D2B2-AC7B-402C-8BC0-C2EEC1C82CB1}"/>
            </a:ext>
          </a:extLst>
        </xdr:cNvPr>
        <xdr:cNvCxnSpPr/>
      </xdr:nvCxnSpPr>
      <xdr:spPr>
        <a:xfrm>
          <a:off x="7353300" y="2809875"/>
          <a:ext cx="19050" cy="156210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466724</xdr:colOff>
      <xdr:row>3</xdr:row>
      <xdr:rowOff>352425</xdr:rowOff>
    </xdr:from>
    <xdr:to>
      <xdr:col>15</xdr:col>
      <xdr:colOff>419099</xdr:colOff>
      <xdr:row>5</xdr:row>
      <xdr:rowOff>57150</xdr:rowOff>
    </xdr:to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699518BD-4269-4B71-8910-9AFC8F25FAC8}"/>
            </a:ext>
          </a:extLst>
        </xdr:cNvPr>
        <xdr:cNvSpPr txBox="1"/>
      </xdr:nvSpPr>
      <xdr:spPr>
        <a:xfrm>
          <a:off x="6067424" y="1533525"/>
          <a:ext cx="11715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600" b="1">
              <a:solidFill>
                <a:srgbClr val="00B050"/>
              </a:solidFill>
            </a:rPr>
            <a:t>CELKEM ZA            3 ROKY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0.12715</cdr:x>
      <cdr:y>0.00573</cdr:y>
    </cdr:from>
    <cdr:to>
      <cdr:x>0.93929</cdr:x>
      <cdr:y>0.09934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xmlns="" id="{88E48D18-11FD-47B2-9A01-78A1F9D3011C}"/>
            </a:ext>
          </a:extLst>
        </cdr:cNvPr>
        <cdr:cNvSpPr txBox="1"/>
      </cdr:nvSpPr>
      <cdr:spPr>
        <a:xfrm xmlns:a="http://schemas.openxmlformats.org/drawingml/2006/main">
          <a:off x="1057276" y="28845"/>
          <a:ext cx="6753225" cy="471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100" b="1" u="sng">
              <a:effectLst/>
              <a:latin typeface="+mn-lt"/>
              <a:ea typeface="+mn-ea"/>
              <a:cs typeface="+mn-cs"/>
            </a:rPr>
            <a:t>Srovnání nákladů (za LP + další náklady</a:t>
          </a:r>
          <a:r>
            <a:rPr lang="cs-CZ" sz="1100" b="1" u="sng" baseline="30000">
              <a:effectLst/>
              <a:latin typeface="+mn-lt"/>
              <a:ea typeface="+mn-ea"/>
              <a:cs typeface="+mn-cs"/>
            </a:rPr>
            <a:t>123</a:t>
          </a:r>
          <a:r>
            <a:rPr lang="cs-CZ" sz="1100" b="1" u="sng">
              <a:effectLst/>
              <a:latin typeface="+mn-lt"/>
              <a:ea typeface="+mn-ea"/>
              <a:cs typeface="+mn-cs"/>
            </a:rPr>
            <a:t>) anti-VEGF</a:t>
          </a:r>
          <a:r>
            <a:rPr lang="cs-CZ" sz="1100" b="1" u="sng" baseline="0">
              <a:effectLst/>
              <a:latin typeface="+mn-lt"/>
              <a:ea typeface="+mn-ea"/>
              <a:cs typeface="+mn-cs"/>
            </a:rPr>
            <a:t> u nVPMD na 1 pac. za 1. rok léčby a za celé 3 roky léčby </a:t>
          </a:r>
          <a:r>
            <a:rPr lang="cs-CZ" sz="1100" b="1" baseline="0">
              <a:effectLst/>
              <a:latin typeface="+mn-lt"/>
              <a:ea typeface="+mn-ea"/>
              <a:cs typeface="+mn-cs"/>
            </a:rPr>
            <a:t>(počítáno bez diskontace a při stejných jednot. nákladech po celé 3 roky)</a:t>
          </a:r>
          <a:endParaRPr lang="cs-CZ" sz="1100"/>
        </a:p>
      </cdr:txBody>
    </cdr:sp>
  </cdr:relSizeAnchor>
  <cdr:relSizeAnchor xmlns:cdr="http://schemas.openxmlformats.org/drawingml/2006/chartDrawing">
    <cdr:from>
      <cdr:x>0.74934</cdr:x>
      <cdr:y>0.7105</cdr:y>
    </cdr:from>
    <cdr:to>
      <cdr:x>0.98167</cdr:x>
      <cdr:y>0.78997</cdr:y>
    </cdr:to>
    <cdr:sp macro="" textlink="">
      <cdr:nvSpPr>
        <cdr:cNvPr id="3" name="Ovál 2">
          <a:extLst xmlns:a="http://schemas.openxmlformats.org/drawingml/2006/main">
            <a:ext uri="{FF2B5EF4-FFF2-40B4-BE49-F238E27FC236}">
              <a16:creationId xmlns:a16="http://schemas.microsoft.com/office/drawing/2014/main" xmlns="" id="{D8E4FD0E-0204-413B-8037-DB1D46D0FE6C}"/>
            </a:ext>
          </a:extLst>
        </cdr:cNvPr>
        <cdr:cNvSpPr/>
      </cdr:nvSpPr>
      <cdr:spPr>
        <a:xfrm xmlns:a="http://schemas.openxmlformats.org/drawingml/2006/main">
          <a:off x="6230986" y="3576638"/>
          <a:ext cx="1931940" cy="40003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0.75181</cdr:x>
      <cdr:y>0.42479</cdr:y>
    </cdr:from>
    <cdr:to>
      <cdr:x>0.98415</cdr:x>
      <cdr:y>0.49637</cdr:y>
    </cdr:to>
    <cdr:sp macro="" textlink="">
      <cdr:nvSpPr>
        <cdr:cNvPr id="4" name="Ovál 3">
          <a:extLst xmlns:a="http://schemas.openxmlformats.org/drawingml/2006/main">
            <a:ext uri="{FF2B5EF4-FFF2-40B4-BE49-F238E27FC236}">
              <a16:creationId xmlns:a16="http://schemas.microsoft.com/office/drawing/2014/main" xmlns="" id="{AD79505C-9360-4DE2-B4DD-25570ECD4C83}"/>
            </a:ext>
          </a:extLst>
        </cdr:cNvPr>
        <cdr:cNvSpPr/>
      </cdr:nvSpPr>
      <cdr:spPr>
        <a:xfrm xmlns:a="http://schemas.openxmlformats.org/drawingml/2006/main">
          <a:off x="6251575" y="2138364"/>
          <a:ext cx="1931940" cy="360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0.56625</cdr:x>
      <cdr:y>0.1293</cdr:y>
    </cdr:from>
    <cdr:to>
      <cdr:x>0.74685</cdr:x>
      <cdr:y>0.7597</cdr:y>
    </cdr:to>
    <cdr:sp macro="" textlink="">
      <cdr:nvSpPr>
        <cdr:cNvPr id="6" name="TextovéPole 4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600-000005000000}"/>
            </a:ext>
          </a:extLst>
        </cdr:cNvPr>
        <cdr:cNvSpPr txBox="1"/>
      </cdr:nvSpPr>
      <cdr:spPr>
        <a:xfrm xmlns:a="http://schemas.openxmlformats.org/drawingml/2006/main">
          <a:off x="4708525" y="650875"/>
          <a:ext cx="1501776" cy="31734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0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000" b="1"/>
            <a:t>           </a:t>
          </a:r>
          <a:r>
            <a:rPr lang="cs-CZ" sz="1000" b="1" u="sng"/>
            <a:t>NÁKLADY</a:t>
          </a:r>
          <a:r>
            <a:rPr lang="cs-CZ" sz="1000" b="1"/>
            <a:t>                            </a:t>
          </a:r>
          <a:r>
            <a:rPr lang="cs-CZ" sz="900" b="1"/>
            <a:t>(rozmezí dle počtu injekcí)</a:t>
          </a:r>
        </a:p>
        <a:p xmlns:a="http://schemas.openxmlformats.org/drawingml/2006/main">
          <a:endParaRPr lang="cs-CZ" sz="600" b="1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/>
            <a:t>  </a:t>
          </a:r>
          <a:r>
            <a:rPr lang="cs-CZ" sz="1000" b="1">
              <a:latin typeface="+mn-lt"/>
            </a:rPr>
            <a:t>161.199</a:t>
          </a:r>
          <a:r>
            <a:rPr lang="cs-CZ" sz="1000" b="1" baseline="0">
              <a:latin typeface="+mn-lt"/>
            </a:rPr>
            <a:t> Kč - 308.571 Kč</a:t>
          </a:r>
          <a:endParaRPr lang="cs-CZ" sz="1000" b="1">
            <a:effectLst/>
            <a:latin typeface="+mn-lt"/>
          </a:endParaRPr>
        </a:p>
        <a:p xmlns:a="http://schemas.openxmlformats.org/drawingml/2006/main">
          <a:endParaRPr lang="cs-CZ" sz="1400" b="1">
            <a:latin typeface="+mn-lt"/>
          </a:endParaRPr>
        </a:p>
        <a:p xmlns:a="http://schemas.openxmlformats.org/drawingml/2006/main">
          <a:r>
            <a:rPr lang="cs-CZ" sz="1000" b="1">
              <a:latin typeface="+mn-lt"/>
            </a:rPr>
            <a:t>  292.259 Kč - 399.933 Kč</a:t>
          </a:r>
        </a:p>
        <a:p xmlns:a="http://schemas.openxmlformats.org/drawingml/2006/main">
          <a:endParaRPr lang="cs-CZ" sz="1200" b="1">
            <a:latin typeface="+mn-lt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latin typeface="+mn-lt"/>
            </a:rPr>
            <a:t>  111.428 Kč - 162.857 Kč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000" b="1">
            <a:effectLst/>
            <a:latin typeface="+mn-lt"/>
          </a:endParaRPr>
        </a:p>
        <a:p xmlns:a="http://schemas.openxmlformats.org/drawingml/2006/main">
          <a:endParaRPr lang="cs-CZ" sz="1400" b="1">
            <a:latin typeface="+mn-lt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effectLst/>
              <a:latin typeface="+mn-lt"/>
            </a:rPr>
            <a:t>  203.183 Kč - 350.953</a:t>
          </a:r>
          <a:r>
            <a:rPr lang="cs-CZ" sz="1000" b="1" baseline="0">
              <a:effectLst/>
              <a:latin typeface="+mn-lt"/>
            </a:rPr>
            <a:t> Kč</a:t>
          </a:r>
          <a:endParaRPr lang="cs-CZ" sz="1000" b="1">
            <a:effectLst/>
            <a:latin typeface="+mn-lt"/>
          </a:endParaRPr>
        </a:p>
        <a:p xmlns:a="http://schemas.openxmlformats.org/drawingml/2006/main">
          <a:endParaRPr lang="cs-CZ" sz="1400" b="1">
            <a:latin typeface="+mn-lt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latin typeface="+mn-lt"/>
            </a:rPr>
            <a:t>   64.075 Kč - 102.857 Kč</a:t>
          </a:r>
          <a:endParaRPr lang="cs-CZ" sz="1000" b="1">
            <a:effectLst/>
            <a:latin typeface="+mn-lt"/>
          </a:endParaRPr>
        </a:p>
        <a:p xmlns:a="http://schemas.openxmlformats.org/drawingml/2006/main">
          <a:endParaRPr lang="cs-CZ" sz="1500" b="1">
            <a:latin typeface="+mn-lt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effectLst/>
              <a:latin typeface="+mn-lt"/>
            </a:rPr>
            <a:t>  107.674 Kč - 153.820 Kč</a:t>
          </a:r>
        </a:p>
        <a:p xmlns:a="http://schemas.openxmlformats.org/drawingml/2006/main">
          <a:endParaRPr lang="cs-CZ" sz="1200" b="1">
            <a:latin typeface="+mn-lt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42.857 Kč - 60.000 Kč</a:t>
          </a:r>
          <a:endParaRPr lang="cs-CZ" sz="1000" b="1">
            <a:effectLst/>
            <a:latin typeface="+mn-lt"/>
          </a:endParaRPr>
        </a:p>
        <a:p xmlns:a="http://schemas.openxmlformats.org/drawingml/2006/main">
          <a:endParaRPr lang="cs-CZ" sz="1400" b="1">
            <a:latin typeface="+mn-lt"/>
          </a:endParaRPr>
        </a:p>
        <a:p xmlns:a="http://schemas.openxmlformats.org/drawingml/2006/main">
          <a:r>
            <a:rPr lang="cs-CZ" sz="1000" b="1">
              <a:latin typeface="+mn-lt"/>
            </a:rPr>
            <a:t>    92.356 Kč - 129.298 Kč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cdr:txBody>
    </cdr:sp>
  </cdr:relSizeAnchor>
  <cdr:relSizeAnchor xmlns:cdr="http://schemas.openxmlformats.org/drawingml/2006/chartDrawing">
    <cdr:from>
      <cdr:x>0.01184</cdr:x>
      <cdr:y>0.56638</cdr:y>
    </cdr:from>
    <cdr:to>
      <cdr:x>0.14929</cdr:x>
      <cdr:y>0.65153</cdr:y>
    </cdr:to>
    <cdr:sp macro="" textlink="">
      <cdr:nvSpPr>
        <cdr:cNvPr id="7" name="TextovéPole 23">
          <a:extLst xmlns:a="http://schemas.openxmlformats.org/drawingml/2006/main">
            <a:ext uri="{FF2B5EF4-FFF2-40B4-BE49-F238E27FC236}">
              <a16:creationId xmlns:a16="http://schemas.microsoft.com/office/drawing/2014/main" xmlns="" id="{699518BD-4269-4B71-8910-9AFC8F25FAC8}"/>
            </a:ext>
          </a:extLst>
        </cdr:cNvPr>
        <cdr:cNvSpPr txBox="1"/>
      </cdr:nvSpPr>
      <cdr:spPr>
        <a:xfrm xmlns:a="http://schemas.openxmlformats.org/drawingml/2006/main">
          <a:off x="98425" y="2851150"/>
          <a:ext cx="1143000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600" b="1">
              <a:solidFill>
                <a:srgbClr val="00B050"/>
              </a:solidFill>
            </a:rPr>
            <a:t>ZA 1. ROK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242886</xdr:rowOff>
    </xdr:from>
    <xdr:to>
      <xdr:col>27</xdr:col>
      <xdr:colOff>104775</xdr:colOff>
      <xdr:row>15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D56FCAF5-ADF0-4185-A6CC-8810513F8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250823</xdr:colOff>
      <xdr:row>11</xdr:row>
      <xdr:rowOff>99483</xdr:rowOff>
    </xdr:from>
    <xdr:to>
      <xdr:col>22</xdr:col>
      <xdr:colOff>57150</xdr:colOff>
      <xdr:row>13</xdr:row>
      <xdr:rowOff>169334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BC938073-7924-47B6-9CC0-24D08BC08A9B}"/>
            </a:ext>
          </a:extLst>
        </xdr:cNvPr>
        <xdr:cNvSpPr txBox="1"/>
      </xdr:nvSpPr>
      <xdr:spPr>
        <a:xfrm>
          <a:off x="5851523" y="4595283"/>
          <a:ext cx="5292727" cy="412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cs-CZ" sz="9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kolik Kč vynaložím  za LP + další zdrav. náklady</a:t>
          </a:r>
          <a:r>
            <a:rPr lang="cs-CZ" sz="900" b="1" i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123</a:t>
          </a:r>
          <a:r>
            <a:rPr lang="cs-CZ" sz="9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1. rok, resp. celé 3 roky léčby anti-VEGF u DME</a:t>
          </a:r>
          <a:endParaRPr lang="cs-CZ" sz="1100"/>
        </a:p>
      </xdr:txBody>
    </xdr:sp>
    <xdr:clientData/>
  </xdr:twoCellAnchor>
  <xdr:twoCellAnchor>
    <xdr:from>
      <xdr:col>26</xdr:col>
      <xdr:colOff>485775</xdr:colOff>
      <xdr:row>27</xdr:row>
      <xdr:rowOff>76200</xdr:rowOff>
    </xdr:from>
    <xdr:to>
      <xdr:col>27</xdr:col>
      <xdr:colOff>561976</xdr:colOff>
      <xdr:row>29</xdr:row>
      <xdr:rowOff>57150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xmlns="" id="{97B9EE2F-58A2-4FDC-9654-B2AD1ADC51D0}"/>
            </a:ext>
          </a:extLst>
        </xdr:cNvPr>
        <xdr:cNvCxnSpPr/>
      </xdr:nvCxnSpPr>
      <xdr:spPr>
        <a:xfrm flipH="1" flipV="1">
          <a:off x="14011275" y="7581900"/>
          <a:ext cx="771526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466725</xdr:colOff>
      <xdr:row>29</xdr:row>
      <xdr:rowOff>85725</xdr:rowOff>
    </xdr:from>
    <xdr:to>
      <xdr:col>27</xdr:col>
      <xdr:colOff>571500</xdr:colOff>
      <xdr:row>32</xdr:row>
      <xdr:rowOff>95250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xmlns="" id="{0CA8393A-F8AB-4213-96C6-24AF5951EE03}"/>
            </a:ext>
          </a:extLst>
        </xdr:cNvPr>
        <xdr:cNvCxnSpPr/>
      </xdr:nvCxnSpPr>
      <xdr:spPr>
        <a:xfrm flipH="1">
          <a:off x="13992225" y="7915275"/>
          <a:ext cx="80010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542925</xdr:colOff>
      <xdr:row>29</xdr:row>
      <xdr:rowOff>152400</xdr:rowOff>
    </xdr:from>
    <xdr:to>
      <xdr:col>28</xdr:col>
      <xdr:colOff>66675</xdr:colOff>
      <xdr:row>31</xdr:row>
      <xdr:rowOff>76200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xmlns="" id="{15E86748-E679-46AD-BCD2-B386DD56D96F}"/>
            </a:ext>
          </a:extLst>
        </xdr:cNvPr>
        <xdr:cNvCxnSpPr/>
      </xdr:nvCxnSpPr>
      <xdr:spPr>
        <a:xfrm flipH="1" flipV="1">
          <a:off x="11020425" y="7981950"/>
          <a:ext cx="3876675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27</xdr:row>
      <xdr:rowOff>38100</xdr:rowOff>
    </xdr:from>
    <xdr:to>
      <xdr:col>15</xdr:col>
      <xdr:colOff>304800</xdr:colOff>
      <xdr:row>31</xdr:row>
      <xdr:rowOff>171450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xmlns="" id="{68D7C292-ACFF-40EB-AAB6-3B957F33C4AC}"/>
            </a:ext>
          </a:extLst>
        </xdr:cNvPr>
        <xdr:cNvCxnSpPr/>
      </xdr:nvCxnSpPr>
      <xdr:spPr>
        <a:xfrm flipV="1">
          <a:off x="4543425" y="7543800"/>
          <a:ext cx="2581275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27</xdr:row>
      <xdr:rowOff>161925</xdr:rowOff>
    </xdr:from>
    <xdr:to>
      <xdr:col>14</xdr:col>
      <xdr:colOff>28575</xdr:colOff>
      <xdr:row>31</xdr:row>
      <xdr:rowOff>104776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xmlns="" id="{6150E69B-BD48-40A3-8962-E02DACB7FFF6}"/>
            </a:ext>
          </a:extLst>
        </xdr:cNvPr>
        <xdr:cNvCxnSpPr/>
      </xdr:nvCxnSpPr>
      <xdr:spPr>
        <a:xfrm flipV="1">
          <a:off x="4552950" y="7667625"/>
          <a:ext cx="1685925" cy="6477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30</xdr:row>
      <xdr:rowOff>114300</xdr:rowOff>
    </xdr:from>
    <xdr:to>
      <xdr:col>14</xdr:col>
      <xdr:colOff>342900</xdr:colOff>
      <xdr:row>32</xdr:row>
      <xdr:rowOff>76200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xmlns="" id="{84E1B19B-7AD3-46A2-81DF-41BD7C82A17D}"/>
            </a:ext>
          </a:extLst>
        </xdr:cNvPr>
        <xdr:cNvCxnSpPr/>
      </xdr:nvCxnSpPr>
      <xdr:spPr>
        <a:xfrm flipV="1">
          <a:off x="4552950" y="8134350"/>
          <a:ext cx="20002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438150</xdr:colOff>
      <xdr:row>27</xdr:row>
      <xdr:rowOff>28575</xdr:rowOff>
    </xdr:from>
    <xdr:to>
      <xdr:col>17</xdr:col>
      <xdr:colOff>409575</xdr:colOff>
      <xdr:row>32</xdr:row>
      <xdr:rowOff>19050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xmlns="" id="{8B9CC69A-CF24-4183-BF52-365F64258E82}"/>
            </a:ext>
          </a:extLst>
        </xdr:cNvPr>
        <xdr:cNvCxnSpPr/>
      </xdr:nvCxnSpPr>
      <xdr:spPr>
        <a:xfrm flipV="1">
          <a:off x="4543425" y="7534275"/>
          <a:ext cx="3905250" cy="885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33</xdr:row>
      <xdr:rowOff>76200</xdr:rowOff>
    </xdr:from>
    <xdr:to>
      <xdr:col>18</xdr:col>
      <xdr:colOff>209550</xdr:colOff>
      <xdr:row>35</xdr:row>
      <xdr:rowOff>85725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xmlns="" id="{0A2D8DB8-C5D9-4065-8D31-4FF4F307EE4A}"/>
            </a:ext>
          </a:extLst>
        </xdr:cNvPr>
        <xdr:cNvCxnSpPr/>
      </xdr:nvCxnSpPr>
      <xdr:spPr>
        <a:xfrm flipV="1">
          <a:off x="4419600" y="8667750"/>
          <a:ext cx="443865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571500</xdr:colOff>
      <xdr:row>2</xdr:row>
      <xdr:rowOff>419100</xdr:rowOff>
    </xdr:from>
    <xdr:to>
      <xdr:col>17</xdr:col>
      <xdr:colOff>0</xdr:colOff>
      <xdr:row>10</xdr:row>
      <xdr:rowOff>0</xdr:rowOff>
    </xdr:to>
    <xdr:cxnSp macro="">
      <xdr:nvCxnSpPr>
        <xdr:cNvPr id="12" name="Přímá spojnice 11">
          <a:extLst>
            <a:ext uri="{FF2B5EF4-FFF2-40B4-BE49-F238E27FC236}">
              <a16:creationId xmlns:a16="http://schemas.microsoft.com/office/drawing/2014/main" xmlns="" id="{F9771D9B-409B-4A1E-A7C4-EE0D94D2A17D}"/>
            </a:ext>
          </a:extLst>
        </xdr:cNvPr>
        <xdr:cNvCxnSpPr/>
      </xdr:nvCxnSpPr>
      <xdr:spPr>
        <a:xfrm>
          <a:off x="8001000" y="1133475"/>
          <a:ext cx="38100" cy="3228975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6</xdr:row>
      <xdr:rowOff>207168</xdr:rowOff>
    </xdr:from>
    <xdr:to>
      <xdr:col>27</xdr:col>
      <xdr:colOff>104775</xdr:colOff>
      <xdr:row>6</xdr:row>
      <xdr:rowOff>207168</xdr:rowOff>
    </xdr:to>
    <xdr:cxnSp macro="">
      <xdr:nvCxnSpPr>
        <xdr:cNvPr id="13" name="Přímá spojnice 12">
          <a:extLst>
            <a:ext uri="{FF2B5EF4-FFF2-40B4-BE49-F238E27FC236}">
              <a16:creationId xmlns:a16="http://schemas.microsoft.com/office/drawing/2014/main" xmlns="" id="{6C701FC7-7389-4BC0-BBDC-FE26DB0F91A9}"/>
            </a:ext>
          </a:extLst>
        </xdr:cNvPr>
        <xdr:cNvCxnSpPr>
          <a:stCxn id="2" idx="1"/>
          <a:endCxn id="2" idx="3"/>
        </xdr:cNvCxnSpPr>
      </xdr:nvCxnSpPr>
      <xdr:spPr>
        <a:xfrm>
          <a:off x="5324475" y="2759868"/>
          <a:ext cx="9001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6</xdr:row>
      <xdr:rowOff>257175</xdr:rowOff>
    </xdr:from>
    <xdr:to>
      <xdr:col>15</xdr:col>
      <xdr:colOff>209550</xdr:colOff>
      <xdr:row>10</xdr:row>
      <xdr:rowOff>9525</xdr:rowOff>
    </xdr:to>
    <xdr:cxnSp macro="">
      <xdr:nvCxnSpPr>
        <xdr:cNvPr id="14" name="Přímá spojnice 13">
          <a:extLst>
            <a:ext uri="{FF2B5EF4-FFF2-40B4-BE49-F238E27FC236}">
              <a16:creationId xmlns:a16="http://schemas.microsoft.com/office/drawing/2014/main" xmlns="" id="{E761455F-19D9-47FA-A12C-9D1C52B8305A}"/>
            </a:ext>
          </a:extLst>
        </xdr:cNvPr>
        <xdr:cNvCxnSpPr/>
      </xdr:nvCxnSpPr>
      <xdr:spPr>
        <a:xfrm>
          <a:off x="7010400" y="2809875"/>
          <a:ext cx="19050" cy="1562100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409574</xdr:colOff>
      <xdr:row>3</xdr:row>
      <xdr:rowOff>285750</xdr:rowOff>
    </xdr:from>
    <xdr:to>
      <xdr:col>14</xdr:col>
      <xdr:colOff>314324</xdr:colOff>
      <xdr:row>4</xdr:row>
      <xdr:rowOff>447675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9C63E027-2F49-47D0-A907-56F371A9F1A3}"/>
            </a:ext>
          </a:extLst>
        </xdr:cNvPr>
        <xdr:cNvSpPr txBox="1"/>
      </xdr:nvSpPr>
      <xdr:spPr>
        <a:xfrm>
          <a:off x="5353049" y="1466850"/>
          <a:ext cx="11715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600" b="1">
              <a:solidFill>
                <a:srgbClr val="00B050"/>
              </a:solidFill>
            </a:rPr>
            <a:t>CELKEM ZA            3 ROKY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0.10653</cdr:x>
      <cdr:y>0.00573</cdr:y>
    </cdr:from>
    <cdr:to>
      <cdr:x>0.84762</cdr:x>
      <cdr:y>0.09934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xmlns="" id="{88E48D18-11FD-47B2-9A01-78A1F9D3011C}"/>
            </a:ext>
          </a:extLst>
        </cdr:cNvPr>
        <cdr:cNvSpPr txBox="1"/>
      </cdr:nvSpPr>
      <cdr:spPr>
        <a:xfrm xmlns:a="http://schemas.openxmlformats.org/drawingml/2006/main">
          <a:off x="958884" y="28845"/>
          <a:ext cx="6670641" cy="471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100" b="1" u="sng">
              <a:effectLst/>
              <a:latin typeface="+mn-lt"/>
              <a:ea typeface="+mn-ea"/>
              <a:cs typeface="+mn-cs"/>
            </a:rPr>
            <a:t>Srovnání nákladů (za LP + další náklady</a:t>
          </a:r>
          <a:r>
            <a:rPr lang="cs-CZ" sz="1100" b="1" u="sng" baseline="30000">
              <a:effectLst/>
              <a:latin typeface="+mn-lt"/>
              <a:ea typeface="+mn-ea"/>
              <a:cs typeface="+mn-cs"/>
            </a:rPr>
            <a:t>123</a:t>
          </a:r>
          <a:r>
            <a:rPr lang="cs-CZ" sz="1100" b="1" u="sng">
              <a:effectLst/>
              <a:latin typeface="+mn-lt"/>
              <a:ea typeface="+mn-ea"/>
              <a:cs typeface="+mn-cs"/>
            </a:rPr>
            <a:t>) anti-VEGF</a:t>
          </a:r>
          <a:r>
            <a:rPr lang="cs-CZ" sz="1100" b="1" u="sng" baseline="0">
              <a:effectLst/>
              <a:latin typeface="+mn-lt"/>
              <a:ea typeface="+mn-ea"/>
              <a:cs typeface="+mn-cs"/>
            </a:rPr>
            <a:t> u DME na 1 pac. za 1. rok léčby a za celé 3 roky léčby </a:t>
          </a:r>
          <a:r>
            <a:rPr lang="cs-CZ" sz="1100" b="1" baseline="0">
              <a:effectLst/>
              <a:latin typeface="+mn-lt"/>
              <a:ea typeface="+mn-ea"/>
              <a:cs typeface="+mn-cs"/>
            </a:rPr>
            <a:t>(počítáno bez diskontace a při stejných jednot. nákladech po celé 3 roky)</a:t>
          </a:r>
          <a:endParaRPr lang="cs-CZ" sz="1100"/>
        </a:p>
      </cdr:txBody>
    </cdr:sp>
  </cdr:relSizeAnchor>
  <cdr:relSizeAnchor xmlns:cdr="http://schemas.openxmlformats.org/drawingml/2006/chartDrawing">
    <cdr:from>
      <cdr:x>0.74934</cdr:x>
      <cdr:y>0.7105</cdr:y>
    </cdr:from>
    <cdr:to>
      <cdr:x>0.98167</cdr:x>
      <cdr:y>0.78997</cdr:y>
    </cdr:to>
    <cdr:sp macro="" textlink="">
      <cdr:nvSpPr>
        <cdr:cNvPr id="3" name="Ovál 2">
          <a:extLst xmlns:a="http://schemas.openxmlformats.org/drawingml/2006/main">
            <a:ext uri="{FF2B5EF4-FFF2-40B4-BE49-F238E27FC236}">
              <a16:creationId xmlns:a16="http://schemas.microsoft.com/office/drawing/2014/main" xmlns="" id="{D8E4FD0E-0204-413B-8037-DB1D46D0FE6C}"/>
            </a:ext>
          </a:extLst>
        </cdr:cNvPr>
        <cdr:cNvSpPr/>
      </cdr:nvSpPr>
      <cdr:spPr>
        <a:xfrm xmlns:a="http://schemas.openxmlformats.org/drawingml/2006/main">
          <a:off x="6230986" y="3576638"/>
          <a:ext cx="1931940" cy="40003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0.75181</cdr:x>
      <cdr:y>0.42479</cdr:y>
    </cdr:from>
    <cdr:to>
      <cdr:x>0.98415</cdr:x>
      <cdr:y>0.49637</cdr:y>
    </cdr:to>
    <cdr:sp macro="" textlink="">
      <cdr:nvSpPr>
        <cdr:cNvPr id="4" name="Ovál 3">
          <a:extLst xmlns:a="http://schemas.openxmlformats.org/drawingml/2006/main">
            <a:ext uri="{FF2B5EF4-FFF2-40B4-BE49-F238E27FC236}">
              <a16:creationId xmlns:a16="http://schemas.microsoft.com/office/drawing/2014/main" xmlns="" id="{AD79505C-9360-4DE2-B4DD-25570ECD4C83}"/>
            </a:ext>
          </a:extLst>
        </cdr:cNvPr>
        <cdr:cNvSpPr/>
      </cdr:nvSpPr>
      <cdr:spPr>
        <a:xfrm xmlns:a="http://schemas.openxmlformats.org/drawingml/2006/main">
          <a:off x="6251575" y="2138364"/>
          <a:ext cx="1931940" cy="3603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0.56625</cdr:x>
      <cdr:y>0.1293</cdr:y>
    </cdr:from>
    <cdr:to>
      <cdr:x>0.74685</cdr:x>
      <cdr:y>0.7597</cdr:y>
    </cdr:to>
    <cdr:sp macro="" textlink="">
      <cdr:nvSpPr>
        <cdr:cNvPr id="6" name="TextovéPole 4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600-000005000000}"/>
            </a:ext>
          </a:extLst>
        </cdr:cNvPr>
        <cdr:cNvSpPr txBox="1"/>
      </cdr:nvSpPr>
      <cdr:spPr>
        <a:xfrm xmlns:a="http://schemas.openxmlformats.org/drawingml/2006/main">
          <a:off x="4708525" y="650875"/>
          <a:ext cx="1501776" cy="31734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0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000" b="1"/>
            <a:t>           </a:t>
          </a:r>
          <a:r>
            <a:rPr lang="cs-CZ" sz="1000" b="1" u="sng"/>
            <a:t>NÁKLADY</a:t>
          </a:r>
          <a:r>
            <a:rPr lang="cs-CZ" sz="1000" b="1"/>
            <a:t>                            </a:t>
          </a:r>
          <a:r>
            <a:rPr lang="cs-CZ" sz="900" b="1"/>
            <a:t>(rozmezí dle počtu injekcí)</a:t>
          </a:r>
        </a:p>
        <a:p xmlns:a="http://schemas.openxmlformats.org/drawingml/2006/main">
          <a:endParaRPr lang="cs-CZ" sz="600" b="1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/>
            <a:t>  </a:t>
          </a:r>
          <a:r>
            <a:rPr lang="cs-CZ" sz="1000" b="1">
              <a:latin typeface="+mn-lt"/>
            </a:rPr>
            <a:t>100.806</a:t>
          </a:r>
          <a:r>
            <a:rPr lang="cs-CZ" sz="1000" b="1" baseline="0">
              <a:latin typeface="+mn-lt"/>
            </a:rPr>
            <a:t> Kč - 258.773 Kč</a:t>
          </a:r>
          <a:endParaRPr lang="cs-CZ" sz="1000" b="1">
            <a:effectLst/>
            <a:latin typeface="+mn-lt"/>
          </a:endParaRPr>
        </a:p>
        <a:p xmlns:a="http://schemas.openxmlformats.org/drawingml/2006/main">
          <a:endParaRPr lang="cs-CZ" sz="1400" b="1">
            <a:latin typeface="+mn-lt"/>
          </a:endParaRPr>
        </a:p>
        <a:p xmlns:a="http://schemas.openxmlformats.org/drawingml/2006/main">
          <a:r>
            <a:rPr lang="cs-CZ" sz="1000" b="1">
              <a:latin typeface="+mn-lt"/>
            </a:rPr>
            <a:t>  175.722 Kč - 419.390 Kč</a:t>
          </a:r>
        </a:p>
        <a:p xmlns:a="http://schemas.openxmlformats.org/drawingml/2006/main">
          <a:endParaRPr lang="cs-CZ" sz="1200" b="1">
            <a:latin typeface="+mn-lt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latin typeface="+mn-lt"/>
            </a:rPr>
            <a:t>  120.000 Kč - 162.857 Kč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000" b="1">
            <a:effectLst/>
            <a:latin typeface="+mn-lt"/>
          </a:endParaRPr>
        </a:p>
        <a:p xmlns:a="http://schemas.openxmlformats.org/drawingml/2006/main">
          <a:endParaRPr lang="cs-CZ" sz="1400" b="1">
            <a:latin typeface="+mn-lt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effectLst/>
              <a:latin typeface="+mn-lt"/>
            </a:rPr>
            <a:t>  221.654 Kč - 406.366</a:t>
          </a:r>
          <a:r>
            <a:rPr lang="cs-CZ" sz="1000" b="1" baseline="0">
              <a:effectLst/>
              <a:latin typeface="+mn-lt"/>
            </a:rPr>
            <a:t> Kč</a:t>
          </a:r>
          <a:endParaRPr lang="cs-CZ" sz="1000" b="1">
            <a:effectLst/>
            <a:latin typeface="+mn-lt"/>
          </a:endParaRPr>
        </a:p>
        <a:p xmlns:a="http://schemas.openxmlformats.org/drawingml/2006/main">
          <a:endParaRPr lang="cs-CZ" sz="1600" b="1">
            <a:latin typeface="+mn-lt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latin typeface="+mn-lt"/>
            </a:rPr>
            <a:t>   61.630 Kč - 102.857 Kč</a:t>
          </a:r>
          <a:endParaRPr lang="cs-CZ" sz="1000" b="1">
            <a:effectLst/>
            <a:latin typeface="+mn-lt"/>
          </a:endParaRPr>
        </a:p>
        <a:p xmlns:a="http://schemas.openxmlformats.org/drawingml/2006/main">
          <a:endParaRPr lang="cs-CZ" sz="1400" b="1">
            <a:latin typeface="+mn-lt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effectLst/>
              <a:latin typeface="+mn-lt"/>
            </a:rPr>
            <a:t>  109.304 Kč - 170.017 Kč</a:t>
          </a:r>
        </a:p>
        <a:p xmlns:a="http://schemas.openxmlformats.org/drawingml/2006/main">
          <a:endParaRPr lang="cs-CZ" sz="1200" b="1">
            <a:latin typeface="+mn-lt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51.429 Kč - 60.000 Kč</a:t>
          </a:r>
          <a:endParaRPr lang="cs-CZ" sz="1000" b="1">
            <a:effectLst/>
            <a:latin typeface="+mn-lt"/>
          </a:endParaRPr>
        </a:p>
        <a:p xmlns:a="http://schemas.openxmlformats.org/drawingml/2006/main">
          <a:endParaRPr lang="cs-CZ" sz="1400" b="1">
            <a:latin typeface="+mn-lt"/>
          </a:endParaRPr>
        </a:p>
        <a:p xmlns:a="http://schemas.openxmlformats.org/drawingml/2006/main">
          <a:r>
            <a:rPr lang="cs-CZ" sz="1000" b="1">
              <a:latin typeface="+mn-lt"/>
            </a:rPr>
            <a:t>   110.827 Kč - 184.712 Kč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cdr:txBody>
    </cdr:sp>
  </cdr:relSizeAnchor>
  <cdr:relSizeAnchor xmlns:cdr="http://schemas.openxmlformats.org/drawingml/2006/chartDrawing">
    <cdr:from>
      <cdr:x>0.01184</cdr:x>
      <cdr:y>0.56638</cdr:y>
    </cdr:from>
    <cdr:to>
      <cdr:x>0.14929</cdr:x>
      <cdr:y>0.65153</cdr:y>
    </cdr:to>
    <cdr:sp macro="" textlink="">
      <cdr:nvSpPr>
        <cdr:cNvPr id="7" name="TextovéPole 23">
          <a:extLst xmlns:a="http://schemas.openxmlformats.org/drawingml/2006/main">
            <a:ext uri="{FF2B5EF4-FFF2-40B4-BE49-F238E27FC236}">
              <a16:creationId xmlns:a16="http://schemas.microsoft.com/office/drawing/2014/main" xmlns="" id="{699518BD-4269-4B71-8910-9AFC8F25FAC8}"/>
            </a:ext>
          </a:extLst>
        </cdr:cNvPr>
        <cdr:cNvSpPr txBox="1"/>
      </cdr:nvSpPr>
      <cdr:spPr>
        <a:xfrm xmlns:a="http://schemas.openxmlformats.org/drawingml/2006/main">
          <a:off x="98425" y="2851150"/>
          <a:ext cx="1143000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600" b="1">
              <a:solidFill>
                <a:srgbClr val="00B050"/>
              </a:solidFill>
            </a:rPr>
            <a:t>ZA 1. ROK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200023</xdr:colOff>
      <xdr:row>0</xdr:row>
      <xdr:rowOff>133349</xdr:rowOff>
    </xdr:from>
    <xdr:to>
      <xdr:col>61</xdr:col>
      <xdr:colOff>306917</xdr:colOff>
      <xdr:row>80</xdr:row>
      <xdr:rowOff>52916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200023" y="133349"/>
          <a:ext cx="37550727" cy="151595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314325</xdr:colOff>
      <xdr:row>10</xdr:row>
      <xdr:rowOff>76200</xdr:rowOff>
    </xdr:from>
    <xdr:to>
      <xdr:col>9</xdr:col>
      <xdr:colOff>504825</xdr:colOff>
      <xdr:row>15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81200"/>
          <a:ext cx="56769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6</xdr:row>
      <xdr:rowOff>152400</xdr:rowOff>
    </xdr:from>
    <xdr:to>
      <xdr:col>9</xdr:col>
      <xdr:colOff>523875</xdr:colOff>
      <xdr:row>10</xdr:row>
      <xdr:rowOff>28575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419100" y="1295400"/>
          <a:ext cx="55911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Rozvoj VPMD  (anglicky</a:t>
          </a:r>
          <a:r>
            <a:rPr lang="cs-CZ" sz="1100" baseline="0"/>
            <a:t>: AMD) </a:t>
          </a:r>
          <a:r>
            <a:rPr lang="cs-CZ" sz="1100"/>
            <a:t>však není vždy lineární progresí a neovaskulární VPMD (anglicky: nAMD) se může objevit i v nepřítomnosti "suché" VPMD  (anglicky: dry AMD) a neovaskulární VPMD (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anglicky: nAMD)</a:t>
          </a:r>
          <a:r>
            <a:rPr lang="cs-CZ" sz="1100"/>
            <a:t> může také progredovat do GA.</a:t>
          </a:r>
        </a:p>
      </xdr:txBody>
    </xdr:sp>
    <xdr:clientData/>
  </xdr:twoCellAnchor>
  <xdr:twoCellAnchor editAs="oneCell">
    <xdr:from>
      <xdr:col>11</xdr:col>
      <xdr:colOff>228600</xdr:colOff>
      <xdr:row>2</xdr:row>
      <xdr:rowOff>9527</xdr:rowOff>
    </xdr:from>
    <xdr:to>
      <xdr:col>21</xdr:col>
      <xdr:colOff>123825</xdr:colOff>
      <xdr:row>11</xdr:row>
      <xdr:rowOff>89535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390527"/>
          <a:ext cx="5991225" cy="179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123825</xdr:colOff>
      <xdr:row>3</xdr:row>
      <xdr:rowOff>9526</xdr:rowOff>
    </xdr:from>
    <xdr:to>
      <xdr:col>16</xdr:col>
      <xdr:colOff>276225</xdr:colOff>
      <xdr:row>4</xdr:row>
      <xdr:rowOff>57150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8048625" y="581026"/>
          <a:ext cx="198120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:</a:t>
          </a:r>
        </a:p>
      </xdr:txBody>
    </xdr:sp>
    <xdr:clientData/>
  </xdr:twoCellAnchor>
  <xdr:twoCellAnchor>
    <xdr:from>
      <xdr:col>17</xdr:col>
      <xdr:colOff>228600</xdr:colOff>
      <xdr:row>11</xdr:row>
      <xdr:rowOff>123825</xdr:rowOff>
    </xdr:from>
    <xdr:to>
      <xdr:col>18</xdr:col>
      <xdr:colOff>247650</xdr:colOff>
      <xdr:row>12</xdr:row>
      <xdr:rowOff>123825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0591800" y="2219325"/>
          <a:ext cx="6286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11</xdr:col>
      <xdr:colOff>409575</xdr:colOff>
      <xdr:row>11</xdr:row>
      <xdr:rowOff>76200</xdr:rowOff>
    </xdr:from>
    <xdr:to>
      <xdr:col>21</xdr:col>
      <xdr:colOff>390525</xdr:colOff>
      <xdr:row>38</xdr:row>
      <xdr:rowOff>33655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1742" y="2171700"/>
          <a:ext cx="6119283" cy="5100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323850</xdr:colOff>
      <xdr:row>11</xdr:row>
      <xdr:rowOff>95249</xdr:rowOff>
    </xdr:from>
    <xdr:to>
      <xdr:col>19</xdr:col>
      <xdr:colOff>104775</xdr:colOff>
      <xdr:row>12</xdr:row>
      <xdr:rowOff>180974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10687050" y="2190749"/>
          <a:ext cx="10001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:</a:t>
          </a:r>
        </a:p>
      </xdr:txBody>
    </xdr:sp>
    <xdr:clientData/>
  </xdr:twoCellAnchor>
  <xdr:twoCellAnchor>
    <xdr:from>
      <xdr:col>11</xdr:col>
      <xdr:colOff>465666</xdr:colOff>
      <xdr:row>2</xdr:row>
      <xdr:rowOff>179917</xdr:rowOff>
    </xdr:from>
    <xdr:to>
      <xdr:col>21</xdr:col>
      <xdr:colOff>211667</xdr:colOff>
      <xdr:row>3</xdr:row>
      <xdr:rowOff>1</xdr:rowOff>
    </xdr:to>
    <xdr:cxnSp macro="">
      <xdr:nvCxnSpPr>
        <xdr:cNvPr id="11" name="Přímá spojnic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 flipV="1">
          <a:off x="7217833" y="560917"/>
          <a:ext cx="5884334" cy="1058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582084</xdr:colOff>
      <xdr:row>12</xdr:row>
      <xdr:rowOff>148167</xdr:rowOff>
    </xdr:from>
    <xdr:to>
      <xdr:col>17</xdr:col>
      <xdr:colOff>455083</xdr:colOff>
      <xdr:row>12</xdr:row>
      <xdr:rowOff>148167</xdr:rowOff>
    </xdr:to>
    <xdr:cxnSp macro="">
      <xdr:nvCxnSpPr>
        <xdr:cNvPr id="14" name="Přímá spojnic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7334251" y="2434167"/>
          <a:ext cx="3555999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465666</xdr:colOff>
      <xdr:row>4</xdr:row>
      <xdr:rowOff>42333</xdr:rowOff>
    </xdr:from>
    <xdr:to>
      <xdr:col>13</xdr:col>
      <xdr:colOff>296334</xdr:colOff>
      <xdr:row>4</xdr:row>
      <xdr:rowOff>52917</xdr:rowOff>
    </xdr:to>
    <xdr:cxnSp macro="">
      <xdr:nvCxnSpPr>
        <xdr:cNvPr id="15" name="Přímá spojnice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 flipV="1">
          <a:off x="7217833" y="804333"/>
          <a:ext cx="1058334" cy="1058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285749</xdr:colOff>
      <xdr:row>29</xdr:row>
      <xdr:rowOff>158750</xdr:rowOff>
    </xdr:from>
    <xdr:to>
      <xdr:col>20</xdr:col>
      <xdr:colOff>275166</xdr:colOff>
      <xdr:row>31</xdr:row>
      <xdr:rowOff>95250</xdr:rowOff>
    </xdr:to>
    <xdr:sp macro="" textlink="">
      <xdr:nvSpPr>
        <xdr:cNvPr id="18" name="Ovál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7037916" y="5683250"/>
          <a:ext cx="5513917" cy="31750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404812</xdr:colOff>
      <xdr:row>40</xdr:row>
      <xdr:rowOff>47624</xdr:rowOff>
    </xdr:from>
    <xdr:to>
      <xdr:col>9</xdr:col>
      <xdr:colOff>519112</xdr:colOff>
      <xdr:row>70</xdr:row>
      <xdr:rowOff>57149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7667624"/>
          <a:ext cx="5638800" cy="572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587376</xdr:colOff>
      <xdr:row>41</xdr:row>
      <xdr:rowOff>136262</xdr:rowOff>
    </xdr:from>
    <xdr:to>
      <xdr:col>7</xdr:col>
      <xdr:colOff>200025</xdr:colOff>
      <xdr:row>43</xdr:row>
      <xdr:rowOff>104775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3025776" y="7946762"/>
          <a:ext cx="1441449" cy="3495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00" b="1" u="sng"/>
            <a:t>in BCVA at 1 year             </a:t>
          </a:r>
          <a:r>
            <a:rPr lang="cs-CZ" sz="800" b="1" u="none"/>
            <a:t>(ETDRS letters, viz pozn. 11)</a:t>
          </a:r>
        </a:p>
      </xdr:txBody>
    </xdr:sp>
    <xdr:clientData/>
  </xdr:twoCellAnchor>
  <xdr:twoCellAnchor>
    <xdr:from>
      <xdr:col>8</xdr:col>
      <xdr:colOff>296335</xdr:colOff>
      <xdr:row>41</xdr:row>
      <xdr:rowOff>158748</xdr:rowOff>
    </xdr:from>
    <xdr:to>
      <xdr:col>10</xdr:col>
      <xdr:colOff>42335</xdr:colOff>
      <xdr:row>49</xdr:row>
      <xdr:rowOff>9525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/>
      </xdr:nvSpPr>
      <xdr:spPr>
        <a:xfrm>
          <a:off x="5173135" y="7969248"/>
          <a:ext cx="965200" cy="137477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0" u="none"/>
            <a:t>loading phase  (3x monthly,</a:t>
          </a:r>
          <a:r>
            <a:rPr lang="cs-CZ" sz="800" b="0" u="none" baseline="0"/>
            <a:t> then 6mg  </a:t>
          </a:r>
          <a:r>
            <a:rPr lang="cs-CZ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every 12 weeks unless there were signs of disease progression in which case the patient switched to bimonthly inj.</a:t>
          </a:r>
          <a:endParaRPr lang="cs-CZ" sz="800" b="1" u="sng"/>
        </a:p>
      </xdr:txBody>
    </xdr:sp>
    <xdr:clientData/>
  </xdr:twoCellAnchor>
  <xdr:twoCellAnchor editAs="oneCell">
    <xdr:from>
      <xdr:col>10</xdr:col>
      <xdr:colOff>285751</xdr:colOff>
      <xdr:row>40</xdr:row>
      <xdr:rowOff>105833</xdr:rowOff>
    </xdr:from>
    <xdr:to>
      <xdr:col>19</xdr:col>
      <xdr:colOff>214843</xdr:colOff>
      <xdr:row>69</xdr:row>
      <xdr:rowOff>86783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4" y="7725833"/>
          <a:ext cx="5453592" cy="550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304800</xdr:colOff>
      <xdr:row>60</xdr:row>
      <xdr:rowOff>38100</xdr:rowOff>
    </xdr:from>
    <xdr:to>
      <xdr:col>10</xdr:col>
      <xdr:colOff>50800</xdr:colOff>
      <xdr:row>66</xdr:row>
      <xdr:rowOff>47625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/>
      </xdr:nvSpPr>
      <xdr:spPr>
        <a:xfrm>
          <a:off x="5181600" y="11468100"/>
          <a:ext cx="965200" cy="11525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0" u="none"/>
            <a:t>loading phase  (4x monthly,</a:t>
          </a:r>
          <a:r>
            <a:rPr lang="cs-CZ" sz="800" b="0" u="none" baseline="0"/>
            <a:t> then  </a:t>
          </a:r>
          <a:r>
            <a:rPr lang="cs-CZ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inj. every 8 or</a:t>
          </a:r>
        </a:p>
        <a:p>
          <a:r>
            <a:rPr lang="cs-CZ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16 weeks on the basis of disease activity and</a:t>
          </a:r>
        </a:p>
        <a:p>
          <a:r>
            <a:rPr lang="cs-CZ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assessment at weeks 20 and 24</a:t>
          </a:r>
          <a:endParaRPr lang="cs-CZ" sz="800" b="1" u="sng"/>
        </a:p>
      </xdr:txBody>
    </xdr:sp>
    <xdr:clientData/>
  </xdr:twoCellAnchor>
  <xdr:twoCellAnchor>
    <xdr:from>
      <xdr:col>0</xdr:col>
      <xdr:colOff>352426</xdr:colOff>
      <xdr:row>62</xdr:row>
      <xdr:rowOff>85725</xdr:rowOff>
    </xdr:from>
    <xdr:to>
      <xdr:col>3</xdr:col>
      <xdr:colOff>47626</xdr:colOff>
      <xdr:row>64</xdr:row>
      <xdr:rowOff>22225</xdr:rowOff>
    </xdr:to>
    <xdr:sp macro="" textlink="">
      <xdr:nvSpPr>
        <xdr:cNvPr id="21" name="Ovál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352426" y="11896725"/>
          <a:ext cx="1524000" cy="31750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200025</xdr:colOff>
      <xdr:row>61</xdr:row>
      <xdr:rowOff>19050</xdr:rowOff>
    </xdr:from>
    <xdr:to>
      <xdr:col>12</xdr:col>
      <xdr:colOff>504825</xdr:colOff>
      <xdr:row>62</xdr:row>
      <xdr:rowOff>146050</xdr:rowOff>
    </xdr:to>
    <xdr:sp macro="" textlink="">
      <xdr:nvSpPr>
        <xdr:cNvPr id="22" name="Ovál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6296025" y="11639550"/>
          <a:ext cx="1524000" cy="31750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495300</xdr:colOff>
      <xdr:row>42</xdr:row>
      <xdr:rowOff>66675</xdr:rowOff>
    </xdr:from>
    <xdr:to>
      <xdr:col>17</xdr:col>
      <xdr:colOff>200025</xdr:colOff>
      <xdr:row>44</xdr:row>
      <xdr:rowOff>57150</xdr:rowOff>
    </xdr:to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/>
      </xdr:nvSpPr>
      <xdr:spPr>
        <a:xfrm>
          <a:off x="9029700" y="8067675"/>
          <a:ext cx="153352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900" b="1" u="sng"/>
            <a:t>in retinal thickness at 1 year </a:t>
          </a:r>
        </a:p>
        <a:p>
          <a:pPr algn="l"/>
          <a:r>
            <a:rPr lang="cs-CZ" sz="900" b="1" u="none"/>
            <a:t>     </a:t>
          </a:r>
          <a:r>
            <a:rPr lang="cs-CZ" sz="800" b="1" u="none"/>
            <a:t>(micrometrs,</a:t>
          </a:r>
          <a:r>
            <a:rPr lang="cs-CZ" sz="800" b="1" u="none" baseline="0"/>
            <a:t> viz pozn. 18)</a:t>
          </a:r>
          <a:endParaRPr lang="cs-CZ" sz="800" b="1" u="none"/>
        </a:p>
      </xdr:txBody>
    </xdr:sp>
    <xdr:clientData/>
  </xdr:twoCellAnchor>
  <xdr:twoCellAnchor>
    <xdr:from>
      <xdr:col>2</xdr:col>
      <xdr:colOff>428625</xdr:colOff>
      <xdr:row>61</xdr:row>
      <xdr:rowOff>161925</xdr:rowOff>
    </xdr:from>
    <xdr:to>
      <xdr:col>8</xdr:col>
      <xdr:colOff>381000</xdr:colOff>
      <xdr:row>63</xdr:row>
      <xdr:rowOff>38100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 flipV="1">
          <a:off x="1647825" y="11782425"/>
          <a:ext cx="3609975" cy="2571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41</xdr:row>
      <xdr:rowOff>142875</xdr:rowOff>
    </xdr:from>
    <xdr:to>
      <xdr:col>16</xdr:col>
      <xdr:colOff>219076</xdr:colOff>
      <xdr:row>43</xdr:row>
      <xdr:rowOff>142875</xdr:rowOff>
    </xdr:to>
    <xdr:cxnSp macro="">
      <xdr:nvCxnSpPr>
        <xdr:cNvPr id="24" name="Přímá spojnice se šipkou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CxnSpPr/>
      </xdr:nvCxnSpPr>
      <xdr:spPr>
        <a:xfrm flipH="1">
          <a:off x="6010275" y="7953375"/>
          <a:ext cx="3962401" cy="3810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442912</xdr:colOff>
      <xdr:row>41</xdr:row>
      <xdr:rowOff>76200</xdr:rowOff>
    </xdr:from>
    <xdr:to>
      <xdr:col>8</xdr:col>
      <xdr:colOff>361950</xdr:colOff>
      <xdr:row>43</xdr:row>
      <xdr:rowOff>19050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CxnSpPr/>
      </xdr:nvCxnSpPr>
      <xdr:spPr>
        <a:xfrm>
          <a:off x="4100512" y="7886700"/>
          <a:ext cx="1138238" cy="3238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62</xdr:row>
      <xdr:rowOff>66676</xdr:rowOff>
    </xdr:from>
    <xdr:to>
      <xdr:col>10</xdr:col>
      <xdr:colOff>495300</xdr:colOff>
      <xdr:row>63</xdr:row>
      <xdr:rowOff>9525</xdr:rowOff>
    </xdr:to>
    <xdr:cxnSp macro="">
      <xdr:nvCxnSpPr>
        <xdr:cNvPr id="31" name="Přímá spojnice se šipkou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CxnSpPr/>
      </xdr:nvCxnSpPr>
      <xdr:spPr>
        <a:xfrm flipH="1">
          <a:off x="6010275" y="11877676"/>
          <a:ext cx="581025" cy="13334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428625</xdr:colOff>
      <xdr:row>11</xdr:row>
      <xdr:rowOff>85725</xdr:rowOff>
    </xdr:from>
    <xdr:to>
      <xdr:col>33</xdr:col>
      <xdr:colOff>342900</xdr:colOff>
      <xdr:row>35</xdr:row>
      <xdr:rowOff>38100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5" y="2181225"/>
          <a:ext cx="5400675" cy="452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523876</xdr:colOff>
      <xdr:row>4</xdr:row>
      <xdr:rowOff>95251</xdr:rowOff>
    </xdr:from>
    <xdr:to>
      <xdr:col>27</xdr:col>
      <xdr:colOff>542926</xdr:colOff>
      <xdr:row>11</xdr:row>
      <xdr:rowOff>104495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5763876" y="857251"/>
          <a:ext cx="1238250" cy="1342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523875</xdr:colOff>
      <xdr:row>10</xdr:row>
      <xdr:rowOff>47626</xdr:rowOff>
    </xdr:from>
    <xdr:to>
      <xdr:col>26</xdr:col>
      <xdr:colOff>259963</xdr:colOff>
      <xdr:row>11</xdr:row>
      <xdr:rowOff>85726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3875" y="1952626"/>
          <a:ext cx="34568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171450</xdr:colOff>
      <xdr:row>10</xdr:row>
      <xdr:rowOff>47625</xdr:rowOff>
    </xdr:from>
    <xdr:to>
      <xdr:col>27</xdr:col>
      <xdr:colOff>517138</xdr:colOff>
      <xdr:row>11</xdr:row>
      <xdr:rowOff>85725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0650" y="1952625"/>
          <a:ext cx="34568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571500</xdr:colOff>
      <xdr:row>8</xdr:row>
      <xdr:rowOff>9525</xdr:rowOff>
    </xdr:from>
    <xdr:to>
      <xdr:col>26</xdr:col>
      <xdr:colOff>304800</xdr:colOff>
      <xdr:row>9</xdr:row>
      <xdr:rowOff>37772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1533525"/>
          <a:ext cx="342900" cy="218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8</xdr:row>
      <xdr:rowOff>19050</xdr:rowOff>
    </xdr:from>
    <xdr:to>
      <xdr:col>27</xdr:col>
      <xdr:colOff>457200</xdr:colOff>
      <xdr:row>9</xdr:row>
      <xdr:rowOff>47297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0" y="1543050"/>
          <a:ext cx="342900" cy="218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342900</xdr:colOff>
      <xdr:row>4</xdr:row>
      <xdr:rowOff>66675</xdr:rowOff>
    </xdr:from>
    <xdr:to>
      <xdr:col>27</xdr:col>
      <xdr:colOff>85725</xdr:colOff>
      <xdr:row>5</xdr:row>
      <xdr:rowOff>11146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828675"/>
          <a:ext cx="352425" cy="134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303068</xdr:colOff>
      <xdr:row>4</xdr:row>
      <xdr:rowOff>43294</xdr:rowOff>
    </xdr:from>
    <xdr:to>
      <xdr:col>31</xdr:col>
      <xdr:colOff>216478</xdr:colOff>
      <xdr:row>11</xdr:row>
      <xdr:rowOff>139086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7881023" y="805294"/>
          <a:ext cx="1125682" cy="142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543624</xdr:colOff>
      <xdr:row>4</xdr:row>
      <xdr:rowOff>44044</xdr:rowOff>
    </xdr:from>
    <xdr:to>
      <xdr:col>31</xdr:col>
      <xdr:colOff>4329</xdr:colOff>
      <xdr:row>5</xdr:row>
      <xdr:rowOff>22514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1579" y="806044"/>
          <a:ext cx="672977" cy="16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44631</xdr:colOff>
      <xdr:row>6</xdr:row>
      <xdr:rowOff>28575</xdr:rowOff>
    </xdr:from>
    <xdr:to>
      <xdr:col>30</xdr:col>
      <xdr:colOff>114299</xdr:colOff>
      <xdr:row>7</xdr:row>
      <xdr:rowOff>66675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3031" y="1171575"/>
          <a:ext cx="67926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238125</xdr:colOff>
      <xdr:row>11</xdr:row>
      <xdr:rowOff>38100</xdr:rowOff>
    </xdr:from>
    <xdr:to>
      <xdr:col>30</xdr:col>
      <xdr:colOff>34826</xdr:colOff>
      <xdr:row>12</xdr:row>
      <xdr:rowOff>47625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6525" y="2133600"/>
          <a:ext cx="406301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507117</xdr:colOff>
      <xdr:row>11</xdr:row>
      <xdr:rowOff>16092</xdr:rowOff>
    </xdr:from>
    <xdr:to>
      <xdr:col>31</xdr:col>
      <xdr:colOff>373206</xdr:colOff>
      <xdr:row>12</xdr:row>
      <xdr:rowOff>50223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1208" y="2111592"/>
          <a:ext cx="472225" cy="224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495300</xdr:colOff>
      <xdr:row>3</xdr:row>
      <xdr:rowOff>66675</xdr:rowOff>
    </xdr:from>
    <xdr:to>
      <xdr:col>27</xdr:col>
      <xdr:colOff>447675</xdr:colOff>
      <xdr:row>4</xdr:row>
      <xdr:rowOff>47625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300" y="638175"/>
          <a:ext cx="1171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185305</xdr:colOff>
      <xdr:row>3</xdr:row>
      <xdr:rowOff>25976</xdr:rowOff>
    </xdr:from>
    <xdr:to>
      <xdr:col>31</xdr:col>
      <xdr:colOff>337705</xdr:colOff>
      <xdr:row>4</xdr:row>
      <xdr:rowOff>73601</xdr:rowOff>
    </xdr:to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/>
      </xdr:nvSpPr>
      <xdr:spPr>
        <a:xfrm>
          <a:off x="17763260" y="597476"/>
          <a:ext cx="1364672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Faricimab ~ 150 KDa            </a:t>
          </a:r>
        </a:p>
      </xdr:txBody>
    </xdr:sp>
    <xdr:clientData/>
  </xdr:twoCellAnchor>
  <xdr:twoCellAnchor>
    <xdr:from>
      <xdr:col>32</xdr:col>
      <xdr:colOff>171450</xdr:colOff>
      <xdr:row>8</xdr:row>
      <xdr:rowOff>133350</xdr:rowOff>
    </xdr:from>
    <xdr:to>
      <xdr:col>32</xdr:col>
      <xdr:colOff>419100</xdr:colOff>
      <xdr:row>11</xdr:row>
      <xdr:rowOff>152400</xdr:rowOff>
    </xdr:to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/>
      </xdr:nvSpPr>
      <xdr:spPr>
        <a:xfrm>
          <a:off x="19678650" y="1657350"/>
          <a:ext cx="24765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1100" b="0" u="none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oneCell">
    <xdr:from>
      <xdr:col>32</xdr:col>
      <xdr:colOff>216353</xdr:colOff>
      <xdr:row>9</xdr:row>
      <xdr:rowOff>16995</xdr:rowOff>
    </xdr:from>
    <xdr:to>
      <xdr:col>33</xdr:col>
      <xdr:colOff>39584</xdr:colOff>
      <xdr:row>11</xdr:row>
      <xdr:rowOff>125186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3553" y="1731495"/>
          <a:ext cx="432831" cy="489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236268</xdr:colOff>
      <xdr:row>11</xdr:row>
      <xdr:rowOff>186170</xdr:rowOff>
    </xdr:from>
    <xdr:to>
      <xdr:col>32</xdr:col>
      <xdr:colOff>541068</xdr:colOff>
      <xdr:row>13</xdr:row>
      <xdr:rowOff>119495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0554" y="228167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112568</xdr:colOff>
      <xdr:row>18</xdr:row>
      <xdr:rowOff>8658</xdr:rowOff>
    </xdr:from>
    <xdr:to>
      <xdr:col>38</xdr:col>
      <xdr:colOff>355023</xdr:colOff>
      <xdr:row>18</xdr:row>
      <xdr:rowOff>147205</xdr:rowOff>
    </xdr:to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/>
      </xdr:nvSpPr>
      <xdr:spPr>
        <a:xfrm>
          <a:off x="23145750" y="3437658"/>
          <a:ext cx="242455" cy="1385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800" b="1" u="none"/>
        </a:p>
      </xdr:txBody>
    </xdr:sp>
    <xdr:clientData/>
  </xdr:twoCellAnchor>
  <xdr:twoCellAnchor>
    <xdr:from>
      <xdr:col>32</xdr:col>
      <xdr:colOff>324570</xdr:colOff>
      <xdr:row>11</xdr:row>
      <xdr:rowOff>6882</xdr:rowOff>
    </xdr:from>
    <xdr:to>
      <xdr:col>32</xdr:col>
      <xdr:colOff>431026</xdr:colOff>
      <xdr:row>11</xdr:row>
      <xdr:rowOff>148077</xdr:rowOff>
    </xdr:to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/>
      </xdr:nvSpPr>
      <xdr:spPr>
        <a:xfrm>
          <a:off x="19918856" y="2102382"/>
          <a:ext cx="106456" cy="141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800" b="1" u="none"/>
        </a:p>
      </xdr:txBody>
    </xdr:sp>
    <xdr:clientData/>
  </xdr:twoCellAnchor>
  <xdr:twoCellAnchor>
    <xdr:from>
      <xdr:col>32</xdr:col>
      <xdr:colOff>421822</xdr:colOff>
      <xdr:row>11</xdr:row>
      <xdr:rowOff>68654</xdr:rowOff>
    </xdr:from>
    <xdr:to>
      <xdr:col>33</xdr:col>
      <xdr:colOff>84118</xdr:colOff>
      <xdr:row>11</xdr:row>
      <xdr:rowOff>173229</xdr:rowOff>
    </xdr:to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/>
      </xdr:nvSpPr>
      <xdr:spPr>
        <a:xfrm>
          <a:off x="20016108" y="2164154"/>
          <a:ext cx="274617" cy="104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800" b="1" u="none"/>
        </a:p>
      </xdr:txBody>
    </xdr:sp>
    <xdr:clientData/>
  </xdr:twoCellAnchor>
  <xdr:twoCellAnchor editAs="oneCell">
    <xdr:from>
      <xdr:col>31</xdr:col>
      <xdr:colOff>535366</xdr:colOff>
      <xdr:row>7</xdr:row>
      <xdr:rowOff>69273</xdr:rowOff>
    </xdr:from>
    <xdr:to>
      <xdr:col>33</xdr:col>
      <xdr:colOff>433818</xdr:colOff>
      <xdr:row>8</xdr:row>
      <xdr:rowOff>164523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5593" y="1402773"/>
          <a:ext cx="111072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597476</xdr:colOff>
      <xdr:row>1</xdr:row>
      <xdr:rowOff>155863</xdr:rowOff>
    </xdr:from>
    <xdr:to>
      <xdr:col>31</xdr:col>
      <xdr:colOff>528205</xdr:colOff>
      <xdr:row>13</xdr:row>
      <xdr:rowOff>173182</xdr:rowOff>
    </xdr:to>
    <xdr:sp macro="" textlink="">
      <xdr:nvSpPr>
        <xdr:cNvPr id="52" name="Ovál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/>
      </xdr:nvSpPr>
      <xdr:spPr>
        <a:xfrm>
          <a:off x="17569294" y="346363"/>
          <a:ext cx="1749138" cy="2303319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514350</xdr:colOff>
      <xdr:row>12</xdr:row>
      <xdr:rowOff>152833</xdr:rowOff>
    </xdr:from>
    <xdr:to>
      <xdr:col>32</xdr:col>
      <xdr:colOff>236268</xdr:colOff>
      <xdr:row>16</xdr:row>
      <xdr:rowOff>28575</xdr:rowOff>
    </xdr:to>
    <xdr:cxnSp macro="">
      <xdr:nvCxnSpPr>
        <xdr:cNvPr id="25" name="Přímá spojnice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CxnSpPr>
          <a:stCxn id="46" idx="1"/>
        </xdr:cNvCxnSpPr>
      </xdr:nvCxnSpPr>
      <xdr:spPr>
        <a:xfrm flipH="1">
          <a:off x="16973550" y="2438833"/>
          <a:ext cx="2769918" cy="637742"/>
        </a:xfrm>
        <a:prstGeom prst="line">
          <a:avLst/>
        </a:prstGeom>
        <a:ln w="1905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474517</xdr:colOff>
      <xdr:row>14</xdr:row>
      <xdr:rowOff>161925</xdr:rowOff>
    </xdr:from>
    <xdr:to>
      <xdr:col>29</xdr:col>
      <xdr:colOff>96980</xdr:colOff>
      <xdr:row>15</xdr:row>
      <xdr:rowOff>152400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98347">
          <a:off x="17543317" y="2828925"/>
          <a:ext cx="232063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268432</xdr:colOff>
      <xdr:row>10</xdr:row>
      <xdr:rowOff>112568</xdr:rowOff>
    </xdr:from>
    <xdr:to>
      <xdr:col>24</xdr:col>
      <xdr:colOff>513785</xdr:colOff>
      <xdr:row>11</xdr:row>
      <xdr:rowOff>152400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5705" y="2017568"/>
          <a:ext cx="245353" cy="23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329046</xdr:colOff>
      <xdr:row>8</xdr:row>
      <xdr:rowOff>111491</xdr:rowOff>
    </xdr:from>
    <xdr:to>
      <xdr:col>25</xdr:col>
      <xdr:colOff>458933</xdr:colOff>
      <xdr:row>10</xdr:row>
      <xdr:rowOff>58016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0182" y="1635491"/>
          <a:ext cx="1342160" cy="32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294410</xdr:colOff>
      <xdr:row>11</xdr:row>
      <xdr:rowOff>129888</xdr:rowOff>
    </xdr:from>
    <xdr:to>
      <xdr:col>24</xdr:col>
      <xdr:colOff>597478</xdr:colOff>
      <xdr:row>13</xdr:row>
      <xdr:rowOff>25979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1683" y="2225388"/>
          <a:ext cx="303068" cy="2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545522</xdr:colOff>
      <xdr:row>13</xdr:row>
      <xdr:rowOff>51955</xdr:rowOff>
    </xdr:from>
    <xdr:to>
      <xdr:col>27</xdr:col>
      <xdr:colOff>34636</xdr:colOff>
      <xdr:row>15</xdr:row>
      <xdr:rowOff>181841</xdr:rowOff>
    </xdr:to>
    <xdr:cxnSp macro="">
      <xdr:nvCxnSpPr>
        <xdr:cNvPr id="60" name="Přímá spojnice se šipkou 5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CxnSpPr/>
      </xdr:nvCxnSpPr>
      <xdr:spPr>
        <a:xfrm>
          <a:off x="15092795" y="2528455"/>
          <a:ext cx="1307523" cy="510886"/>
        </a:xfrm>
        <a:prstGeom prst="straightConnector1">
          <a:avLst/>
        </a:prstGeom>
        <a:ln w="190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467591</xdr:colOff>
      <xdr:row>13</xdr:row>
      <xdr:rowOff>51955</xdr:rowOff>
    </xdr:from>
    <xdr:to>
      <xdr:col>25</xdr:col>
      <xdr:colOff>199159</xdr:colOff>
      <xdr:row>17</xdr:row>
      <xdr:rowOff>121227</xdr:rowOff>
    </xdr:to>
    <xdr:cxnSp macro="">
      <xdr:nvCxnSpPr>
        <xdr:cNvPr id="61" name="Přímá spojnice se šipkou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CxnSpPr/>
      </xdr:nvCxnSpPr>
      <xdr:spPr>
        <a:xfrm>
          <a:off x="15014864" y="2528455"/>
          <a:ext cx="337704" cy="831272"/>
        </a:xfrm>
        <a:prstGeom prst="straightConnector1">
          <a:avLst/>
        </a:prstGeom>
        <a:ln w="190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17318</xdr:colOff>
      <xdr:row>14</xdr:row>
      <xdr:rowOff>69273</xdr:rowOff>
    </xdr:from>
    <xdr:to>
      <xdr:col>26</xdr:col>
      <xdr:colOff>160193</xdr:colOff>
      <xdr:row>15</xdr:row>
      <xdr:rowOff>69273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6863" y="2736273"/>
          <a:ext cx="142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571500</xdr:colOff>
      <xdr:row>15</xdr:row>
      <xdr:rowOff>43296</xdr:rowOff>
    </xdr:from>
    <xdr:to>
      <xdr:col>25</xdr:col>
      <xdr:colOff>125784</xdr:colOff>
      <xdr:row>16</xdr:row>
      <xdr:rowOff>43295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92806">
          <a:off x="15118773" y="2900796"/>
          <a:ext cx="16042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114300</xdr:colOff>
      <xdr:row>12</xdr:row>
      <xdr:rowOff>152833</xdr:rowOff>
    </xdr:from>
    <xdr:to>
      <xdr:col>32</xdr:col>
      <xdr:colOff>236268</xdr:colOff>
      <xdr:row>18</xdr:row>
      <xdr:rowOff>161925</xdr:rowOff>
    </xdr:to>
    <xdr:cxnSp macro="">
      <xdr:nvCxnSpPr>
        <xdr:cNvPr id="62" name="Přímá spojnice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CxnSpPr>
          <a:stCxn id="46" idx="1"/>
        </xdr:cNvCxnSpPr>
      </xdr:nvCxnSpPr>
      <xdr:spPr>
        <a:xfrm flipH="1">
          <a:off x="15963900" y="2438833"/>
          <a:ext cx="3779568" cy="1152092"/>
        </a:xfrm>
        <a:prstGeom prst="line">
          <a:avLst/>
        </a:prstGeom>
        <a:ln w="19050">
          <a:solidFill>
            <a:schemeClr val="accent2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371475</xdr:colOff>
      <xdr:row>17</xdr:row>
      <xdr:rowOff>142875</xdr:rowOff>
    </xdr:from>
    <xdr:to>
      <xdr:col>26</xdr:col>
      <xdr:colOff>603538</xdr:colOff>
      <xdr:row>18</xdr:row>
      <xdr:rowOff>133350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769203">
          <a:off x="16221075" y="3381375"/>
          <a:ext cx="232063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84666</xdr:colOff>
      <xdr:row>5</xdr:row>
      <xdr:rowOff>1</xdr:rowOff>
    </xdr:from>
    <xdr:to>
      <xdr:col>28</xdr:col>
      <xdr:colOff>211666</xdr:colOff>
      <xdr:row>6</xdr:row>
      <xdr:rowOff>52917</xdr:rowOff>
    </xdr:to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/>
      </xdr:nvSpPr>
      <xdr:spPr>
        <a:xfrm>
          <a:off x="16658166" y="952501"/>
          <a:ext cx="740833" cy="2434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900" b="1" u="none">
              <a:solidFill>
                <a:schemeClr val="tx1">
                  <a:lumMod val="65000"/>
                  <a:lumOff val="35000"/>
                </a:schemeClr>
              </a:solidFill>
            </a:rPr>
            <a:t>viz pozn. 44             </a:t>
          </a:r>
        </a:p>
      </xdr:txBody>
    </xdr:sp>
    <xdr:clientData/>
  </xdr:twoCellAnchor>
  <xdr:twoCellAnchor>
    <xdr:from>
      <xdr:col>22</xdr:col>
      <xdr:colOff>433918</xdr:colOff>
      <xdr:row>10</xdr:row>
      <xdr:rowOff>116416</xdr:rowOff>
    </xdr:from>
    <xdr:to>
      <xdr:col>23</xdr:col>
      <xdr:colOff>603249</xdr:colOff>
      <xdr:row>11</xdr:row>
      <xdr:rowOff>148166</xdr:rowOff>
    </xdr:to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/>
      </xdr:nvSpPr>
      <xdr:spPr>
        <a:xfrm>
          <a:off x="13938251" y="2021416"/>
          <a:ext cx="783165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cs-CZ" sz="900" b="1" u="none">
              <a:solidFill>
                <a:schemeClr val="tx1">
                  <a:lumMod val="65000"/>
                  <a:lumOff val="35000"/>
                </a:schemeClr>
              </a:solidFill>
            </a:rPr>
            <a:t>viz pozn. 46            </a:t>
          </a:r>
        </a:p>
      </xdr:txBody>
    </xdr:sp>
    <xdr:clientData/>
  </xdr:twoCellAnchor>
  <xdr:twoCellAnchor>
    <xdr:from>
      <xdr:col>33</xdr:col>
      <xdr:colOff>95249</xdr:colOff>
      <xdr:row>9</xdr:row>
      <xdr:rowOff>137583</xdr:rowOff>
    </xdr:from>
    <xdr:to>
      <xdr:col>34</xdr:col>
      <xdr:colOff>232833</xdr:colOff>
      <xdr:row>11</xdr:row>
      <xdr:rowOff>21166</xdr:rowOff>
    </xdr:to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/>
      </xdr:nvSpPr>
      <xdr:spPr>
        <a:xfrm>
          <a:off x="20351749" y="1852083"/>
          <a:ext cx="751417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900" b="1" u="none">
              <a:solidFill>
                <a:schemeClr val="tx1">
                  <a:lumMod val="65000"/>
                  <a:lumOff val="35000"/>
                </a:schemeClr>
              </a:solidFill>
            </a:rPr>
            <a:t>viz pozn. 47             </a:t>
          </a:r>
        </a:p>
      </xdr:txBody>
    </xdr:sp>
    <xdr:clientData/>
  </xdr:twoCellAnchor>
  <xdr:twoCellAnchor>
    <xdr:from>
      <xdr:col>30</xdr:col>
      <xdr:colOff>391583</xdr:colOff>
      <xdr:row>5</xdr:row>
      <xdr:rowOff>127001</xdr:rowOff>
    </xdr:from>
    <xdr:to>
      <xdr:col>31</xdr:col>
      <xdr:colOff>465667</xdr:colOff>
      <xdr:row>7</xdr:row>
      <xdr:rowOff>10584</xdr:rowOff>
    </xdr:to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/>
      </xdr:nvSpPr>
      <xdr:spPr>
        <a:xfrm>
          <a:off x="18806583" y="1079501"/>
          <a:ext cx="687917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00" b="1" u="none">
              <a:solidFill>
                <a:schemeClr val="tx1">
                  <a:lumMod val="65000"/>
                  <a:lumOff val="35000"/>
                </a:schemeClr>
              </a:solidFill>
            </a:rPr>
            <a:t>viz pozn. 40             </a:t>
          </a:r>
        </a:p>
      </xdr:txBody>
    </xdr:sp>
    <xdr:clientData/>
  </xdr:twoCellAnchor>
  <xdr:twoCellAnchor editAs="oneCell">
    <xdr:from>
      <xdr:col>20</xdr:col>
      <xdr:colOff>317499</xdr:colOff>
      <xdr:row>39</xdr:row>
      <xdr:rowOff>31751</xdr:rowOff>
    </xdr:from>
    <xdr:to>
      <xdr:col>32</xdr:col>
      <xdr:colOff>450849</xdr:colOff>
      <xdr:row>45</xdr:row>
      <xdr:rowOff>174626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166" y="7461251"/>
          <a:ext cx="74993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402165</xdr:colOff>
      <xdr:row>39</xdr:row>
      <xdr:rowOff>63500</xdr:rowOff>
    </xdr:from>
    <xdr:to>
      <xdr:col>35</xdr:col>
      <xdr:colOff>93132</xdr:colOff>
      <xdr:row>45</xdr:row>
      <xdr:rowOff>177800</xdr:rowOff>
    </xdr:to>
    <xdr:pic>
      <xdr:nvPicPr>
        <xdr:cNvPr id="71" name="Obrázek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4832" y="7493000"/>
          <a:ext cx="1532467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317500</xdr:colOff>
      <xdr:row>39</xdr:row>
      <xdr:rowOff>74085</xdr:rowOff>
    </xdr:from>
    <xdr:to>
      <xdr:col>34</xdr:col>
      <xdr:colOff>317501</xdr:colOff>
      <xdr:row>41</xdr:row>
      <xdr:rowOff>16935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0167" y="7503585"/>
          <a:ext cx="122766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328084</xdr:colOff>
      <xdr:row>39</xdr:row>
      <xdr:rowOff>116416</xdr:rowOff>
    </xdr:from>
    <xdr:to>
      <xdr:col>33</xdr:col>
      <xdr:colOff>560918</xdr:colOff>
      <xdr:row>40</xdr:row>
      <xdr:rowOff>190498</xdr:rowOff>
    </xdr:to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/>
      </xdr:nvSpPr>
      <xdr:spPr>
        <a:xfrm>
          <a:off x="19970751" y="7545916"/>
          <a:ext cx="846667" cy="264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Faricimab            </a:t>
          </a:r>
        </a:p>
      </xdr:txBody>
    </xdr:sp>
    <xdr:clientData/>
  </xdr:twoCellAnchor>
  <xdr:twoCellAnchor>
    <xdr:from>
      <xdr:col>20</xdr:col>
      <xdr:colOff>285750</xdr:colOff>
      <xdr:row>42</xdr:row>
      <xdr:rowOff>84666</xdr:rowOff>
    </xdr:from>
    <xdr:to>
      <xdr:col>23</xdr:col>
      <xdr:colOff>254000</xdr:colOff>
      <xdr:row>43</xdr:row>
      <xdr:rowOff>42333</xdr:rowOff>
    </xdr:to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/>
      </xdr:nvSpPr>
      <xdr:spPr>
        <a:xfrm>
          <a:off x="12562417" y="8085666"/>
          <a:ext cx="1809750" cy="14816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Nitroční</a:t>
          </a:r>
          <a:r>
            <a:rPr lang="cs-CZ" sz="1100" b="1" u="none" baseline="0">
              <a:solidFill>
                <a:schemeClr val="tx1">
                  <a:lumMod val="65000"/>
                  <a:lumOff val="35000"/>
                </a:schemeClr>
              </a:solidFill>
            </a:rPr>
            <a:t> biolog. poločas</a:t>
          </a:r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           </a:t>
          </a:r>
        </a:p>
      </xdr:txBody>
    </xdr:sp>
    <xdr:clientData/>
  </xdr:twoCellAnchor>
  <xdr:twoCellAnchor>
    <xdr:from>
      <xdr:col>25</xdr:col>
      <xdr:colOff>285750</xdr:colOff>
      <xdr:row>42</xdr:row>
      <xdr:rowOff>84666</xdr:rowOff>
    </xdr:from>
    <xdr:to>
      <xdr:col>35</xdr:col>
      <xdr:colOff>0</xdr:colOff>
      <xdr:row>43</xdr:row>
      <xdr:rowOff>21167</xdr:rowOff>
    </xdr:to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/>
      </xdr:nvSpPr>
      <xdr:spPr>
        <a:xfrm>
          <a:off x="15631583" y="8085666"/>
          <a:ext cx="5852584" cy="12700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  cca 3 - 4,4 dne                     cca 7,1 dní                          cca 4,8 dne                        cca 7,5 dní            </a:t>
          </a:r>
        </a:p>
      </xdr:txBody>
    </xdr:sp>
    <xdr:clientData/>
  </xdr:twoCellAnchor>
  <xdr:twoCellAnchor>
    <xdr:from>
      <xdr:col>20</xdr:col>
      <xdr:colOff>296333</xdr:colOff>
      <xdr:row>43</xdr:row>
      <xdr:rowOff>105833</xdr:rowOff>
    </xdr:from>
    <xdr:to>
      <xdr:col>25</xdr:col>
      <xdr:colOff>31750</xdr:colOff>
      <xdr:row>44</xdr:row>
      <xdr:rowOff>95250</xdr:rowOff>
    </xdr:to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/>
      </xdr:nvSpPr>
      <xdr:spPr>
        <a:xfrm>
          <a:off x="12573000" y="8297333"/>
          <a:ext cx="2804583" cy="17991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Kd pro vazbu na VEGF-A            </a:t>
          </a:r>
        </a:p>
      </xdr:txBody>
    </xdr:sp>
    <xdr:clientData/>
  </xdr:twoCellAnchor>
  <xdr:twoCellAnchor>
    <xdr:from>
      <xdr:col>25</xdr:col>
      <xdr:colOff>328083</xdr:colOff>
      <xdr:row>43</xdr:row>
      <xdr:rowOff>126999</xdr:rowOff>
    </xdr:from>
    <xdr:to>
      <xdr:col>35</xdr:col>
      <xdr:colOff>42333</xdr:colOff>
      <xdr:row>44</xdr:row>
      <xdr:rowOff>84667</xdr:rowOff>
    </xdr:to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/>
      </xdr:nvSpPr>
      <xdr:spPr>
        <a:xfrm>
          <a:off x="15673916" y="8318499"/>
          <a:ext cx="5852584" cy="14816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   cca 30 pM                cca 0,5 pM </a:t>
          </a:r>
          <a:r>
            <a:rPr lang="cs-CZ" sz="900" b="1" u="none">
              <a:solidFill>
                <a:schemeClr val="tx1">
                  <a:lumMod val="65000"/>
                  <a:lumOff val="35000"/>
                </a:schemeClr>
              </a:solidFill>
            </a:rPr>
            <a:t>(40pM pro PIGF2</a:t>
          </a:r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)         cca 50 pM              cca 3 nM</a:t>
          </a:r>
          <a:r>
            <a:rPr lang="cs-CZ" sz="900" b="1" u="none">
              <a:solidFill>
                <a:schemeClr val="tx1">
                  <a:lumMod val="65000"/>
                  <a:lumOff val="35000"/>
                </a:schemeClr>
              </a:solidFill>
            </a:rPr>
            <a:t> (22</a:t>
          </a:r>
          <a:r>
            <a:rPr lang="cs-CZ" sz="900" b="1" u="none" baseline="0">
              <a:solidFill>
                <a:schemeClr val="tx1">
                  <a:lumMod val="65000"/>
                  <a:lumOff val="35000"/>
                </a:schemeClr>
              </a:solidFill>
            </a:rPr>
            <a:t> nM pro Ang-2</a:t>
          </a:r>
          <a:r>
            <a:rPr lang="cs-CZ" sz="1100" b="1" u="none" baseline="0">
              <a:solidFill>
                <a:schemeClr val="tx1">
                  <a:lumMod val="65000"/>
                  <a:lumOff val="35000"/>
                </a:schemeClr>
              </a:solidFill>
            </a:rPr>
            <a:t>)</a:t>
          </a:r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           </a:t>
          </a:r>
        </a:p>
      </xdr:txBody>
    </xdr:sp>
    <xdr:clientData/>
  </xdr:twoCellAnchor>
  <xdr:twoCellAnchor>
    <xdr:from>
      <xdr:col>20</xdr:col>
      <xdr:colOff>285750</xdr:colOff>
      <xdr:row>44</xdr:row>
      <xdr:rowOff>148167</xdr:rowOff>
    </xdr:from>
    <xdr:to>
      <xdr:col>25</xdr:col>
      <xdr:colOff>402167</xdr:colOff>
      <xdr:row>45</xdr:row>
      <xdr:rowOff>148167</xdr:rowOff>
    </xdr:to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/>
      </xdr:nvSpPr>
      <xdr:spPr>
        <a:xfrm>
          <a:off x="12562417" y="8530167"/>
          <a:ext cx="3185583" cy="1905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Klinická jednotlivá dávka           </a:t>
          </a:r>
        </a:p>
      </xdr:txBody>
    </xdr:sp>
    <xdr:clientData/>
  </xdr:twoCellAnchor>
  <xdr:twoCellAnchor>
    <xdr:from>
      <xdr:col>25</xdr:col>
      <xdr:colOff>391584</xdr:colOff>
      <xdr:row>44</xdr:row>
      <xdr:rowOff>179918</xdr:rowOff>
    </xdr:from>
    <xdr:to>
      <xdr:col>35</xdr:col>
      <xdr:colOff>105834</xdr:colOff>
      <xdr:row>45</xdr:row>
      <xdr:rowOff>137584</xdr:rowOff>
    </xdr:to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/>
      </xdr:nvSpPr>
      <xdr:spPr>
        <a:xfrm>
          <a:off x="15737417" y="8561918"/>
          <a:ext cx="5852584" cy="14816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      6,0 mg                                2,0 mg                                 0,5 mg                                6 mg            </a:t>
          </a:r>
        </a:p>
      </xdr:txBody>
    </xdr:sp>
    <xdr:clientData/>
  </xdr:twoCellAnchor>
  <xdr:twoCellAnchor>
    <xdr:from>
      <xdr:col>25</xdr:col>
      <xdr:colOff>412751</xdr:colOff>
      <xdr:row>46</xdr:row>
      <xdr:rowOff>31750</xdr:rowOff>
    </xdr:from>
    <xdr:to>
      <xdr:col>35</xdr:col>
      <xdr:colOff>127001</xdr:colOff>
      <xdr:row>46</xdr:row>
      <xdr:rowOff>179916</xdr:rowOff>
    </xdr:to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/>
      </xdr:nvSpPr>
      <xdr:spPr>
        <a:xfrm>
          <a:off x="15758584" y="8794750"/>
          <a:ext cx="5852584" cy="14816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  11,2</a:t>
          </a:r>
          <a:r>
            <a:rPr lang="cs-CZ" sz="1100" b="1" u="none" baseline="0">
              <a:solidFill>
                <a:schemeClr val="tx1">
                  <a:lumMod val="65000"/>
                  <a:lumOff val="35000"/>
                </a:schemeClr>
              </a:solidFill>
            </a:rPr>
            <a:t> - 13,3    </a:t>
          </a:r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                         1,0                                     0,5 - 0,6                            2,0</a:t>
          </a:r>
          <a:r>
            <a:rPr lang="cs-CZ" sz="1100" b="1" u="none" baseline="0">
              <a:solidFill>
                <a:schemeClr val="tx1">
                  <a:lumMod val="65000"/>
                  <a:lumOff val="35000"/>
                </a:schemeClr>
              </a:solidFill>
            </a:rPr>
            <a:t> - 2,2</a:t>
          </a:r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           </a:t>
          </a:r>
        </a:p>
      </xdr:txBody>
    </xdr:sp>
    <xdr:clientData/>
  </xdr:twoCellAnchor>
  <xdr:twoCellAnchor>
    <xdr:from>
      <xdr:col>25</xdr:col>
      <xdr:colOff>444500</xdr:colOff>
      <xdr:row>45</xdr:row>
      <xdr:rowOff>169333</xdr:rowOff>
    </xdr:from>
    <xdr:to>
      <xdr:col>35</xdr:col>
      <xdr:colOff>84666</xdr:colOff>
      <xdr:row>45</xdr:row>
      <xdr:rowOff>169336</xdr:rowOff>
    </xdr:to>
    <xdr:cxnSp macro="">
      <xdr:nvCxnSpPr>
        <xdr:cNvPr id="36" name="Přímá spojnice 3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CxnSpPr/>
      </xdr:nvCxnSpPr>
      <xdr:spPr>
        <a:xfrm>
          <a:off x="15790333" y="8741833"/>
          <a:ext cx="5778500" cy="3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264582</xdr:colOff>
      <xdr:row>45</xdr:row>
      <xdr:rowOff>179917</xdr:rowOff>
    </xdr:from>
    <xdr:to>
      <xdr:col>25</xdr:col>
      <xdr:colOff>380999</xdr:colOff>
      <xdr:row>46</xdr:row>
      <xdr:rowOff>179917</xdr:rowOff>
    </xdr:to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/>
      </xdr:nvSpPr>
      <xdr:spPr>
        <a:xfrm>
          <a:off x="12541249" y="8752417"/>
          <a:ext cx="3185583" cy="1905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100" b="1" u="none">
              <a:solidFill>
                <a:schemeClr val="tx1">
                  <a:lumMod val="65000"/>
                  <a:lumOff val="35000"/>
                </a:schemeClr>
              </a:solidFill>
            </a:rPr>
            <a:t>  Relativní počet molekul na 1 injekci (ref. je aflib.)           </a:t>
          </a:r>
        </a:p>
      </xdr:txBody>
    </xdr:sp>
    <xdr:clientData/>
  </xdr:twoCellAnchor>
  <xdr:twoCellAnchor>
    <xdr:from>
      <xdr:col>32</xdr:col>
      <xdr:colOff>306916</xdr:colOff>
      <xdr:row>14</xdr:row>
      <xdr:rowOff>42333</xdr:rowOff>
    </xdr:from>
    <xdr:to>
      <xdr:col>34</xdr:col>
      <xdr:colOff>264584</xdr:colOff>
      <xdr:row>16</xdr:row>
      <xdr:rowOff>137582</xdr:rowOff>
    </xdr:to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/>
      </xdr:nvSpPr>
      <xdr:spPr>
        <a:xfrm>
          <a:off x="19949583" y="2709333"/>
          <a:ext cx="1185334" cy="476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00" b="1" u="none">
              <a:solidFill>
                <a:srgbClr val="7030A0"/>
              </a:solidFill>
            </a:rPr>
            <a:t>měl by vázat (dle pozn. 51) všechny isoformy VEGF-A - viz pozn. 45    </a:t>
          </a:r>
          <a:r>
            <a:rPr lang="cs-CZ" sz="800" b="1" u="none">
              <a:solidFill>
                <a:schemeClr val="tx1">
                  <a:lumMod val="65000"/>
                  <a:lumOff val="35000"/>
                </a:schemeClr>
              </a:solidFill>
            </a:rPr>
            <a:t>         </a:t>
          </a:r>
        </a:p>
      </xdr:txBody>
    </xdr:sp>
    <xdr:clientData/>
  </xdr:twoCellAnchor>
  <xdr:twoCellAnchor>
    <xdr:from>
      <xdr:col>23</xdr:col>
      <xdr:colOff>105834</xdr:colOff>
      <xdr:row>14</xdr:row>
      <xdr:rowOff>116417</xdr:rowOff>
    </xdr:from>
    <xdr:to>
      <xdr:col>24</xdr:col>
      <xdr:colOff>550335</xdr:colOff>
      <xdr:row>17</xdr:row>
      <xdr:rowOff>179917</xdr:rowOff>
    </xdr:to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/>
      </xdr:nvSpPr>
      <xdr:spPr>
        <a:xfrm>
          <a:off x="14224001" y="2783417"/>
          <a:ext cx="1058334" cy="635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00" b="1" u="none">
              <a:solidFill>
                <a:srgbClr val="7030A0"/>
              </a:solidFill>
            </a:rPr>
            <a:t>měl by vázat (dle pozn. 51) isoformy VEGF-A : 110, 121, 165 - </a:t>
          </a:r>
          <a:r>
            <a:rPr lang="cs-CZ" sz="800" b="1" u="none" baseline="0">
              <a:solidFill>
                <a:srgbClr val="7030A0"/>
              </a:solidFill>
            </a:rPr>
            <a:t> </a:t>
          </a:r>
          <a:r>
            <a:rPr lang="cs-CZ" sz="800" b="1" u="none">
              <a:solidFill>
                <a:srgbClr val="7030A0"/>
              </a:solidFill>
            </a:rPr>
            <a:t>viz pozn. 45             </a:t>
          </a:r>
        </a:p>
      </xdr:txBody>
    </xdr:sp>
    <xdr:clientData/>
  </xdr:twoCellAnchor>
  <xdr:twoCellAnchor>
    <xdr:from>
      <xdr:col>23</xdr:col>
      <xdr:colOff>74084</xdr:colOff>
      <xdr:row>14</xdr:row>
      <xdr:rowOff>21167</xdr:rowOff>
    </xdr:from>
    <xdr:to>
      <xdr:col>24</xdr:col>
      <xdr:colOff>518583</xdr:colOff>
      <xdr:row>18</xdr:row>
      <xdr:rowOff>0</xdr:rowOff>
    </xdr:to>
    <xdr:sp macro="" textlink="">
      <xdr:nvSpPr>
        <xdr:cNvPr id="89" name="Ovál 88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/>
      </xdr:nvSpPr>
      <xdr:spPr>
        <a:xfrm>
          <a:off x="14192251" y="2688167"/>
          <a:ext cx="1058332" cy="740833"/>
        </a:xfrm>
        <a:prstGeom prst="ellipse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285750</xdr:colOff>
      <xdr:row>13</xdr:row>
      <xdr:rowOff>105833</xdr:rowOff>
    </xdr:from>
    <xdr:to>
      <xdr:col>34</xdr:col>
      <xdr:colOff>296334</xdr:colOff>
      <xdr:row>17</xdr:row>
      <xdr:rowOff>21167</xdr:rowOff>
    </xdr:to>
    <xdr:sp macro="" textlink="">
      <xdr:nvSpPr>
        <xdr:cNvPr id="90" name="Ovál 89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/>
      </xdr:nvSpPr>
      <xdr:spPr>
        <a:xfrm>
          <a:off x="19928417" y="2582333"/>
          <a:ext cx="1238250" cy="677334"/>
        </a:xfrm>
        <a:prstGeom prst="ellipse">
          <a:avLst/>
        </a:prstGeom>
        <a:noFill/>
        <a:ln w="254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582084</xdr:colOff>
      <xdr:row>10</xdr:row>
      <xdr:rowOff>84666</xdr:rowOff>
    </xdr:from>
    <xdr:to>
      <xdr:col>24</xdr:col>
      <xdr:colOff>95250</xdr:colOff>
      <xdr:row>14</xdr:row>
      <xdr:rowOff>148167</xdr:rowOff>
    </xdr:to>
    <xdr:sp macro="" textlink="">
      <xdr:nvSpPr>
        <xdr:cNvPr id="91" name="Šipka dolů 90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/>
      </xdr:nvSpPr>
      <xdr:spPr>
        <a:xfrm>
          <a:off x="14700251" y="1989666"/>
          <a:ext cx="126999" cy="82550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33</xdr:col>
      <xdr:colOff>52918</xdr:colOff>
      <xdr:row>9</xdr:row>
      <xdr:rowOff>21167</xdr:rowOff>
    </xdr:from>
    <xdr:to>
      <xdr:col>33</xdr:col>
      <xdr:colOff>179918</xdr:colOff>
      <xdr:row>14</xdr:row>
      <xdr:rowOff>52917</xdr:rowOff>
    </xdr:to>
    <xdr:sp macro="" textlink="">
      <xdr:nvSpPr>
        <xdr:cNvPr id="92" name="Šipka dolů 9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/>
      </xdr:nvSpPr>
      <xdr:spPr>
        <a:xfrm>
          <a:off x="20309418" y="1735667"/>
          <a:ext cx="127000" cy="984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20</xdr:col>
      <xdr:colOff>105832</xdr:colOff>
      <xdr:row>48</xdr:row>
      <xdr:rowOff>148167</xdr:rowOff>
    </xdr:from>
    <xdr:to>
      <xdr:col>29</xdr:col>
      <xdr:colOff>53974</xdr:colOff>
      <xdr:row>78</xdr:row>
      <xdr:rowOff>129117</xdr:rowOff>
    </xdr:to>
    <xdr:pic>
      <xdr:nvPicPr>
        <xdr:cNvPr id="93" name="Obrázek 92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9" y="9292167"/>
          <a:ext cx="5472642" cy="569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127000</xdr:colOff>
      <xdr:row>50</xdr:row>
      <xdr:rowOff>179917</xdr:rowOff>
    </xdr:from>
    <xdr:to>
      <xdr:col>26</xdr:col>
      <xdr:colOff>353482</xdr:colOff>
      <xdr:row>52</xdr:row>
      <xdr:rowOff>148430</xdr:rowOff>
    </xdr:to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 txBox="1"/>
      </xdr:nvSpPr>
      <xdr:spPr>
        <a:xfrm>
          <a:off x="14859000" y="9704917"/>
          <a:ext cx="1454149" cy="3495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00" b="1" u="sng"/>
            <a:t>in BCVA at 2 year             </a:t>
          </a:r>
          <a:r>
            <a:rPr lang="cs-CZ" sz="800" b="1" u="none"/>
            <a:t>(ETDRS letters, viz pozn. 11)</a:t>
          </a:r>
        </a:p>
      </xdr:txBody>
    </xdr:sp>
    <xdr:clientData/>
  </xdr:twoCellAnchor>
  <xdr:twoCellAnchor editAs="oneCell">
    <xdr:from>
      <xdr:col>29</xdr:col>
      <xdr:colOff>412751</xdr:colOff>
      <xdr:row>48</xdr:row>
      <xdr:rowOff>148167</xdr:rowOff>
    </xdr:from>
    <xdr:to>
      <xdr:col>38</xdr:col>
      <xdr:colOff>151343</xdr:colOff>
      <xdr:row>77</xdr:row>
      <xdr:rowOff>179917</xdr:rowOff>
    </xdr:to>
    <xdr:pic>
      <xdr:nvPicPr>
        <xdr:cNvPr id="95" name="Obrázek 94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3918" y="9292167"/>
          <a:ext cx="5263092" cy="555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317501</xdr:colOff>
      <xdr:row>50</xdr:row>
      <xdr:rowOff>74084</xdr:rowOff>
    </xdr:from>
    <xdr:to>
      <xdr:col>36</xdr:col>
      <xdr:colOff>22226</xdr:colOff>
      <xdr:row>52</xdr:row>
      <xdr:rowOff>64559</xdr:rowOff>
    </xdr:to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 txBox="1"/>
      </xdr:nvSpPr>
      <xdr:spPr>
        <a:xfrm>
          <a:off x="20574001" y="9599084"/>
          <a:ext cx="154622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900" b="1" u="sng"/>
            <a:t>in retinal thickness at 2 year </a:t>
          </a:r>
        </a:p>
        <a:p>
          <a:pPr algn="l"/>
          <a:r>
            <a:rPr lang="cs-CZ" sz="900" b="1" u="none"/>
            <a:t>     </a:t>
          </a:r>
          <a:r>
            <a:rPr lang="cs-CZ" sz="800" b="1" u="none"/>
            <a:t>(micrometrs,</a:t>
          </a:r>
          <a:r>
            <a:rPr lang="cs-CZ" sz="800" b="1" u="none" baseline="0"/>
            <a:t> viz pozn. 18)</a:t>
          </a:r>
          <a:endParaRPr lang="cs-CZ" sz="800" b="1" u="none"/>
        </a:p>
      </xdr:txBody>
    </xdr:sp>
    <xdr:clientData/>
  </xdr:twoCellAnchor>
  <xdr:twoCellAnchor>
    <xdr:from>
      <xdr:col>27</xdr:col>
      <xdr:colOff>539751</xdr:colOff>
      <xdr:row>50</xdr:row>
      <xdr:rowOff>52917</xdr:rowOff>
    </xdr:from>
    <xdr:to>
      <xdr:col>29</xdr:col>
      <xdr:colOff>285750</xdr:colOff>
      <xdr:row>57</xdr:row>
      <xdr:rowOff>94194</xdr:rowOff>
    </xdr:to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 txBox="1"/>
      </xdr:nvSpPr>
      <xdr:spPr>
        <a:xfrm>
          <a:off x="17113251" y="9577917"/>
          <a:ext cx="973666" cy="137477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0" u="none"/>
            <a:t>loading phase  (3x monthly,</a:t>
          </a:r>
          <a:r>
            <a:rPr lang="cs-CZ" sz="800" b="0" u="none" baseline="0"/>
            <a:t> then 6mg  </a:t>
          </a:r>
          <a:r>
            <a:rPr lang="cs-CZ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every 12 weeks unless there were signs of disease progression in which case the patient switched to bimonthly inj.</a:t>
          </a:r>
          <a:endParaRPr lang="cs-CZ" sz="800" b="1" u="sng"/>
        </a:p>
      </xdr:txBody>
    </xdr:sp>
    <xdr:clientData/>
  </xdr:twoCellAnchor>
  <xdr:twoCellAnchor>
    <xdr:from>
      <xdr:col>29</xdr:col>
      <xdr:colOff>126999</xdr:colOff>
      <xdr:row>49</xdr:row>
      <xdr:rowOff>179917</xdr:rowOff>
    </xdr:from>
    <xdr:to>
      <xdr:col>35</xdr:col>
      <xdr:colOff>436033</xdr:colOff>
      <xdr:row>51</xdr:row>
      <xdr:rowOff>179917</xdr:rowOff>
    </xdr:to>
    <xdr:cxnSp macro="">
      <xdr:nvCxnSpPr>
        <xdr:cNvPr id="98" name="Přímá spojnice se šipkou 9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CxnSpPr/>
      </xdr:nvCxnSpPr>
      <xdr:spPr>
        <a:xfrm flipH="1">
          <a:off x="17928166" y="9514417"/>
          <a:ext cx="3992034" cy="3810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50</xdr:row>
      <xdr:rowOff>31749</xdr:rowOff>
    </xdr:from>
    <xdr:to>
      <xdr:col>28</xdr:col>
      <xdr:colOff>14289</xdr:colOff>
      <xdr:row>51</xdr:row>
      <xdr:rowOff>165099</xdr:rowOff>
    </xdr:to>
    <xdr:cxnSp macro="">
      <xdr:nvCxnSpPr>
        <xdr:cNvPr id="99" name="Přímá spojnice se šipkou 98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CxnSpPr/>
      </xdr:nvCxnSpPr>
      <xdr:spPr>
        <a:xfrm>
          <a:off x="16054917" y="9556749"/>
          <a:ext cx="1146705" cy="3238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63500</xdr:colOff>
      <xdr:row>58</xdr:row>
      <xdr:rowOff>63500</xdr:rowOff>
    </xdr:from>
    <xdr:to>
      <xdr:col>22</xdr:col>
      <xdr:colOff>63500</xdr:colOff>
      <xdr:row>60</xdr:row>
      <xdr:rowOff>0</xdr:rowOff>
    </xdr:to>
    <xdr:sp macro="" textlink="">
      <xdr:nvSpPr>
        <xdr:cNvPr id="100" name="Ovál 99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/>
      </xdr:nvSpPr>
      <xdr:spPr>
        <a:xfrm>
          <a:off x="12340167" y="11112500"/>
          <a:ext cx="1227666" cy="31750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169333</xdr:colOff>
      <xdr:row>58</xdr:row>
      <xdr:rowOff>95250</xdr:rowOff>
    </xdr:from>
    <xdr:to>
      <xdr:col>29</xdr:col>
      <xdr:colOff>285750</xdr:colOff>
      <xdr:row>70</xdr:row>
      <xdr:rowOff>10583</xdr:rowOff>
    </xdr:to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 txBox="1"/>
      </xdr:nvSpPr>
      <xdr:spPr>
        <a:xfrm>
          <a:off x="16742833" y="11144250"/>
          <a:ext cx="1344084" cy="220133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CAVE! u faricimabu jsou ve NMA jen data za 1. rok</a:t>
          </a:r>
          <a:r>
            <a:rPr lang="cs-CZ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protože u faricimabu byla v té době dostupná zatím jen data po 1 roce studií TENAYA a LUCERNE</a:t>
          </a:r>
          <a:r>
            <a:rPr lang="cs-CZ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</a:t>
          </a:r>
          <a:r>
            <a:rPr lang="cs-CZ" sz="8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cs-CZ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při porovnání s afliberceptem (ve stejném dávk. režimu jako je v NMA ) nebyly významné rozdíly v parametru BCVA či v parametru snížení tloušťky centrálního subpole (CST)  ani po předběžně publikovaných výsledcích po 2 letech trvání  studií  </a:t>
          </a:r>
          <a:r>
            <a:rPr lang="cs-CZ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(viz níže pozn. 60)</a:t>
          </a:r>
          <a:endParaRPr lang="cs-CZ" sz="800" b="1" u="sng"/>
        </a:p>
      </xdr:txBody>
    </xdr:sp>
    <xdr:clientData/>
  </xdr:twoCellAnchor>
  <xdr:twoCellAnchor>
    <xdr:from>
      <xdr:col>21</xdr:col>
      <xdr:colOff>402166</xdr:colOff>
      <xdr:row>59</xdr:row>
      <xdr:rowOff>21166</xdr:rowOff>
    </xdr:from>
    <xdr:to>
      <xdr:col>27</xdr:col>
      <xdr:colOff>296333</xdr:colOff>
      <xdr:row>62</xdr:row>
      <xdr:rowOff>10583</xdr:rowOff>
    </xdr:to>
    <xdr:cxnSp macro="">
      <xdr:nvCxnSpPr>
        <xdr:cNvPr id="102" name="Přímá spojnice se šipkou 101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CxnSpPr/>
      </xdr:nvCxnSpPr>
      <xdr:spPr>
        <a:xfrm>
          <a:off x="13292666" y="11260666"/>
          <a:ext cx="3577167" cy="560917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359832</xdr:colOff>
      <xdr:row>58</xdr:row>
      <xdr:rowOff>105833</xdr:rowOff>
    </xdr:from>
    <xdr:to>
      <xdr:col>31</xdr:col>
      <xdr:colOff>158750</xdr:colOff>
      <xdr:row>60</xdr:row>
      <xdr:rowOff>42333</xdr:rowOff>
    </xdr:to>
    <xdr:sp macro="" textlink="">
      <xdr:nvSpPr>
        <xdr:cNvPr id="103" name="Ovál 102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/>
      </xdr:nvSpPr>
      <xdr:spPr>
        <a:xfrm>
          <a:off x="18160999" y="11154833"/>
          <a:ext cx="1026584" cy="31750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179916</xdr:colOff>
      <xdr:row>59</xdr:row>
      <xdr:rowOff>169334</xdr:rowOff>
    </xdr:from>
    <xdr:to>
      <xdr:col>30</xdr:col>
      <xdr:colOff>63500</xdr:colOff>
      <xdr:row>62</xdr:row>
      <xdr:rowOff>21167</xdr:rowOff>
    </xdr:to>
    <xdr:cxnSp macro="">
      <xdr:nvCxnSpPr>
        <xdr:cNvPr id="104" name="Přímá spojnice se šipkou 103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CxnSpPr/>
      </xdr:nvCxnSpPr>
      <xdr:spPr>
        <a:xfrm flipH="1">
          <a:off x="17981083" y="11408834"/>
          <a:ext cx="497417" cy="42333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169332</xdr:colOff>
      <xdr:row>4</xdr:row>
      <xdr:rowOff>11906</xdr:rowOff>
    </xdr:from>
    <xdr:to>
      <xdr:col>45</xdr:col>
      <xdr:colOff>107155</xdr:colOff>
      <xdr:row>35</xdr:row>
      <xdr:rowOff>80256</xdr:rowOff>
    </xdr:to>
    <xdr:pic>
      <xdr:nvPicPr>
        <xdr:cNvPr id="105" name="Obrázek 104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7332" y="773906"/>
          <a:ext cx="5462323" cy="597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99219</xdr:colOff>
      <xdr:row>5</xdr:row>
      <xdr:rowOff>177270</xdr:rowOff>
    </xdr:from>
    <xdr:to>
      <xdr:col>43</xdr:col>
      <xdr:colOff>15874</xdr:colOff>
      <xdr:row>7</xdr:row>
      <xdr:rowOff>167745</xdr:rowOff>
    </xdr:to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/>
      </xdr:nvSpPr>
      <xdr:spPr>
        <a:xfrm>
          <a:off x="24652552" y="1129770"/>
          <a:ext cx="175815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900" b="1" u="sng"/>
            <a:t>overal discontinuation</a:t>
          </a:r>
          <a:r>
            <a:rPr lang="cs-CZ" sz="900" b="1" u="sng" baseline="0"/>
            <a:t> at 1 year</a:t>
          </a:r>
          <a:r>
            <a:rPr lang="cs-CZ" sz="900" b="1" u="sng"/>
            <a:t> </a:t>
          </a:r>
        </a:p>
        <a:p>
          <a:pPr algn="l"/>
          <a:r>
            <a:rPr lang="cs-CZ" sz="900" b="1" u="none"/>
            <a:t> </a:t>
          </a:r>
          <a:r>
            <a:rPr lang="cs-CZ" sz="800" b="1" u="none"/>
            <a:t>(</a:t>
          </a:r>
          <a:r>
            <a:rPr lang="cs-CZ" sz="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upraveno dle zdroje pod pozn. 38</a:t>
          </a:r>
          <a:r>
            <a:rPr lang="cs-CZ" sz="800" b="1" u="none" baseline="0"/>
            <a:t>)</a:t>
          </a:r>
          <a:endParaRPr lang="cs-CZ" sz="800" b="1" u="none"/>
        </a:p>
      </xdr:txBody>
    </xdr:sp>
    <xdr:clientData/>
  </xdr:twoCellAnchor>
  <xdr:twoCellAnchor>
    <xdr:from>
      <xdr:col>36</xdr:col>
      <xdr:colOff>142876</xdr:colOff>
      <xdr:row>26</xdr:row>
      <xdr:rowOff>0</xdr:rowOff>
    </xdr:from>
    <xdr:to>
      <xdr:col>38</xdr:col>
      <xdr:colOff>445293</xdr:colOff>
      <xdr:row>27</xdr:row>
      <xdr:rowOff>127000</xdr:rowOff>
    </xdr:to>
    <xdr:sp macro="" textlink="">
      <xdr:nvSpPr>
        <xdr:cNvPr id="107" name="Ovál 106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/>
      </xdr:nvSpPr>
      <xdr:spPr>
        <a:xfrm>
          <a:off x="22240876" y="4953000"/>
          <a:ext cx="1530084" cy="31750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43</xdr:col>
      <xdr:colOff>384969</xdr:colOff>
      <xdr:row>24</xdr:row>
      <xdr:rowOff>168010</xdr:rowOff>
    </xdr:from>
    <xdr:to>
      <xdr:col>45</xdr:col>
      <xdr:colOff>130969</xdr:colOff>
      <xdr:row>30</xdr:row>
      <xdr:rowOff>177535</xdr:rowOff>
    </xdr:to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 txBox="1"/>
      </xdr:nvSpPr>
      <xdr:spPr>
        <a:xfrm>
          <a:off x="26779802" y="4740010"/>
          <a:ext cx="973667" cy="11525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0" u="none"/>
            <a:t>loading phase  (4x monthly,</a:t>
          </a:r>
          <a:r>
            <a:rPr lang="cs-CZ" sz="800" b="0" u="none" baseline="0"/>
            <a:t> then  </a:t>
          </a:r>
          <a:r>
            <a:rPr lang="cs-CZ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inj. every 8 or</a:t>
          </a:r>
        </a:p>
        <a:p>
          <a:r>
            <a:rPr lang="cs-CZ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16 weeks on the basis of disease activity and</a:t>
          </a:r>
        </a:p>
        <a:p>
          <a:r>
            <a:rPr lang="cs-CZ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assessment at weeks 20 and 24</a:t>
          </a:r>
          <a:endParaRPr lang="cs-CZ" sz="800" b="1" u="sng"/>
        </a:p>
      </xdr:txBody>
    </xdr:sp>
    <xdr:clientData/>
  </xdr:twoCellAnchor>
  <xdr:twoCellAnchor>
    <xdr:from>
      <xdr:col>40</xdr:col>
      <xdr:colOff>316178</xdr:colOff>
      <xdr:row>9</xdr:row>
      <xdr:rowOff>25134</xdr:rowOff>
    </xdr:from>
    <xdr:to>
      <xdr:col>42</xdr:col>
      <xdr:colOff>55564</xdr:colOff>
      <xdr:row>16</xdr:row>
      <xdr:rowOff>66411</xdr:rowOff>
    </xdr:to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 txBox="1"/>
      </xdr:nvSpPr>
      <xdr:spPr>
        <a:xfrm>
          <a:off x="24869511" y="1739634"/>
          <a:ext cx="967053" cy="137477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 b="0" u="none"/>
            <a:t>loading phase  (3x monthly,</a:t>
          </a:r>
          <a:r>
            <a:rPr lang="cs-CZ" sz="800" b="0" u="none" baseline="0"/>
            <a:t> then 6mg  </a:t>
          </a:r>
          <a:r>
            <a:rPr lang="cs-CZ" sz="8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every 12 weeks unless there were signs of disease progression in which case the patient switched to bimonthly inj.</a:t>
          </a:r>
          <a:endParaRPr lang="cs-CZ" sz="800" b="1" u="sng"/>
        </a:p>
      </xdr:txBody>
    </xdr:sp>
    <xdr:clientData/>
  </xdr:twoCellAnchor>
  <xdr:twoCellAnchor editAs="oneCell">
    <xdr:from>
      <xdr:col>45</xdr:col>
      <xdr:colOff>297656</xdr:colOff>
      <xdr:row>1</xdr:row>
      <xdr:rowOff>154782</xdr:rowOff>
    </xdr:from>
    <xdr:to>
      <xdr:col>51</xdr:col>
      <xdr:colOff>564357</xdr:colOff>
      <xdr:row>35</xdr:row>
      <xdr:rowOff>142876</xdr:rowOff>
    </xdr:to>
    <xdr:pic>
      <xdr:nvPicPr>
        <xdr:cNvPr id="110" name="Obrázek 109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0" y="345282"/>
          <a:ext cx="3910013" cy="6465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130968</xdr:colOff>
      <xdr:row>1</xdr:row>
      <xdr:rowOff>154781</xdr:rowOff>
    </xdr:from>
    <xdr:to>
      <xdr:col>58</xdr:col>
      <xdr:colOff>340518</xdr:colOff>
      <xdr:row>5</xdr:row>
      <xdr:rowOff>178594</xdr:rowOff>
    </xdr:to>
    <xdr:pic>
      <xdr:nvPicPr>
        <xdr:cNvPr id="111" name="Obrázek 110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06343" y="345281"/>
          <a:ext cx="3852863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142875</xdr:colOff>
      <xdr:row>5</xdr:row>
      <xdr:rowOff>178595</xdr:rowOff>
    </xdr:from>
    <xdr:to>
      <xdr:col>58</xdr:col>
      <xdr:colOff>381000</xdr:colOff>
      <xdr:row>6</xdr:row>
      <xdr:rowOff>178595</xdr:rowOff>
    </xdr:to>
    <xdr:pic>
      <xdr:nvPicPr>
        <xdr:cNvPr id="112" name="Obrázek 111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0" y="1131095"/>
          <a:ext cx="3881438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130969</xdr:colOff>
      <xdr:row>7</xdr:row>
      <xdr:rowOff>0</xdr:rowOff>
    </xdr:from>
    <xdr:to>
      <xdr:col>58</xdr:col>
      <xdr:colOff>388144</xdr:colOff>
      <xdr:row>35</xdr:row>
      <xdr:rowOff>142875</xdr:rowOff>
    </xdr:to>
    <xdr:pic>
      <xdr:nvPicPr>
        <xdr:cNvPr id="113" name="Obrázek 112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06344" y="1333500"/>
          <a:ext cx="3900488" cy="547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264583</xdr:colOff>
      <xdr:row>26</xdr:row>
      <xdr:rowOff>169333</xdr:rowOff>
    </xdr:from>
    <xdr:to>
      <xdr:col>43</xdr:col>
      <xdr:colOff>384969</xdr:colOff>
      <xdr:row>27</xdr:row>
      <xdr:rowOff>172773</xdr:rowOff>
    </xdr:to>
    <xdr:cxnSp macro="">
      <xdr:nvCxnSpPr>
        <xdr:cNvPr id="114" name="Přímá spojnice se šipkou 113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CxnSpPr>
          <a:endCxn id="108" idx="1"/>
        </xdr:cNvCxnSpPr>
      </xdr:nvCxnSpPr>
      <xdr:spPr>
        <a:xfrm>
          <a:off x="23590250" y="5122333"/>
          <a:ext cx="3189552" cy="1939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369096</xdr:colOff>
      <xdr:row>5</xdr:row>
      <xdr:rowOff>71438</xdr:rowOff>
    </xdr:from>
    <xdr:to>
      <xdr:col>41</xdr:col>
      <xdr:colOff>226218</xdr:colOff>
      <xdr:row>9</xdr:row>
      <xdr:rowOff>83344</xdr:rowOff>
    </xdr:to>
    <xdr:cxnSp macro="">
      <xdr:nvCxnSpPr>
        <xdr:cNvPr id="115" name="Přímá spojnice se šipkou 114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CxnSpPr/>
      </xdr:nvCxnSpPr>
      <xdr:spPr>
        <a:xfrm>
          <a:off x="24657846" y="1023938"/>
          <a:ext cx="464341" cy="77390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47626</xdr:colOff>
      <xdr:row>3</xdr:row>
      <xdr:rowOff>119063</xdr:rowOff>
    </xdr:from>
    <xdr:to>
      <xdr:col>53</xdr:col>
      <xdr:colOff>166688</xdr:colOff>
      <xdr:row>5</xdr:row>
      <xdr:rowOff>0</xdr:rowOff>
    </xdr:to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 txBox="1"/>
      </xdr:nvSpPr>
      <xdr:spPr>
        <a:xfrm>
          <a:off x="31015782" y="690563"/>
          <a:ext cx="1333500" cy="261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dle zdroje pod pozn. 38</a:t>
          </a:r>
          <a:endParaRPr lang="cs-CZ" sz="900" b="1" u="none"/>
        </a:p>
      </xdr:txBody>
    </xdr:sp>
    <xdr:clientData/>
  </xdr:twoCellAnchor>
  <xdr:twoCellAnchor editAs="oneCell">
    <xdr:from>
      <xdr:col>37</xdr:col>
      <xdr:colOff>137583</xdr:colOff>
      <xdr:row>37</xdr:row>
      <xdr:rowOff>42333</xdr:rowOff>
    </xdr:from>
    <xdr:to>
      <xdr:col>49</xdr:col>
      <xdr:colOff>461433</xdr:colOff>
      <xdr:row>40</xdr:row>
      <xdr:rowOff>32808</xdr:rowOff>
    </xdr:to>
    <xdr:pic>
      <xdr:nvPicPr>
        <xdr:cNvPr id="117" name="Obrázek 116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49416" y="7090833"/>
          <a:ext cx="76898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158750</xdr:colOff>
      <xdr:row>40</xdr:row>
      <xdr:rowOff>21166</xdr:rowOff>
    </xdr:from>
    <xdr:to>
      <xdr:col>49</xdr:col>
      <xdr:colOff>454025</xdr:colOff>
      <xdr:row>54</xdr:row>
      <xdr:rowOff>40216</xdr:rowOff>
    </xdr:to>
    <xdr:pic>
      <xdr:nvPicPr>
        <xdr:cNvPr id="118" name="Obrázek 117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0583" y="7641166"/>
          <a:ext cx="766127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169334</xdr:colOff>
      <xdr:row>54</xdr:row>
      <xdr:rowOff>42332</xdr:rowOff>
    </xdr:from>
    <xdr:to>
      <xdr:col>49</xdr:col>
      <xdr:colOff>464609</xdr:colOff>
      <xdr:row>61</xdr:row>
      <xdr:rowOff>99482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1167" y="10329332"/>
          <a:ext cx="766127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222250</xdr:colOff>
      <xdr:row>38</xdr:row>
      <xdr:rowOff>158751</xdr:rowOff>
    </xdr:from>
    <xdr:to>
      <xdr:col>43</xdr:col>
      <xdr:colOff>402168</xdr:colOff>
      <xdr:row>61</xdr:row>
      <xdr:rowOff>0</xdr:rowOff>
    </xdr:to>
    <xdr:sp macro="" textlink="">
      <xdr:nvSpPr>
        <xdr:cNvPr id="120" name="Ovál 119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/>
      </xdr:nvSpPr>
      <xdr:spPr>
        <a:xfrm>
          <a:off x="25389417" y="7397751"/>
          <a:ext cx="1407584" cy="4222749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50</xdr:col>
      <xdr:colOff>116417</xdr:colOff>
      <xdr:row>39</xdr:row>
      <xdr:rowOff>190499</xdr:rowOff>
    </xdr:from>
    <xdr:to>
      <xdr:col>61</xdr:col>
      <xdr:colOff>26459</xdr:colOff>
      <xdr:row>48</xdr:row>
      <xdr:rowOff>28574</xdr:rowOff>
    </xdr:to>
    <xdr:pic>
      <xdr:nvPicPr>
        <xdr:cNvPr id="121" name="Obrázek 120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08084" y="7619999"/>
          <a:ext cx="6662208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63500</xdr:colOff>
      <xdr:row>37</xdr:row>
      <xdr:rowOff>21165</xdr:rowOff>
    </xdr:from>
    <xdr:to>
      <xdr:col>59</xdr:col>
      <xdr:colOff>352783</xdr:colOff>
      <xdr:row>38</xdr:row>
      <xdr:rowOff>23980</xdr:rowOff>
    </xdr:to>
    <xdr:pic>
      <xdr:nvPicPr>
        <xdr:cNvPr id="122" name="Obrázek 121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55167" y="7069665"/>
          <a:ext cx="5813783" cy="193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50</xdr:col>
      <xdr:colOff>105833</xdr:colOff>
      <xdr:row>43</xdr:row>
      <xdr:rowOff>179915</xdr:rowOff>
    </xdr:from>
    <xdr:to>
      <xdr:col>57</xdr:col>
      <xdr:colOff>402167</xdr:colOff>
      <xdr:row>45</xdr:row>
      <xdr:rowOff>169332</xdr:rowOff>
    </xdr:to>
    <xdr:sp macro="" textlink="">
      <xdr:nvSpPr>
        <xdr:cNvPr id="123" name="Ovál 122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/>
      </xdr:nvSpPr>
      <xdr:spPr>
        <a:xfrm>
          <a:off x="30797500" y="8371415"/>
          <a:ext cx="4593167" cy="370417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59</xdr:col>
      <xdr:colOff>264584</xdr:colOff>
      <xdr:row>36</xdr:row>
      <xdr:rowOff>169333</xdr:rowOff>
    </xdr:from>
    <xdr:to>
      <xdr:col>61</xdr:col>
      <xdr:colOff>296334</xdr:colOff>
      <xdr:row>38</xdr:row>
      <xdr:rowOff>84665</xdr:rowOff>
    </xdr:to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 txBox="1"/>
      </xdr:nvSpPr>
      <xdr:spPr>
        <a:xfrm>
          <a:off x="36480751" y="7027333"/>
          <a:ext cx="1259416" cy="296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b="1" u="none"/>
            <a:t>(viz dále pozn. 70)</a:t>
          </a:r>
        </a:p>
      </xdr:txBody>
    </xdr:sp>
    <xdr:clientData/>
  </xdr:twoCellAnchor>
  <xdr:twoCellAnchor>
    <xdr:from>
      <xdr:col>44</xdr:col>
      <xdr:colOff>486833</xdr:colOff>
      <xdr:row>67</xdr:row>
      <xdr:rowOff>105834</xdr:rowOff>
    </xdr:from>
    <xdr:to>
      <xdr:col>55</xdr:col>
      <xdr:colOff>201084</xdr:colOff>
      <xdr:row>78</xdr:row>
      <xdr:rowOff>0</xdr:rowOff>
    </xdr:to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 txBox="1"/>
      </xdr:nvSpPr>
      <xdr:spPr>
        <a:xfrm>
          <a:off x="27495500" y="12869334"/>
          <a:ext cx="6466417" cy="198966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200" b="1"/>
            <a:t>U pacientů s projevem nitroočního zánětu (tzv.</a:t>
          </a:r>
          <a:r>
            <a:rPr lang="cs-CZ" sz="1200" b="1" baseline="0"/>
            <a:t> IOI)</a:t>
          </a:r>
          <a:r>
            <a:rPr lang="cs-CZ" sz="1200" b="1"/>
            <a:t> včetně retinální vaskulitidy a/nebo retinální vaskulární okluze má být přípravek BEOVU (brolucizumab) vysazen a komplikace mají být ihned řešeny. Udržovací dávky přípravku BEOVU (po prvních třech dávkách) nemají být podávány v intervalech kratších než 8 týdnů (toto zjištění vychází z výsledků studie MERLIN). Výsledky z retrospektivní analýzy u nVPMD pacientů naznačují, že </a:t>
          </a:r>
          <a:r>
            <a:rPr lang="cs-CZ" sz="1200" b="1" u="sng"/>
            <a:t>u pacientů s anamnézou nitroočního zánětu a/nebo retinální vaskulární okluze v posledním roce před léčbou přípravkem BEOVU byla větší pravděpodobnost výskytu podobných příhod po aplikaci BEOVU ve srovnání s nVPMD pacienty, kteří nemají tyto příhody v anamnéze</a:t>
          </a:r>
          <a:r>
            <a:rPr lang="cs-CZ" sz="1200" b="1"/>
            <a:t>. Kromě toho byl ve dvou retrospektivních studiích, ale také v klinických studiích, pozorován genderový rozdíl </a:t>
          </a:r>
          <a:r>
            <a:rPr lang="cs-CZ" sz="1200" b="1" u="sng"/>
            <a:t>s vyšším rizikem IOI (včetně retinální</a:t>
          </a:r>
          <a:r>
            <a:rPr lang="cs-CZ" sz="1200" b="1" u="sng" baseline="0"/>
            <a:t> vaskulitidy</a:t>
          </a:r>
          <a:r>
            <a:rPr lang="cs-CZ" sz="1200" b="1" u="sng"/>
            <a:t>) a/nebo retinální vaskulární okluze u žen</a:t>
          </a:r>
          <a:r>
            <a:rPr lang="cs-CZ" sz="1200" b="1"/>
            <a:t>. Vyšší výskyt byl také pozorován u japonských pacientů.</a:t>
          </a:r>
          <a:endParaRPr lang="cs-CZ" sz="1200" b="1" u="none"/>
        </a:p>
      </xdr:txBody>
    </xdr:sp>
    <xdr:clientData/>
  </xdr:twoCellAnchor>
  <xdr:twoCellAnchor>
    <xdr:from>
      <xdr:col>37</xdr:col>
      <xdr:colOff>169334</xdr:colOff>
      <xdr:row>61</xdr:row>
      <xdr:rowOff>95250</xdr:rowOff>
    </xdr:from>
    <xdr:to>
      <xdr:col>49</xdr:col>
      <xdr:colOff>465667</xdr:colOff>
      <xdr:row>64</xdr:row>
      <xdr:rowOff>10584</xdr:rowOff>
    </xdr:to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 txBox="1"/>
      </xdr:nvSpPr>
      <xdr:spPr>
        <a:xfrm>
          <a:off x="22881167" y="11715750"/>
          <a:ext cx="7662333" cy="4868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b="1" u="sng"/>
            <a:t>There were no IOI events associated with retinal vasculitis or occlusive disease in any treatment arms based through Week</a:t>
          </a:r>
          <a:r>
            <a:rPr lang="cs-CZ" b="1" u="sng" baseline="0"/>
            <a:t> 48! </a:t>
          </a:r>
          <a:r>
            <a:rPr lang="cs-CZ" b="1" u="sng"/>
            <a:t>After Week 48 to the Clinical Cut-Off Date, there were no additional retinal vascular occlusive disease AEs in the study eye</a:t>
          </a:r>
          <a:r>
            <a:rPr lang="cs-CZ" b="1"/>
            <a:t>!</a:t>
          </a:r>
          <a:endParaRPr lang="cs-CZ" sz="1100" b="1" u="none"/>
        </a:p>
      </xdr:txBody>
    </xdr:sp>
    <xdr:clientData/>
  </xdr:twoCellAnchor>
  <xdr:twoCellAnchor>
    <xdr:from>
      <xdr:col>37</xdr:col>
      <xdr:colOff>63501</xdr:colOff>
      <xdr:row>60</xdr:row>
      <xdr:rowOff>179917</xdr:rowOff>
    </xdr:from>
    <xdr:to>
      <xdr:col>50</xdr:col>
      <xdr:colOff>52917</xdr:colOff>
      <xdr:row>64</xdr:row>
      <xdr:rowOff>74082</xdr:rowOff>
    </xdr:to>
    <xdr:sp macro="" textlink="">
      <xdr:nvSpPr>
        <xdr:cNvPr id="128" name="Ovál 12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/>
      </xdr:nvSpPr>
      <xdr:spPr>
        <a:xfrm>
          <a:off x="22775334" y="11609917"/>
          <a:ext cx="7969250" cy="65616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84666</xdr:colOff>
      <xdr:row>37</xdr:row>
      <xdr:rowOff>190499</xdr:rowOff>
    </xdr:from>
    <xdr:to>
      <xdr:col>61</xdr:col>
      <xdr:colOff>264584</xdr:colOff>
      <xdr:row>40</xdr:row>
      <xdr:rowOff>42332</xdr:rowOff>
    </xdr:to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 txBox="1"/>
      </xdr:nvSpPr>
      <xdr:spPr>
        <a:xfrm>
          <a:off x="30776333" y="7238999"/>
          <a:ext cx="6932084" cy="4233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900" b="1"/>
            <a:t>(generalized IOI was defined by cases of otherwise unspecified uveitis or IOI</a:t>
          </a:r>
          <a:r>
            <a:rPr lang="cs-CZ" sz="900" b="1" u="sng"/>
            <a:t>, no cases of retinal vasculitis were included in our analysis given the paucity of reporting from included RCTs!</a:t>
          </a:r>
          <a:r>
            <a:rPr lang="cs-CZ" sz="900" b="1"/>
            <a:t>!)</a:t>
          </a:r>
          <a:endParaRPr lang="cs-CZ" sz="900" b="1" u="none"/>
        </a:p>
      </xdr:txBody>
    </xdr:sp>
    <xdr:clientData/>
  </xdr:twoCellAnchor>
  <xdr:twoCellAnchor>
    <xdr:from>
      <xdr:col>50</xdr:col>
      <xdr:colOff>211667</xdr:colOff>
      <xdr:row>48</xdr:row>
      <xdr:rowOff>74084</xdr:rowOff>
    </xdr:from>
    <xdr:to>
      <xdr:col>61</xdr:col>
      <xdr:colOff>42335</xdr:colOff>
      <xdr:row>65</xdr:row>
      <xdr:rowOff>0</xdr:rowOff>
    </xdr:to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 txBox="1"/>
      </xdr:nvSpPr>
      <xdr:spPr>
        <a:xfrm>
          <a:off x="30903334" y="9218084"/>
          <a:ext cx="6582834" cy="316441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Dle zdroje uvedeného pod poznámkou</a:t>
          </a:r>
          <a:r>
            <a:rPr lang="cs-CZ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č. 72:</a:t>
          </a:r>
        </a:p>
        <a:p>
          <a:pPr algn="l"/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roce 2020 zveřejnila Americká společnost specialistů na sítnici bezpečnostní aktualizace týkající se případů retinální vaskulitidy (RV) u pacientů léčených brolucizumabem, z nichž některé byly hlášeny jako okluzivní RV se související ztrátou zraku. </a:t>
          </a:r>
          <a:r>
            <a:rPr lang="cs-CZ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uvedení na trh byla míra hlášení RV a/nebo retinální vaskulární okluze (RO) přibližně 15,1 na 10 000 injekcí brolicizumabu</a:t>
          </a:r>
          <a:r>
            <a:rPr lang="cs-CZ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 27. srpnu 2021).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Následně společnost Novartis pověřila zadala externí Komisi pro hodnocení bezpečnosti (SRC), aby znovu posoudila případy IOI, endoftalmitidy a okluze retinální artérie u očí léčených brolucizumabem u studií HAWK a HARRIER. Z 60 hodnocených očí SRC uvedlo, že 50 očí (50/1.088; 4,6 %) mělo určité nebo pravděpodobné příhody, které byly spojeny s podaným léčivem a byly ve spektru IOI, RV a/nebo RO.  Z těchto 50 očí 36 mělo souběžnou RV (3,3 %), z toho 23 mělo souběžnou RO (2,1 %). Celková míra alespoň střední ztráty zraku (tj. ≥ 15 písmen ETDRS) do 96. týdne však byla srovnatelná mezi brolucizumabem 6 mg a afliberceptem jak ve studii HAWK (8,1 % vs. 7,4 %), tak u HARRIER (7,1 % vs. 7,5 %). Na základě těchto bezpečnostních zjištění schválilo několik lékových agentur aktualizaci informací</a:t>
          </a:r>
          <a:r>
            <a:rPr lang="cs-CZ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přípravku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V roce 2021 společnost Novartis vydala</a:t>
          </a:r>
          <a:r>
            <a:rPr lang="cs-CZ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prohlášení, že lékaři by neměli podávat brolucizumab v intervalech kratších než 2 měsíce po prvních třech dávkách (tj. intervaly by měly být 8 týdnů nebo více během udržovací fáze), a to na základě bezpečnostních zjištění z prvních interpretovatelných 1-letých výsledků fáze 3 studie MERLIN, ve které byl brolucizumab podáván každé 4 týdny. Ve</a:t>
          </a:r>
          <a:r>
            <a:rPr lang="cs-CZ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studii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MERLIN byla míra IOI pro brolucizumab a aflibercept 9,3 % oproti 4,5 %, míra RV byla 0,8 % oproti 0,0 %, míra RO byla 2,0 % oproti 0,0 % a míra ztráty zraku ≥15 písmen ze všech příčiny byly 4,8 % oproti 1,7 %.                                                       </a:t>
          </a:r>
          <a:endParaRPr lang="cs-CZ" sz="1200" b="1" i="1" u="sng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76199</xdr:rowOff>
    </xdr:from>
    <xdr:to>
      <xdr:col>35</xdr:col>
      <xdr:colOff>485775</xdr:colOff>
      <xdr:row>58</xdr:row>
      <xdr:rowOff>47624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80975" y="76199"/>
          <a:ext cx="21640800" cy="11020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428625</xdr:colOff>
      <xdr:row>1</xdr:row>
      <xdr:rowOff>19051</xdr:rowOff>
    </xdr:from>
    <xdr:to>
      <xdr:col>18</xdr:col>
      <xdr:colOff>19050</xdr:colOff>
      <xdr:row>31</xdr:row>
      <xdr:rowOff>98264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9551"/>
          <a:ext cx="10563225" cy="579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602195</xdr:colOff>
      <xdr:row>18</xdr:row>
      <xdr:rowOff>105833</xdr:rowOff>
    </xdr:from>
    <xdr:to>
      <xdr:col>17</xdr:col>
      <xdr:colOff>317500</xdr:colOff>
      <xdr:row>29</xdr:row>
      <xdr:rowOff>179917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8582028" y="3534833"/>
          <a:ext cx="2170639" cy="2169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900" b="1"/>
            <a:t>(A) Chronická hyperglykémie u diabetu vede k upregulaci drah, aktivaci enzymů a akumulaci pokročilých glykosylovaných konečných produktů (AGEs). Každá z těchto cest může vyvolat oxidační stres a spustit patogenezi diabetické retinopatie, která je charakterizována ztrátou vaskulárních endoteliálních buněk, těsných spojení a pericytů, se zesílením bazální membrány, což nakonec vede k hypoxii a neovaskularizaci. </a:t>
          </a:r>
        </a:p>
        <a:p>
          <a:pPr algn="l"/>
          <a:r>
            <a:rPr lang="cs-CZ" sz="900" b="1"/>
            <a:t>(B) To lze pozorovat na sítnici jako dot blot hemoragie, vatové skvrny a tvrdé exsudáty ve vnější plexiformní vrstvě</a:t>
          </a:r>
          <a:endParaRPr lang="cs-CZ" sz="900" b="1" u="none"/>
        </a:p>
      </xdr:txBody>
    </xdr:sp>
    <xdr:clientData/>
  </xdr:twoCellAnchor>
  <xdr:twoCellAnchor editAs="oneCell">
    <xdr:from>
      <xdr:col>1</xdr:col>
      <xdr:colOff>47625</xdr:colOff>
      <xdr:row>31</xdr:row>
      <xdr:rowOff>28575</xdr:rowOff>
    </xdr:from>
    <xdr:to>
      <xdr:col>14</xdr:col>
      <xdr:colOff>285750</xdr:colOff>
      <xdr:row>57</xdr:row>
      <xdr:rowOff>123825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934075"/>
          <a:ext cx="8162925" cy="504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180975</xdr:colOff>
      <xdr:row>40</xdr:row>
      <xdr:rowOff>9525</xdr:rowOff>
    </xdr:from>
    <xdr:to>
      <xdr:col>14</xdr:col>
      <xdr:colOff>552450</xdr:colOff>
      <xdr:row>54</xdr:row>
      <xdr:rowOff>95250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7496175" y="7629525"/>
          <a:ext cx="1590675" cy="2752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900" b="1"/>
            <a:t>(A) Schematický přehled potenciálních mechanismů vedoucích k diabetickému makulárnímu edému. Metabolický stres vyvolaný hyperglykémií vede ke komplexní interakci vedoucí </a:t>
          </a:r>
          <a:r>
            <a:rPr lang="cs-CZ" sz="900" b="1" u="sng"/>
            <a:t>k poškození cév a narušení hematoretinální bariéry </a:t>
          </a:r>
          <a:r>
            <a:rPr lang="cs-CZ" sz="900" b="1"/>
            <a:t>(</a:t>
          </a:r>
          <a:r>
            <a:rPr lang="cs-CZ" sz="900" b="1" u="sng"/>
            <a:t>BRB</a:t>
          </a:r>
          <a:r>
            <a:rPr lang="cs-CZ" sz="900" b="1"/>
            <a:t> - </a:t>
          </a:r>
          <a:r>
            <a:rPr lang="cs-CZ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viz pozn. 79 </a:t>
          </a:r>
          <a:r>
            <a:rPr lang="cs-CZ" sz="900" b="1"/>
            <a:t>). </a:t>
          </a:r>
        </a:p>
        <a:p>
          <a:pPr algn="l"/>
          <a:r>
            <a:rPr lang="cs-CZ" sz="900" b="1"/>
            <a:t>(B) Dezorganizace BRB a hypoperfuze způsobuje extravazaci tekutin, neovaskularizaci a následný edém.</a:t>
          </a:r>
        </a:p>
        <a:p>
          <a:pPr algn="l"/>
          <a:r>
            <a:rPr lang="cs-CZ" sz="900" b="1"/>
            <a:t>(C) Chronický otok makuly vede k poškození neurální sítnice a ztrátě fotoreceptorů </a:t>
          </a:r>
          <a:r>
            <a:rPr lang="cs-CZ" sz="900" b="1" u="sng"/>
            <a:t>(viz pozn. 78 a  Příloha</a:t>
          </a:r>
          <a:r>
            <a:rPr lang="cs-CZ" sz="900" b="1" u="sng" baseline="0"/>
            <a:t> č. 10)</a:t>
          </a:r>
          <a:endParaRPr lang="cs-CZ" sz="900" b="1" u="sng"/>
        </a:p>
      </xdr:txBody>
    </xdr:sp>
    <xdr:clientData/>
  </xdr:twoCellAnchor>
  <xdr:twoCellAnchor editAs="oneCell">
    <xdr:from>
      <xdr:col>18</xdr:col>
      <xdr:colOff>104775</xdr:colOff>
      <xdr:row>2</xdr:row>
      <xdr:rowOff>9526</xdr:rowOff>
    </xdr:from>
    <xdr:to>
      <xdr:col>32</xdr:col>
      <xdr:colOff>190500</xdr:colOff>
      <xdr:row>34</xdr:row>
      <xdr:rowOff>9782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390526"/>
          <a:ext cx="8620125" cy="6096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152400</xdr:colOff>
      <xdr:row>1</xdr:row>
      <xdr:rowOff>190499</xdr:rowOff>
    </xdr:from>
    <xdr:to>
      <xdr:col>32</xdr:col>
      <xdr:colOff>219075</xdr:colOff>
      <xdr:row>15</xdr:row>
      <xdr:rowOff>85724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16611600" y="380999"/>
          <a:ext cx="3114675" cy="2562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900" b="1"/>
        </a:p>
        <a:p>
          <a:pPr algn="l"/>
          <a:r>
            <a:rPr lang="cs-CZ" sz="900" b="1"/>
            <a:t>Např. IDF doporučení</a:t>
          </a:r>
          <a:r>
            <a:rPr lang="cs-CZ" sz="900" b="1" baseline="30000"/>
            <a:t>26 </a:t>
          </a:r>
          <a:r>
            <a:rPr lang="cs-CZ" sz="900" b="1"/>
            <a:t>z roku 2019 používá jako kritérium</a:t>
          </a:r>
          <a:r>
            <a:rPr lang="cs-CZ" sz="900" b="1" baseline="0"/>
            <a:t> pro zahájení farmakoterapie zrakovou ostrost, konkrétně hodnotu 6/9 (resp. 20/30  - viz pozn. 11) .</a:t>
          </a:r>
          <a:endParaRPr lang="cs-CZ" sz="900" b="1"/>
        </a:p>
        <a:p>
          <a:pPr algn="l"/>
          <a:r>
            <a:rPr lang="cs-CZ" sz="900" b="1"/>
            <a:t>I když je souhlas, že zraková ostrost je standardizovanější než parametry OCT (včetně tloušťky centrální sítnice [CRT/CST] nebo tloušťky centrální fovey [CFT]), anglická  </a:t>
          </a:r>
          <a:r>
            <a:rPr lang="cs-CZ" sz="900" b="1" u="none"/>
            <a:t>NICE doporučuje farmakologickou léčbu DME u očí s CRT &gt; 400 </a:t>
          </a:r>
          <a:r>
            <a:rPr lang="el-GR" sz="900" b="1" u="none"/>
            <a:t>μ</a:t>
          </a:r>
          <a:r>
            <a:rPr lang="cs-CZ" sz="900" b="1" u="none"/>
            <a:t>m,</a:t>
          </a:r>
          <a:r>
            <a:rPr lang="cs-CZ" sz="900" b="1" u="none" baseline="0"/>
            <a:t> e</a:t>
          </a:r>
          <a:r>
            <a:rPr lang="cs-CZ" sz="900" b="1" u="none"/>
            <a:t>xistuje však určitá nejednoznačnost ohledně přesných měření významnosti. Podle odborníků by u DME  mělo být příslušné měření CRT provedeno v centrálním 1 mm (ETDRS) kruhu od fovey</a:t>
          </a:r>
          <a:r>
            <a:rPr lang="cs-CZ" sz="900" b="1" u="none" baseline="0"/>
            <a:t> (</a:t>
          </a:r>
          <a:r>
            <a:rPr lang="cs-CZ" sz="900" b="1"/>
            <a:t>NICE nedoporučuje farmakoterapii DME u očí</a:t>
          </a:r>
          <a:r>
            <a:rPr lang="cs-CZ" sz="900" b="1" baseline="0"/>
            <a:t> </a:t>
          </a:r>
          <a:r>
            <a:rPr lang="cs-CZ" sz="900" b="1"/>
            <a:t> s CRT &lt;400 </a:t>
          </a:r>
          <a:r>
            <a:rPr lang="el-GR" sz="900" b="1"/>
            <a:t>μ</a:t>
          </a:r>
          <a:r>
            <a:rPr lang="cs-CZ" sz="900" b="1"/>
            <a:t>m, protože taková léčba, i když je klinicky účinná, není považována za nákladově efektivní).  </a:t>
          </a:r>
          <a:r>
            <a:rPr lang="cs-CZ" sz="900" b="1" u="sng"/>
            <a:t>V ČR je jednou z úhradových podmínek </a:t>
          </a:r>
          <a:r>
            <a:rPr lang="cs-CZ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CRT &gt; 300 </a:t>
          </a:r>
          <a:r>
            <a:rPr lang="el-GR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μ</a:t>
          </a:r>
          <a:r>
            <a:rPr lang="cs-CZ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m, ale jednou z dalších "vstupní" zraková</a:t>
          </a:r>
          <a:r>
            <a:rPr lang="cs-CZ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ostrost (VA)  6/12-6/48,</a:t>
          </a:r>
          <a:r>
            <a:rPr lang="cs-CZ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proto bylo toto  anglické doporučení upraveno autorem FE analýzy.</a:t>
          </a:r>
          <a:endParaRPr lang="cs-CZ" sz="900" b="1" u="none"/>
        </a:p>
      </xdr:txBody>
    </xdr:sp>
    <xdr:clientData/>
  </xdr:twoCellAnchor>
  <xdr:twoCellAnchor>
    <xdr:from>
      <xdr:col>33</xdr:col>
      <xdr:colOff>419100</xdr:colOff>
      <xdr:row>6</xdr:row>
      <xdr:rowOff>28575</xdr:rowOff>
    </xdr:from>
    <xdr:to>
      <xdr:col>35</xdr:col>
      <xdr:colOff>314325</xdr:colOff>
      <xdr:row>9</xdr:row>
      <xdr:rowOff>142875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20535900" y="1171575"/>
          <a:ext cx="1114425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900" b="1" u="none"/>
        </a:p>
      </xdr:txBody>
    </xdr:sp>
    <xdr:clientData/>
  </xdr:twoCellAnchor>
  <xdr:twoCellAnchor>
    <xdr:from>
      <xdr:col>24</xdr:col>
      <xdr:colOff>238125</xdr:colOff>
      <xdr:row>1</xdr:row>
      <xdr:rowOff>142876</xdr:rowOff>
    </xdr:from>
    <xdr:to>
      <xdr:col>26</xdr:col>
      <xdr:colOff>57151</xdr:colOff>
      <xdr:row>4</xdr:row>
      <xdr:rowOff>114300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/>
      </xdr:nvSpPr>
      <xdr:spPr>
        <a:xfrm>
          <a:off x="14868525" y="333376"/>
          <a:ext cx="1038226" cy="5429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800" b="1" u="none"/>
            <a:t>CI-DME s  </a:t>
          </a:r>
          <a:r>
            <a:rPr lang="cs-CZ" sz="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CRT &gt; 300 </a:t>
          </a:r>
          <a:r>
            <a:rPr lang="el-GR" sz="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μ</a:t>
          </a:r>
          <a:r>
            <a:rPr lang="cs-CZ" sz="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a VA 6/12-6/48</a:t>
          </a:r>
          <a:endParaRPr lang="cs-CZ" sz="800" b="1" u="none"/>
        </a:p>
      </xdr:txBody>
    </xdr:sp>
    <xdr:clientData/>
  </xdr:twoCellAnchor>
  <xdr:twoCellAnchor>
    <xdr:from>
      <xdr:col>18</xdr:col>
      <xdr:colOff>361950</xdr:colOff>
      <xdr:row>10</xdr:row>
      <xdr:rowOff>76200</xdr:rowOff>
    </xdr:from>
    <xdr:to>
      <xdr:col>23</xdr:col>
      <xdr:colOff>114299</xdr:colOff>
      <xdr:row>15</xdr:row>
      <xdr:rowOff>85725</xdr:rowOff>
    </xdr:to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/>
      </xdr:nvSpPr>
      <xdr:spPr>
        <a:xfrm>
          <a:off x="11334750" y="1981200"/>
          <a:ext cx="2800349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50" b="1"/>
            <a:t>LP Iluvien se doporučuje pouze u pacientů, kteří nedostatečně reagují na dostupné terapie. LP Iluvien neužívat během těhotenství. Ozurdex se během těhotenství nedoporučuje, pokud potenciální přínos neospravedlňuje potenciální riziko pro plod.</a:t>
          </a:r>
        </a:p>
        <a:p>
          <a:pPr algn="l"/>
          <a:r>
            <a:rPr lang="cs-CZ" sz="850" b="1" u="sng"/>
            <a:t>V</a:t>
          </a:r>
          <a:r>
            <a:rPr lang="cs-CZ" sz="850" b="1" u="sng" baseline="0"/>
            <a:t> ČR kortik. LP Iluvien a Ozurdex nemají na DME úhradu !</a:t>
          </a:r>
          <a:endParaRPr lang="cs-CZ" sz="850" b="1" u="sng"/>
        </a:p>
      </xdr:txBody>
    </xdr:sp>
    <xdr:clientData/>
  </xdr:twoCellAnchor>
  <xdr:twoCellAnchor>
    <xdr:from>
      <xdr:col>22</xdr:col>
      <xdr:colOff>285750</xdr:colOff>
      <xdr:row>13</xdr:row>
      <xdr:rowOff>148167</xdr:rowOff>
    </xdr:from>
    <xdr:to>
      <xdr:col>25</xdr:col>
      <xdr:colOff>338667</xdr:colOff>
      <xdr:row>29</xdr:row>
      <xdr:rowOff>95250</xdr:rowOff>
    </xdr:to>
    <xdr:cxnSp macro="">
      <xdr:nvCxnSpPr>
        <xdr:cNvPr id="14" name="Přímá spojnice se šipkou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flipH="1" flipV="1">
          <a:off x="13790083" y="2624667"/>
          <a:ext cx="1894417" cy="299508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190500</xdr:colOff>
      <xdr:row>2</xdr:row>
      <xdr:rowOff>114299</xdr:rowOff>
    </xdr:from>
    <xdr:to>
      <xdr:col>23</xdr:col>
      <xdr:colOff>76200</xdr:colOff>
      <xdr:row>10</xdr:row>
      <xdr:rowOff>19050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/>
      </xdr:nvSpPr>
      <xdr:spPr>
        <a:xfrm>
          <a:off x="11163300" y="495299"/>
          <a:ext cx="2933700" cy="1428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50" b="1" u="none"/>
            <a:t>Předběžné hodnocení odpovědi může být provedeno v 5.–6.  měsíci (tj. 1 měsíc po úvodních nasyc. inj.). Oko by mělo být považováno za oko se suboptim. nebo špatnou odezvou, pokud je CST snížena o méně než 20 % na OCT (úroveň dopruč. 2, A). Při použití zrak. ostrosti jako měřítka zlepšení je třeba dbát opatrnosti, protože reprodukovatelnost může být nízká.</a:t>
          </a:r>
          <a:r>
            <a:rPr lang="cs-CZ" sz="850" b="1" u="none" baseline="0"/>
            <a:t> </a:t>
          </a:r>
          <a:r>
            <a:rPr lang="cs-CZ" sz="850" b="1" u="none"/>
            <a:t> Při změně</a:t>
          </a:r>
          <a:r>
            <a:rPr lang="cs-CZ" sz="850" b="1" u="none" baseline="0"/>
            <a:t> terapie </a:t>
          </a:r>
          <a:r>
            <a:rPr lang="cs-CZ" sz="850" b="1" u="none"/>
            <a:t>se očekávají </a:t>
          </a:r>
          <a:r>
            <a:rPr lang="cs-CZ" sz="8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přírůstky zrakové ostrosti </a:t>
          </a:r>
          <a:r>
            <a:rPr lang="cs-CZ" sz="850" b="1" u="none"/>
            <a:t>kolem &lt;5 písmen a když se CST nemění nebo se nadále zvyšuje (i přes zahájení tří 4týdenních inj.), doporučuje se včasné rozhodnutí o přechodu na jinou léčbu!</a:t>
          </a:r>
        </a:p>
      </xdr:txBody>
    </xdr:sp>
    <xdr:clientData/>
  </xdr:twoCellAnchor>
  <xdr:twoCellAnchor>
    <xdr:from>
      <xdr:col>19</xdr:col>
      <xdr:colOff>133352</xdr:colOff>
      <xdr:row>9</xdr:row>
      <xdr:rowOff>123825</xdr:rowOff>
    </xdr:from>
    <xdr:to>
      <xdr:col>20</xdr:col>
      <xdr:colOff>552450</xdr:colOff>
      <xdr:row>18</xdr:row>
      <xdr:rowOff>152400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flipH="1" flipV="1">
          <a:off x="11715752" y="1838325"/>
          <a:ext cx="1028698" cy="17430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238125</xdr:colOff>
      <xdr:row>8</xdr:row>
      <xdr:rowOff>104775</xdr:rowOff>
    </xdr:from>
    <xdr:to>
      <xdr:col>25</xdr:col>
      <xdr:colOff>447675</xdr:colOff>
      <xdr:row>19</xdr:row>
      <xdr:rowOff>171451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flipH="1" flipV="1">
          <a:off x="13649325" y="1628775"/>
          <a:ext cx="2038350" cy="216217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114300</xdr:colOff>
      <xdr:row>5</xdr:row>
      <xdr:rowOff>47625</xdr:rowOff>
    </xdr:from>
    <xdr:to>
      <xdr:col>27</xdr:col>
      <xdr:colOff>219075</xdr:colOff>
      <xdr:row>15</xdr:row>
      <xdr:rowOff>142875</xdr:rowOff>
    </xdr:to>
    <xdr:sp macro="" textlink="">
      <xdr:nvSpPr>
        <xdr:cNvPr id="24" name="Ovál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/>
      </xdr:nvSpPr>
      <xdr:spPr>
        <a:xfrm>
          <a:off x="15354300" y="1000125"/>
          <a:ext cx="1323975" cy="200025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518584</xdr:colOff>
      <xdr:row>13</xdr:row>
      <xdr:rowOff>169334</xdr:rowOff>
    </xdr:from>
    <xdr:to>
      <xdr:col>26</xdr:col>
      <xdr:colOff>603249</xdr:colOff>
      <xdr:row>14</xdr:row>
      <xdr:rowOff>116417</xdr:rowOff>
    </xdr:to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5864417" y="2645834"/>
          <a:ext cx="698499" cy="137583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800" b="1" u="none"/>
        </a:p>
      </xdr:txBody>
    </xdr:sp>
    <xdr:clientData/>
  </xdr:twoCellAnchor>
  <xdr:twoCellAnchor>
    <xdr:from>
      <xdr:col>25</xdr:col>
      <xdr:colOff>137584</xdr:colOff>
      <xdr:row>30</xdr:row>
      <xdr:rowOff>21167</xdr:rowOff>
    </xdr:from>
    <xdr:to>
      <xdr:col>26</xdr:col>
      <xdr:colOff>338665</xdr:colOff>
      <xdr:row>30</xdr:row>
      <xdr:rowOff>169333</xdr:rowOff>
    </xdr:to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/>
      </xdr:nvSpPr>
      <xdr:spPr>
        <a:xfrm>
          <a:off x="15483417" y="5736167"/>
          <a:ext cx="814915" cy="148166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cs-CZ" sz="800" b="1" u="none"/>
        </a:p>
      </xdr:txBody>
    </xdr:sp>
    <xdr:clientData/>
  </xdr:twoCellAnchor>
  <xdr:twoCellAnchor>
    <xdr:from>
      <xdr:col>22</xdr:col>
      <xdr:colOff>275167</xdr:colOff>
      <xdr:row>13</xdr:row>
      <xdr:rowOff>179917</xdr:rowOff>
    </xdr:from>
    <xdr:to>
      <xdr:col>26</xdr:col>
      <xdr:colOff>10585</xdr:colOff>
      <xdr:row>14</xdr:row>
      <xdr:rowOff>127001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 flipH="1" flipV="1">
          <a:off x="13779500" y="2656417"/>
          <a:ext cx="2190752" cy="13758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433917</xdr:colOff>
      <xdr:row>7</xdr:row>
      <xdr:rowOff>21165</xdr:rowOff>
    </xdr:from>
    <xdr:to>
      <xdr:col>26</xdr:col>
      <xdr:colOff>508000</xdr:colOff>
      <xdr:row>8</xdr:row>
      <xdr:rowOff>10583</xdr:rowOff>
    </xdr:to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 txBox="1"/>
      </xdr:nvSpPr>
      <xdr:spPr>
        <a:xfrm>
          <a:off x="15779750" y="1354665"/>
          <a:ext cx="687917" cy="179918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750" b="1" u="none">
              <a:solidFill>
                <a:schemeClr val="bg1"/>
              </a:solidFill>
            </a:rPr>
            <a:t>viz pozn. 95</a:t>
          </a:r>
        </a:p>
      </xdr:txBody>
    </xdr:sp>
    <xdr:clientData/>
  </xdr:twoCellAnchor>
  <xdr:twoCellAnchor>
    <xdr:from>
      <xdr:col>23</xdr:col>
      <xdr:colOff>328083</xdr:colOff>
      <xdr:row>7</xdr:row>
      <xdr:rowOff>21166</xdr:rowOff>
    </xdr:from>
    <xdr:to>
      <xdr:col>24</xdr:col>
      <xdr:colOff>402167</xdr:colOff>
      <xdr:row>8</xdr:row>
      <xdr:rowOff>10584</xdr:rowOff>
    </xdr:to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 txBox="1"/>
      </xdr:nvSpPr>
      <xdr:spPr>
        <a:xfrm>
          <a:off x="14446250" y="1354666"/>
          <a:ext cx="687917" cy="179918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750" b="1" u="none">
              <a:solidFill>
                <a:schemeClr val="bg1"/>
              </a:solidFill>
            </a:rPr>
            <a:t>viz pozn. 95</a:t>
          </a:r>
        </a:p>
      </xdr:txBody>
    </xdr:sp>
    <xdr:clientData/>
  </xdr:twoCellAnchor>
  <xdr:twoCellAnchor>
    <xdr:from>
      <xdr:col>26</xdr:col>
      <xdr:colOff>57151</xdr:colOff>
      <xdr:row>3</xdr:row>
      <xdr:rowOff>33338</xdr:rowOff>
    </xdr:from>
    <xdr:to>
      <xdr:col>27</xdr:col>
      <xdr:colOff>222250</xdr:colOff>
      <xdr:row>4</xdr:row>
      <xdr:rowOff>84667</xdr:rowOff>
    </xdr:to>
    <xdr:cxnSp macro="">
      <xdr:nvCxnSpPr>
        <xdr:cNvPr id="34" name="Přímá spojnice se šipkou 3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CxnSpPr>
          <a:stCxn id="10" idx="3"/>
        </xdr:cNvCxnSpPr>
      </xdr:nvCxnSpPr>
      <xdr:spPr>
        <a:xfrm>
          <a:off x="15906751" y="604838"/>
          <a:ext cx="774699" cy="24182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43391</xdr:colOff>
      <xdr:row>39</xdr:row>
      <xdr:rowOff>107948</xdr:rowOff>
    </xdr:from>
    <xdr:to>
      <xdr:col>30</xdr:col>
      <xdr:colOff>550332</xdr:colOff>
      <xdr:row>46</xdr:row>
      <xdr:rowOff>50798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3891" y="7537448"/>
          <a:ext cx="6031441" cy="1276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74085</xdr:colOff>
      <xdr:row>37</xdr:row>
      <xdr:rowOff>1</xdr:rowOff>
    </xdr:from>
    <xdr:to>
      <xdr:col>34</xdr:col>
      <xdr:colOff>370417</xdr:colOff>
      <xdr:row>39</xdr:row>
      <xdr:rowOff>178121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3085" y="7048501"/>
          <a:ext cx="10117665" cy="55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66674</xdr:rowOff>
    </xdr:from>
    <xdr:to>
      <xdr:col>44</xdr:col>
      <xdr:colOff>202406</xdr:colOff>
      <xdr:row>53</xdr:row>
      <xdr:rowOff>23811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390525" y="66674"/>
          <a:ext cx="26529506" cy="100536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0</xdr:col>
      <xdr:colOff>504825</xdr:colOff>
      <xdr:row>23</xdr:row>
      <xdr:rowOff>57152</xdr:rowOff>
    </xdr:from>
    <xdr:to>
      <xdr:col>10</xdr:col>
      <xdr:colOff>200025</xdr:colOff>
      <xdr:row>26</xdr:row>
      <xdr:rowOff>19050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04825" y="4438652"/>
          <a:ext cx="5791200" cy="5333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Rameno faricimabu s personalizovaným léčebným intervalem (tzv. "PTI režim") zahrnovalo nespočet různých individualizovaných léčebných schémat, přičemž rozdíly byly pozorovány nejen mezi pacienty, ale také u stejného pac. v průběhu léčby - režim PTI zahrnoval možnost prodloužit i zkrátit intervaly mezi dávkami podle potřeb léčby pac.</a:t>
          </a:r>
          <a:endParaRPr lang="cs-CZ" sz="900" b="1" u="none"/>
        </a:p>
      </xdr:txBody>
    </xdr:sp>
    <xdr:clientData/>
  </xdr:twoCellAnchor>
  <xdr:twoCellAnchor editAs="oneCell">
    <xdr:from>
      <xdr:col>0</xdr:col>
      <xdr:colOff>495302</xdr:colOff>
      <xdr:row>0</xdr:row>
      <xdr:rowOff>171451</xdr:rowOff>
    </xdr:from>
    <xdr:to>
      <xdr:col>10</xdr:col>
      <xdr:colOff>152400</xdr:colOff>
      <xdr:row>23</xdr:row>
      <xdr:rowOff>49387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2" y="171451"/>
          <a:ext cx="5753098" cy="425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247650</xdr:colOff>
      <xdr:row>0</xdr:row>
      <xdr:rowOff>171450</xdr:rowOff>
    </xdr:from>
    <xdr:to>
      <xdr:col>19</xdr:col>
      <xdr:colOff>511969</xdr:colOff>
      <xdr:row>4</xdr:row>
      <xdr:rowOff>152400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71450"/>
          <a:ext cx="575071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4</xdr:row>
      <xdr:rowOff>142875</xdr:rowOff>
    </xdr:from>
    <xdr:to>
      <xdr:col>19</xdr:col>
      <xdr:colOff>502444</xdr:colOff>
      <xdr:row>11</xdr:row>
      <xdr:rowOff>123825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904875"/>
          <a:ext cx="5750719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228600</xdr:colOff>
      <xdr:row>11</xdr:row>
      <xdr:rowOff>104776</xdr:rowOff>
    </xdr:from>
    <xdr:to>
      <xdr:col>19</xdr:col>
      <xdr:colOff>523265</xdr:colOff>
      <xdr:row>25</xdr:row>
      <xdr:rowOff>9526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2200276"/>
          <a:ext cx="578106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380999</xdr:colOff>
      <xdr:row>3</xdr:row>
      <xdr:rowOff>152400</xdr:rowOff>
    </xdr:from>
    <xdr:to>
      <xdr:col>9</xdr:col>
      <xdr:colOff>133350</xdr:colOff>
      <xdr:row>9</xdr:row>
      <xdr:rowOff>123825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/>
      </xdr:nvSpPr>
      <xdr:spPr>
        <a:xfrm>
          <a:off x="4038599" y="723900"/>
          <a:ext cx="1581151" cy="111442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123825</xdr:colOff>
      <xdr:row>3</xdr:row>
      <xdr:rowOff>95250</xdr:rowOff>
    </xdr:from>
    <xdr:to>
      <xdr:col>18</xdr:col>
      <xdr:colOff>485776</xdr:colOff>
      <xdr:row>9</xdr:row>
      <xdr:rowOff>142875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/>
      </xdr:nvSpPr>
      <xdr:spPr>
        <a:xfrm>
          <a:off x="9877425" y="666750"/>
          <a:ext cx="1581151" cy="119062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</xdr:colOff>
      <xdr:row>8</xdr:row>
      <xdr:rowOff>19051</xdr:rowOff>
    </xdr:from>
    <xdr:to>
      <xdr:col>3</xdr:col>
      <xdr:colOff>295275</xdr:colOff>
      <xdr:row>9</xdr:row>
      <xdr:rowOff>178064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/>
      </xdr:nvSpPr>
      <xdr:spPr>
        <a:xfrm>
          <a:off x="1219203" y="1543051"/>
          <a:ext cx="904872" cy="3495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00" b="1" u="none"/>
            <a:t>(ETDRS letters</a:t>
          </a:r>
          <a:r>
            <a:rPr lang="cs-CZ" sz="800" b="1" u="none" baseline="0"/>
            <a:t> -</a:t>
          </a:r>
          <a:endParaRPr lang="cs-CZ" sz="800" b="1" u="none"/>
        </a:p>
        <a:p>
          <a:pPr algn="l"/>
          <a:r>
            <a:rPr lang="cs-CZ" sz="800" b="1" u="none"/>
            <a:t>      viz pozn. 11)</a:t>
          </a:r>
        </a:p>
      </xdr:txBody>
    </xdr:sp>
    <xdr:clientData/>
  </xdr:twoCellAnchor>
  <xdr:twoCellAnchor>
    <xdr:from>
      <xdr:col>16</xdr:col>
      <xdr:colOff>161926</xdr:colOff>
      <xdr:row>17</xdr:row>
      <xdr:rowOff>47625</xdr:rowOff>
    </xdr:from>
    <xdr:to>
      <xdr:col>18</xdr:col>
      <xdr:colOff>466726</xdr:colOff>
      <xdr:row>23</xdr:row>
      <xdr:rowOff>38100</xdr:rowOff>
    </xdr:to>
    <xdr:sp macro="" textlink="">
      <xdr:nvSpPr>
        <xdr:cNvPr id="12" name="Ovál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9915526" y="3286125"/>
          <a:ext cx="1524000" cy="113347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381000</xdr:colOff>
      <xdr:row>15</xdr:row>
      <xdr:rowOff>180975</xdr:rowOff>
    </xdr:from>
    <xdr:to>
      <xdr:col>9</xdr:col>
      <xdr:colOff>133350</xdr:colOff>
      <xdr:row>21</xdr:row>
      <xdr:rowOff>152400</xdr:rowOff>
    </xdr:to>
    <xdr:sp macro="" textlink="">
      <xdr:nvSpPr>
        <xdr:cNvPr id="13" name="Ovál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/>
      </xdr:nvSpPr>
      <xdr:spPr>
        <a:xfrm>
          <a:off x="4038600" y="3038475"/>
          <a:ext cx="1581150" cy="111442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600077</xdr:colOff>
      <xdr:row>20</xdr:row>
      <xdr:rowOff>104776</xdr:rowOff>
    </xdr:from>
    <xdr:to>
      <xdr:col>3</xdr:col>
      <xdr:colOff>285749</xdr:colOff>
      <xdr:row>22</xdr:row>
      <xdr:rowOff>73289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1209677" y="3914776"/>
          <a:ext cx="904872" cy="3495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00" b="1" u="none"/>
            <a:t>(ETDRS letters</a:t>
          </a:r>
          <a:r>
            <a:rPr lang="cs-CZ" sz="800" b="1" u="none" baseline="0"/>
            <a:t> -</a:t>
          </a:r>
          <a:endParaRPr lang="cs-CZ" sz="800" b="1" u="none"/>
        </a:p>
        <a:p>
          <a:pPr algn="l"/>
          <a:r>
            <a:rPr lang="cs-CZ" sz="800" b="1" u="none"/>
            <a:t>      viz pozn. 11)</a:t>
          </a:r>
        </a:p>
      </xdr:txBody>
    </xdr:sp>
    <xdr:clientData/>
  </xdr:twoCellAnchor>
  <xdr:twoCellAnchor>
    <xdr:from>
      <xdr:col>11</xdr:col>
      <xdr:colOff>352425</xdr:colOff>
      <xdr:row>21</xdr:row>
      <xdr:rowOff>180976</xdr:rowOff>
    </xdr:from>
    <xdr:to>
      <xdr:col>13</xdr:col>
      <xdr:colOff>38097</xdr:colOff>
      <xdr:row>23</xdr:row>
      <xdr:rowOff>149489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7058025" y="4181476"/>
          <a:ext cx="904872" cy="3495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00" b="1" u="none"/>
            <a:t>(ETDRS letters</a:t>
          </a:r>
          <a:r>
            <a:rPr lang="cs-CZ" sz="800" b="1" u="none" baseline="0"/>
            <a:t> -</a:t>
          </a:r>
          <a:endParaRPr lang="cs-CZ" sz="800" b="1" u="none"/>
        </a:p>
        <a:p>
          <a:pPr algn="l"/>
          <a:r>
            <a:rPr lang="cs-CZ" sz="800" b="1" u="none"/>
            <a:t>      viz pozn. 11)</a:t>
          </a:r>
        </a:p>
      </xdr:txBody>
    </xdr:sp>
    <xdr:clientData/>
  </xdr:twoCellAnchor>
  <xdr:twoCellAnchor>
    <xdr:from>
      <xdr:col>11</xdr:col>
      <xdr:colOff>371475</xdr:colOff>
      <xdr:row>8</xdr:row>
      <xdr:rowOff>57150</xdr:rowOff>
    </xdr:from>
    <xdr:to>
      <xdr:col>13</xdr:col>
      <xdr:colOff>57147</xdr:colOff>
      <xdr:row>10</xdr:row>
      <xdr:rowOff>25663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7077075" y="1581150"/>
          <a:ext cx="904872" cy="3495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00" b="1" u="none"/>
            <a:t>(ETDRS letters</a:t>
          </a:r>
          <a:r>
            <a:rPr lang="cs-CZ" sz="800" b="1" u="none" baseline="0"/>
            <a:t> -</a:t>
          </a:r>
          <a:endParaRPr lang="cs-CZ" sz="800" b="1" u="none"/>
        </a:p>
        <a:p>
          <a:pPr algn="l"/>
          <a:r>
            <a:rPr lang="cs-CZ" sz="800" b="1" u="none"/>
            <a:t>      viz pozn. 11)</a:t>
          </a:r>
        </a:p>
      </xdr:txBody>
    </xdr:sp>
    <xdr:clientData/>
  </xdr:twoCellAnchor>
  <xdr:twoCellAnchor>
    <xdr:from>
      <xdr:col>21</xdr:col>
      <xdr:colOff>137583</xdr:colOff>
      <xdr:row>23</xdr:row>
      <xdr:rowOff>31750</xdr:rowOff>
    </xdr:from>
    <xdr:to>
      <xdr:col>31</xdr:col>
      <xdr:colOff>127000</xdr:colOff>
      <xdr:row>25</xdr:row>
      <xdr:rowOff>179917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13028083" y="4413250"/>
          <a:ext cx="6127750" cy="52916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900" b="1" u="none"/>
            <a:t>                              </a:t>
          </a:r>
          <a:r>
            <a:rPr lang="cs-CZ" sz="900" b="1" u="sng"/>
            <a:t>There were no IOI events associated with retinal vasculitis or occlusive disease in any treatment                         arms based until Week</a:t>
          </a:r>
          <a:r>
            <a:rPr lang="cs-CZ" sz="900" b="1" u="sng" baseline="0"/>
            <a:t> 56! </a:t>
          </a:r>
          <a:r>
            <a:rPr lang="cs-CZ" sz="900" b="1" u="sng"/>
            <a:t>After Week 56 to the Clinical Cut-Off Date, there were no additional </a:t>
          </a:r>
          <a:r>
            <a:rPr lang="cs-CZ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IOI events associated with</a:t>
          </a:r>
        </a:p>
        <a:p>
          <a:pPr algn="l"/>
          <a:r>
            <a:rPr lang="cs-CZ" sz="9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lang="cs-CZ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retinal vasculitis or occlusive disease in any treatment arms </a:t>
          </a:r>
          <a:r>
            <a:rPr lang="cs-CZ" sz="900" b="1"/>
            <a:t>!</a:t>
          </a:r>
          <a:endParaRPr lang="cs-CZ" sz="900" b="1" u="none"/>
        </a:p>
      </xdr:txBody>
    </xdr:sp>
    <xdr:clientData/>
  </xdr:twoCellAnchor>
  <xdr:twoCellAnchor editAs="oneCell">
    <xdr:from>
      <xdr:col>21</xdr:col>
      <xdr:colOff>95250</xdr:colOff>
      <xdr:row>1</xdr:row>
      <xdr:rowOff>52917</xdr:rowOff>
    </xdr:from>
    <xdr:to>
      <xdr:col>31</xdr:col>
      <xdr:colOff>142875</xdr:colOff>
      <xdr:row>3</xdr:row>
      <xdr:rowOff>148167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750" y="243417"/>
          <a:ext cx="618595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105834</xdr:colOff>
      <xdr:row>3</xdr:row>
      <xdr:rowOff>148166</xdr:rowOff>
    </xdr:from>
    <xdr:to>
      <xdr:col>31</xdr:col>
      <xdr:colOff>134409</xdr:colOff>
      <xdr:row>22</xdr:row>
      <xdr:rowOff>176741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7434" y="719666"/>
          <a:ext cx="6124575" cy="364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66675</xdr:colOff>
      <xdr:row>23</xdr:row>
      <xdr:rowOff>28575</xdr:rowOff>
    </xdr:from>
    <xdr:to>
      <xdr:col>31</xdr:col>
      <xdr:colOff>295275</xdr:colOff>
      <xdr:row>26</xdr:row>
      <xdr:rowOff>57150</xdr:rowOff>
    </xdr:to>
    <xdr:sp macro="" textlink="">
      <xdr:nvSpPr>
        <xdr:cNvPr id="21" name="Ovál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/>
      </xdr:nvSpPr>
      <xdr:spPr>
        <a:xfrm>
          <a:off x="12868275" y="4410075"/>
          <a:ext cx="6324600" cy="60007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228601</xdr:colOff>
      <xdr:row>7</xdr:row>
      <xdr:rowOff>47624</xdr:rowOff>
    </xdr:from>
    <xdr:to>
      <xdr:col>26</xdr:col>
      <xdr:colOff>180975</xdr:colOff>
      <xdr:row>23</xdr:row>
      <xdr:rowOff>47625</xdr:rowOff>
    </xdr:to>
    <xdr:sp macro="" textlink="">
      <xdr:nvSpPr>
        <xdr:cNvPr id="23" name="Ovál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/>
      </xdr:nvSpPr>
      <xdr:spPr>
        <a:xfrm>
          <a:off x="14859001" y="1381124"/>
          <a:ext cx="1171574" cy="3048001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492918</xdr:colOff>
      <xdr:row>27</xdr:row>
      <xdr:rowOff>185209</xdr:rowOff>
    </xdr:from>
    <xdr:to>
      <xdr:col>30</xdr:col>
      <xdr:colOff>142874</xdr:colOff>
      <xdr:row>35</xdr:row>
      <xdr:rowOff>178595</xdr:rowOff>
    </xdr:to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7779543" y="5328709"/>
          <a:ext cx="10579894" cy="15173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Anti-VEGF přípravky mohou být u nVPMD aplikovány buď: </a:t>
          </a:r>
          <a:r>
            <a:rPr lang="cs-CZ" sz="1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pevných (fixních) minimálně /maximálně doporučených (dle SPC daného anti-VEGF přípravku) intervalech (dle aktivity onemocnění) nebo ● adaptivním způsobem, ten může být dvojí: v případě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re nata přístupu (tzv. PRN, někdy nazýván také jako „reaktivní“ režim</a:t>
          </a:r>
          <a:r>
            <a:rPr lang="cs-CZ" sz="100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pacient přichází na kontroly v pevně stanovených intervalech, ale léčba je podávána pouze v případě, že je detekována aktivita onemocnění (viz  pozn. 5). V případě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treat-and-extend přístupu (tzv. TaE, někdy nazýván také jako „proaktivní“ režim</a:t>
          </a:r>
          <a:r>
            <a:rPr lang="cs-CZ" sz="100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pacient dostane anti-VEGF přípravek při každé kontrole, ale interval další kontroly se event. zkrátí či prodlouží podle anatomických a/nebo zrakových parametrů výsledků kontroly (viz výše pozn. 5).</a:t>
          </a:r>
        </a:p>
        <a:p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Upraveno dle: https://en.wikipedia.org/w/index.php?title=Macular_degeneration&amp;oldid=1127887761 ze dne 30.12.2022</a:t>
          </a:r>
        </a:p>
        <a:p>
          <a:endParaRPr lang="cs-CZ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Anti-VEGF přípravky mohou být u DME aplikovány buď: 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v pevných fixních) minimálně /maximálně doporučených (dle SPC daného anti-VEGF přípravku) intervalech (dle aktivity onemocnění) nebo ● adaptivním způsobem - 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režim z DRCR.net studie</a:t>
          </a:r>
          <a:r>
            <a:rPr lang="cs-CZ" sz="1000" b="1" u="sng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92</a:t>
          </a:r>
          <a:r>
            <a:rPr lang="cs-CZ" sz="1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(tzv. Protocol T - pro aflibercept a ranibizumab) – viz Příloha č. 15</a:t>
          </a:r>
          <a:endParaRPr lang="cs-CZ" sz="1000" b="1" u="none"/>
        </a:p>
      </xdr:txBody>
    </xdr:sp>
    <xdr:clientData/>
  </xdr:twoCellAnchor>
  <xdr:twoCellAnchor editAs="oneCell">
    <xdr:from>
      <xdr:col>1</xdr:col>
      <xdr:colOff>59530</xdr:colOff>
      <xdr:row>29</xdr:row>
      <xdr:rowOff>95250</xdr:rowOff>
    </xdr:from>
    <xdr:to>
      <xdr:col>3</xdr:col>
      <xdr:colOff>69056</xdr:colOff>
      <xdr:row>35</xdr:row>
      <xdr:rowOff>66675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4BC3E17E-BA2B-45B0-90DA-8A5BFE00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" y="5619750"/>
          <a:ext cx="1223963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35</xdr:row>
      <xdr:rowOff>59531</xdr:rowOff>
    </xdr:from>
    <xdr:to>
      <xdr:col>3</xdr:col>
      <xdr:colOff>69057</xdr:colOff>
      <xdr:row>36</xdr:row>
      <xdr:rowOff>50006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EA91FFD9-578D-40E9-8484-D09E1BCD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27031"/>
          <a:ext cx="1223963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29</xdr:row>
      <xdr:rowOff>95250</xdr:rowOff>
    </xdr:from>
    <xdr:to>
      <xdr:col>7</xdr:col>
      <xdr:colOff>40481</xdr:colOff>
      <xdr:row>35</xdr:row>
      <xdr:rowOff>76200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C1EA5F43-8133-4AC5-89FB-73B0B28E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281" y="5619750"/>
          <a:ext cx="2421731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35</xdr:row>
      <xdr:rowOff>59532</xdr:rowOff>
    </xdr:from>
    <xdr:to>
      <xdr:col>7</xdr:col>
      <xdr:colOff>30956</xdr:colOff>
      <xdr:row>36</xdr:row>
      <xdr:rowOff>50007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558122E2-3030-4B5D-A0DD-CBEEEF8E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727032"/>
          <a:ext cx="2421731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523873</xdr:colOff>
      <xdr:row>36</xdr:row>
      <xdr:rowOff>107158</xdr:rowOff>
    </xdr:from>
    <xdr:to>
      <xdr:col>7</xdr:col>
      <xdr:colOff>309563</xdr:colOff>
      <xdr:row>41</xdr:row>
      <xdr:rowOff>59532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D80C1F5-B328-4F81-B62C-57DD22B0F6C5}"/>
            </a:ext>
          </a:extLst>
        </xdr:cNvPr>
        <xdr:cNvSpPr txBox="1"/>
      </xdr:nvSpPr>
      <xdr:spPr>
        <a:xfrm>
          <a:off x="523873" y="6965158"/>
          <a:ext cx="4036221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/>
            <a:t>Z</a:t>
          </a:r>
          <a:r>
            <a:rPr lang="cs-CZ" sz="1000"/>
            <a:t> 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celospolečenského hlediska byly celkové náklady (zdravotní i sociální) vynaložené v ČR za 1 rok pro nevidomého seniora žijícího v domácím prostředí v roce 2006 vyčísleny</a:t>
          </a:r>
          <a:r>
            <a:rPr lang="cs-CZ" sz="10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125 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(v tehdejších cenách) na téměř 300.000 Kč, průměrný odhad nákladů na dopravu 1 pac. na 1 oftalmologickou kontrolu je mezi cca 350 - 1.200 Kč dle druhu dopravy</a:t>
          </a:r>
          <a:r>
            <a:rPr lang="cs-CZ" sz="10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127</a:t>
          </a:r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894/Desktop/FE%20anal&#253;zy/HFrEF%20-%20VERQUVO/VERQUVO%20FE%20anal&#253;za%203.0%20bez%20bonus&#367;%20k%2011.10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A"/>
      <sheetName val="CEA-ICER+dopor.ESC+úhrad.omezen"/>
      <sheetName val="CEA eff.frontier"/>
      <sheetName val="faktory prefer. přidání VERQUVA"/>
      <sheetName val="léčba HFrEF dle článku 2021"/>
      <sheetName val="Obrázky"/>
      <sheetName val="AHA guideline 2022"/>
    </sheetNames>
    <sheetDataSet>
      <sheetData sheetId="0">
        <row r="5">
          <cell r="P5">
            <v>1228532.7039999999</v>
          </cell>
        </row>
        <row r="6">
          <cell r="P6">
            <v>1125788.96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6"/>
  <sheetViews>
    <sheetView tabSelected="1" zoomScale="90" zoomScaleNormal="9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7" sqref="G7"/>
    </sheetView>
  </sheetViews>
  <sheetFormatPr defaultRowHeight="15" x14ac:dyDescent="0.25"/>
  <cols>
    <col min="1" max="1" width="2.85546875" customWidth="1"/>
    <col min="2" max="2" width="22.85546875" customWidth="1"/>
    <col min="3" max="3" width="11.42578125" customWidth="1"/>
    <col min="4" max="4" width="10.28515625" customWidth="1"/>
    <col min="5" max="5" width="19.42578125" customWidth="1"/>
    <col min="6" max="6" width="39" customWidth="1"/>
    <col min="7" max="7" width="29.42578125" customWidth="1"/>
    <col min="8" max="8" width="13.5703125" customWidth="1"/>
    <col min="9" max="9" width="13.42578125" customWidth="1"/>
    <col min="10" max="10" width="14.85546875" hidden="1" customWidth="1"/>
    <col min="11" max="11" width="12" hidden="1" customWidth="1"/>
    <col min="12" max="12" width="15.85546875" customWidth="1"/>
    <col min="13" max="13" width="12.7109375" customWidth="1"/>
    <col min="14" max="14" width="7.85546875" customWidth="1"/>
    <col min="15" max="15" width="19.5703125" customWidth="1"/>
    <col min="16" max="16" width="7.7109375" hidden="1" customWidth="1"/>
    <col min="17" max="17" width="0.140625" hidden="1" customWidth="1"/>
    <col min="18" max="18" width="15.140625" customWidth="1"/>
    <col min="19" max="19" width="13" customWidth="1"/>
    <col min="20" max="20" width="7.7109375" customWidth="1"/>
    <col min="21" max="21" width="21.140625" customWidth="1"/>
    <col min="22" max="22" width="17.28515625" customWidth="1"/>
    <col min="23" max="23" width="23.5703125" customWidth="1"/>
    <col min="24" max="24" width="12.28515625" customWidth="1"/>
    <col min="25" max="25" width="7.28515625" customWidth="1"/>
    <col min="26" max="26" width="11.7109375" customWidth="1"/>
    <col min="27" max="27" width="10.85546875" hidden="1" customWidth="1"/>
    <col min="28" max="28" width="10.140625" hidden="1" customWidth="1"/>
    <col min="29" max="29" width="10.28515625" customWidth="1"/>
    <col min="30" max="30" width="10.140625" customWidth="1"/>
    <col min="31" max="31" width="0.140625" customWidth="1"/>
    <col min="32" max="32" width="10.5703125" hidden="1" customWidth="1"/>
    <col min="33" max="33" width="11.140625" customWidth="1"/>
    <col min="34" max="34" width="10.28515625" customWidth="1"/>
    <col min="35" max="35" width="12.85546875" customWidth="1"/>
    <col min="36" max="36" width="13" customWidth="1"/>
    <col min="37" max="37" width="12.7109375" customWidth="1"/>
    <col min="38" max="38" width="12.28515625" customWidth="1"/>
    <col min="39" max="39" width="12.85546875" customWidth="1"/>
    <col min="40" max="40" width="12.42578125" customWidth="1"/>
    <col min="41" max="41" width="11.42578125" customWidth="1"/>
    <col min="42" max="42" width="11.5703125" customWidth="1"/>
    <col min="43" max="43" width="11.7109375" customWidth="1"/>
    <col min="44" max="44" width="12.5703125" customWidth="1"/>
    <col min="45" max="45" width="11.85546875" customWidth="1"/>
    <col min="46" max="46" width="11.7109375" customWidth="1"/>
  </cols>
  <sheetData>
    <row r="1" spans="2:46" ht="21.75" customHeight="1" thickBot="1" x14ac:dyDescent="0.3">
      <c r="B1" s="207" t="s">
        <v>14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</row>
    <row r="2" spans="2:46" ht="0.75" hidden="1" customHeight="1" thickBot="1" x14ac:dyDescent="0.3"/>
    <row r="3" spans="2:46" ht="69.75" customHeight="1" thickTop="1" thickBot="1" x14ac:dyDescent="0.3">
      <c r="B3" s="1" t="s">
        <v>2</v>
      </c>
      <c r="C3" s="3" t="s">
        <v>0</v>
      </c>
      <c r="D3" s="85" t="s">
        <v>3</v>
      </c>
      <c r="E3" s="2" t="s">
        <v>31</v>
      </c>
      <c r="F3" s="2" t="s">
        <v>56</v>
      </c>
      <c r="G3" s="62" t="s">
        <v>16</v>
      </c>
      <c r="H3" s="5" t="s">
        <v>54</v>
      </c>
      <c r="I3" s="5" t="s">
        <v>55</v>
      </c>
      <c r="J3" s="77" t="s">
        <v>69</v>
      </c>
      <c r="K3" s="77" t="s">
        <v>67</v>
      </c>
      <c r="L3" s="78" t="s">
        <v>70</v>
      </c>
      <c r="M3" s="78" t="s">
        <v>67</v>
      </c>
      <c r="N3" s="144" t="s">
        <v>96</v>
      </c>
      <c r="O3" s="144" t="s">
        <v>99</v>
      </c>
      <c r="P3" s="91" t="s">
        <v>75</v>
      </c>
      <c r="Q3" s="91" t="s">
        <v>67</v>
      </c>
      <c r="R3" s="34" t="s">
        <v>76</v>
      </c>
      <c r="S3" s="34" t="s">
        <v>67</v>
      </c>
      <c r="T3" s="153" t="s">
        <v>96</v>
      </c>
      <c r="U3" s="153" t="s">
        <v>102</v>
      </c>
      <c r="V3" s="154" t="s">
        <v>98</v>
      </c>
      <c r="W3" s="155" t="s">
        <v>103</v>
      </c>
      <c r="X3" s="178" t="s">
        <v>114</v>
      </c>
      <c r="Y3" s="4" t="s">
        <v>1</v>
      </c>
      <c r="AA3" s="64" t="s">
        <v>61</v>
      </c>
      <c r="AB3" s="64" t="s">
        <v>68</v>
      </c>
      <c r="AC3" s="90" t="s">
        <v>71</v>
      </c>
      <c r="AD3" s="90" t="s">
        <v>72</v>
      </c>
      <c r="AE3" s="64" t="s">
        <v>87</v>
      </c>
      <c r="AF3" s="64" t="s">
        <v>88</v>
      </c>
      <c r="AG3" s="90" t="s">
        <v>73</v>
      </c>
      <c r="AH3" s="90" t="s">
        <v>74</v>
      </c>
      <c r="AI3" s="162" t="s">
        <v>100</v>
      </c>
      <c r="AJ3" s="162" t="s">
        <v>101</v>
      </c>
      <c r="AK3" s="162" t="s">
        <v>104</v>
      </c>
      <c r="AL3" s="162" t="s">
        <v>105</v>
      </c>
      <c r="AM3" s="163" t="s">
        <v>112</v>
      </c>
      <c r="AN3" s="163" t="s">
        <v>113</v>
      </c>
      <c r="AO3" s="163" t="s">
        <v>106</v>
      </c>
      <c r="AP3" s="163" t="s">
        <v>107</v>
      </c>
      <c r="AQ3" s="164" t="s">
        <v>110</v>
      </c>
      <c r="AR3" s="164" t="s">
        <v>111</v>
      </c>
      <c r="AS3" s="164" t="s">
        <v>108</v>
      </c>
      <c r="AT3" s="164" t="s">
        <v>109</v>
      </c>
    </row>
    <row r="4" spans="2:46" ht="45" customHeight="1" thickTop="1" x14ac:dyDescent="0.25">
      <c r="B4" s="47" t="s">
        <v>17</v>
      </c>
      <c r="C4" s="48" t="s">
        <v>11</v>
      </c>
      <c r="D4" s="48" t="s">
        <v>4</v>
      </c>
      <c r="E4" s="18" t="s">
        <v>23</v>
      </c>
      <c r="F4" s="18" t="s">
        <v>26</v>
      </c>
      <c r="G4" s="18" t="s">
        <v>30</v>
      </c>
      <c r="H4" s="61">
        <v>8592.4599999999991</v>
      </c>
      <c r="I4" s="7">
        <f t="shared" ref="I4:I22" si="0">H4-Z4</f>
        <v>6358.4203999999991</v>
      </c>
      <c r="J4" s="63">
        <f>I4*7</f>
        <v>44508.94279999999</v>
      </c>
      <c r="K4" s="65">
        <f>J4/AA4</f>
        <v>1.4</v>
      </c>
      <c r="L4" s="86">
        <f>J4+((7*2213)+(5*815))</f>
        <v>64074.94279999999</v>
      </c>
      <c r="M4" s="79">
        <f>L4/AC4</f>
        <v>1.4950834239795308</v>
      </c>
      <c r="N4" s="140">
        <f>J4/L4</f>
        <v>0.69463882221366569</v>
      </c>
      <c r="O4" s="158">
        <f>125*(AI4-L4)</f>
        <v>3535132.1500000013</v>
      </c>
      <c r="P4" s="96">
        <f>I4*5</f>
        <v>31792.101999999995</v>
      </c>
      <c r="Q4" s="92">
        <f>P4/AE4</f>
        <v>1.25</v>
      </c>
      <c r="R4" s="135">
        <f>P4+((5*2213)+(7*815))</f>
        <v>48562.101999999999</v>
      </c>
      <c r="S4" s="92">
        <f>R4/AG4</f>
        <v>1.4163959919641791</v>
      </c>
      <c r="T4" s="147">
        <f t="shared" ref="T4:T22" si="1">P4/R4</f>
        <v>0.65466898446858823</v>
      </c>
      <c r="U4" s="168">
        <f>125*(AM4-R4)</f>
        <v>856437.25000000081</v>
      </c>
      <c r="V4" s="172">
        <f>L4+(2*R4)</f>
        <v>161199.14679999999</v>
      </c>
      <c r="W4" s="170">
        <f>125*(AQ4-V4)</f>
        <v>5248006.6500000032</v>
      </c>
      <c r="X4" s="179">
        <f>O4/W4</f>
        <v>0.67361426647582456</v>
      </c>
      <c r="Y4" s="74">
        <v>0.26</v>
      </c>
      <c r="Z4" s="6">
        <f t="shared" ref="Z4:Z17" si="2">Y4*H4</f>
        <v>2234.0396000000001</v>
      </c>
      <c r="AA4" s="19">
        <f>J12</f>
        <v>31792.101999999995</v>
      </c>
      <c r="AB4" s="19"/>
      <c r="AC4" s="19">
        <f>L12</f>
        <v>42857.101999999999</v>
      </c>
      <c r="AE4" s="19">
        <f>P12</f>
        <v>25433.681599999996</v>
      </c>
      <c r="AG4" s="19">
        <f>R12</f>
        <v>34285.681599999996</v>
      </c>
      <c r="AI4" s="19">
        <f>L19</f>
        <v>92356</v>
      </c>
      <c r="AM4" s="19">
        <f>R19</f>
        <v>55413.600000000006</v>
      </c>
      <c r="AQ4" s="19">
        <f>V19</f>
        <v>203183.2</v>
      </c>
    </row>
    <row r="5" spans="2:46" ht="42.75" customHeight="1" thickBot="1" x14ac:dyDescent="0.3">
      <c r="B5" s="40" t="s">
        <v>17</v>
      </c>
      <c r="C5" s="49" t="s">
        <v>11</v>
      </c>
      <c r="D5" s="49" t="s">
        <v>4</v>
      </c>
      <c r="E5" s="13" t="s">
        <v>23</v>
      </c>
      <c r="F5" s="13" t="s">
        <v>27</v>
      </c>
      <c r="G5" s="13" t="s">
        <v>28</v>
      </c>
      <c r="H5" s="14">
        <v>8592.4599999999991</v>
      </c>
      <c r="I5" s="15">
        <f t="shared" si="0"/>
        <v>6358.4203999999991</v>
      </c>
      <c r="J5" s="17">
        <f>I5*12</f>
        <v>76301.044799999989</v>
      </c>
      <c r="K5" s="66">
        <f>J5/AA5</f>
        <v>2.4</v>
      </c>
      <c r="L5" s="87">
        <f>J5+(12*2213)</f>
        <v>102857.04479999999</v>
      </c>
      <c r="M5" s="80">
        <f>L5/AC5</f>
        <v>2.4</v>
      </c>
      <c r="N5" s="141">
        <f>J5/L5</f>
        <v>0.7418164205316542</v>
      </c>
      <c r="O5" s="159">
        <f>125*(AJ5-L5)</f>
        <v>3305169.4000000027</v>
      </c>
      <c r="P5" s="97">
        <f>I5*12</f>
        <v>76301.044799999989</v>
      </c>
      <c r="Q5" s="93">
        <f>P5/AE5</f>
        <v>3</v>
      </c>
      <c r="R5" s="136">
        <f>P5+((12*2213))</f>
        <v>102857.04479999999</v>
      </c>
      <c r="S5" s="93">
        <f>R5/AG5</f>
        <v>3</v>
      </c>
      <c r="T5" s="148">
        <f t="shared" si="1"/>
        <v>0.7418164205316542</v>
      </c>
      <c r="U5" s="166">
        <f>125*(AN5-R5)</f>
        <v>996269.40000000282</v>
      </c>
      <c r="V5" s="173">
        <f>L5+(2*R5)</f>
        <v>308571.13439999998</v>
      </c>
      <c r="W5" s="171">
        <f>125*(AR5-V5)</f>
        <v>5297708.2000000086</v>
      </c>
      <c r="X5" s="185">
        <f t="shared" ref="X5:X18" si="3">O5/W5</f>
        <v>0.62388664592738374</v>
      </c>
      <c r="Y5" s="75">
        <v>0.26</v>
      </c>
      <c r="Z5" s="6">
        <f t="shared" si="2"/>
        <v>2234.0396000000001</v>
      </c>
      <c r="AA5" s="19">
        <f>AA4</f>
        <v>31792.101999999995</v>
      </c>
      <c r="AB5" s="19"/>
      <c r="AC5" s="19">
        <f>L12</f>
        <v>42857.101999999999</v>
      </c>
      <c r="AE5" s="19">
        <f>P12</f>
        <v>25433.681599999996</v>
      </c>
      <c r="AG5" s="19">
        <f>R12</f>
        <v>34285.681599999996</v>
      </c>
      <c r="AI5" s="19"/>
      <c r="AJ5" s="19">
        <f>L20</f>
        <v>129298.40000000001</v>
      </c>
      <c r="AN5" s="19">
        <f>R20</f>
        <v>110827.20000000001</v>
      </c>
      <c r="AR5" s="19">
        <f>V20</f>
        <v>350952.80000000005</v>
      </c>
    </row>
    <row r="6" spans="2:46" ht="44.25" customHeight="1" thickTop="1" x14ac:dyDescent="0.25">
      <c r="B6" s="39" t="s">
        <v>17</v>
      </c>
      <c r="C6" s="50" t="s">
        <v>11</v>
      </c>
      <c r="D6" s="50" t="s">
        <v>4</v>
      </c>
      <c r="E6" s="11" t="s">
        <v>32</v>
      </c>
      <c r="F6" s="11" t="s">
        <v>35</v>
      </c>
      <c r="G6" s="11" t="s">
        <v>36</v>
      </c>
      <c r="H6" s="61">
        <v>8592.4599999999991</v>
      </c>
      <c r="I6" s="7">
        <f t="shared" si="0"/>
        <v>6358.4203999999991</v>
      </c>
      <c r="J6" s="16">
        <f t="shared" ref="J6:J15" si="4">I6*7</f>
        <v>44508.94279999999</v>
      </c>
      <c r="K6" s="65">
        <f>J6/AB6</f>
        <v>1.1666666666666665</v>
      </c>
      <c r="L6" s="86">
        <f>J6+((7*2213)+(2*815))</f>
        <v>61629.94279999999</v>
      </c>
      <c r="M6" s="79">
        <f>L6/AD6</f>
        <v>1.1983611413265103</v>
      </c>
      <c r="N6" s="140">
        <f t="shared" ref="N6:N22" si="5">J6/L6</f>
        <v>0.72219672415467495</v>
      </c>
      <c r="O6" s="158">
        <f>25*(AK6-L6)</f>
        <v>1229931.4300000006</v>
      </c>
      <c r="P6" s="96">
        <f>I6*2</f>
        <v>12716.840799999998</v>
      </c>
      <c r="Q6" s="92">
        <f>P6/AF6</f>
        <v>1</v>
      </c>
      <c r="R6" s="96">
        <f>P6+((2*2213)+(3*815))</f>
        <v>19587.840799999998</v>
      </c>
      <c r="S6" s="92">
        <f>R6/AH6</f>
        <v>1</v>
      </c>
      <c r="T6" s="147">
        <f t="shared" si="1"/>
        <v>0.64922116377421235</v>
      </c>
      <c r="U6" s="168">
        <f>25*(AO6-R6)</f>
        <v>895643.98000000021</v>
      </c>
      <c r="V6" s="172">
        <f t="shared" ref="V6:V18" si="6">L6+(2*R6)</f>
        <v>100805.62439999999</v>
      </c>
      <c r="W6" s="170">
        <f>25*(AS6-V6)</f>
        <v>3021219.3900000011</v>
      </c>
      <c r="X6" s="179">
        <f t="shared" si="3"/>
        <v>0.4070976884601552</v>
      </c>
      <c r="Y6" s="74">
        <v>0.26</v>
      </c>
      <c r="Z6" s="6">
        <f t="shared" si="2"/>
        <v>2234.0396000000001</v>
      </c>
      <c r="AA6" s="19"/>
      <c r="AB6" s="19">
        <f>J14</f>
        <v>38150.522399999994</v>
      </c>
      <c r="AD6" s="19">
        <f>L14</f>
        <v>51428.522399999994</v>
      </c>
      <c r="AF6" s="19">
        <f>P6</f>
        <v>12716.840799999998</v>
      </c>
      <c r="AH6" s="19">
        <f>R6</f>
        <v>19587.840799999998</v>
      </c>
      <c r="AK6" s="19">
        <f>L21</f>
        <v>110827.20000000001</v>
      </c>
      <c r="AO6" s="19">
        <f>R21</f>
        <v>55413.600000000006</v>
      </c>
      <c r="AS6" s="19">
        <f>V21</f>
        <v>221654.40000000002</v>
      </c>
    </row>
    <row r="7" spans="2:46" ht="45.75" customHeight="1" thickBot="1" x14ac:dyDescent="0.3">
      <c r="B7" s="41" t="s">
        <v>17</v>
      </c>
      <c r="C7" s="51" t="s">
        <v>11</v>
      </c>
      <c r="D7" s="51" t="s">
        <v>4</v>
      </c>
      <c r="E7" s="44" t="s">
        <v>33</v>
      </c>
      <c r="F7" s="44" t="s">
        <v>34</v>
      </c>
      <c r="G7" s="44" t="s">
        <v>37</v>
      </c>
      <c r="H7" s="14">
        <v>8592.4599999999991</v>
      </c>
      <c r="I7" s="15">
        <f t="shared" si="0"/>
        <v>6358.4203999999991</v>
      </c>
      <c r="J7" s="17">
        <f>I7*12</f>
        <v>76301.044799999989</v>
      </c>
      <c r="K7" s="66">
        <f>J7/AB7</f>
        <v>2</v>
      </c>
      <c r="L7" s="87">
        <f>J7+(12*2213)</f>
        <v>102857.04479999999</v>
      </c>
      <c r="M7" s="80">
        <f>L7/AD7</f>
        <v>2</v>
      </c>
      <c r="N7" s="141">
        <f t="shared" si="5"/>
        <v>0.7418164205316542</v>
      </c>
      <c r="O7" s="159">
        <f>25*(AL7-L7)</f>
        <v>2046373.8800000004</v>
      </c>
      <c r="P7" s="97">
        <f>I7*9</f>
        <v>57225.783599999995</v>
      </c>
      <c r="Q7" s="93">
        <f>P7/AF7</f>
        <v>4.5</v>
      </c>
      <c r="R7" s="97">
        <f>P7+((9*2213)+(1*815))</f>
        <v>77957.783599999995</v>
      </c>
      <c r="S7" s="93">
        <f>R7/AH7</f>
        <v>3.9799069430868563</v>
      </c>
      <c r="T7" s="148">
        <f t="shared" si="1"/>
        <v>0.73406119257602909</v>
      </c>
      <c r="U7" s="166">
        <f>25*(AP7-R7)</f>
        <v>821735.41000000038</v>
      </c>
      <c r="V7" s="173">
        <f t="shared" si="6"/>
        <v>258772.61199999996</v>
      </c>
      <c r="W7" s="171">
        <f>25*(AT7-V7)</f>
        <v>3689844.7000000016</v>
      </c>
      <c r="X7" s="185">
        <f t="shared" si="3"/>
        <v>0.55459620834448653</v>
      </c>
      <c r="Y7" s="75">
        <v>0.26</v>
      </c>
      <c r="Z7" s="6">
        <f t="shared" si="2"/>
        <v>2234.0396000000001</v>
      </c>
      <c r="AA7" s="19"/>
      <c r="AB7" s="19">
        <f>J14</f>
        <v>38150.522399999994</v>
      </c>
      <c r="AD7" s="19">
        <f>L14</f>
        <v>51428.522399999994</v>
      </c>
      <c r="AF7" s="19">
        <f>P6</f>
        <v>12716.840799999998</v>
      </c>
      <c r="AH7" s="19">
        <f>R6</f>
        <v>19587.840799999998</v>
      </c>
      <c r="AL7" s="19">
        <f>L22</f>
        <v>184712</v>
      </c>
      <c r="AP7" s="19">
        <f>R22</f>
        <v>110827.20000000001</v>
      </c>
      <c r="AT7" s="19">
        <f>V22</f>
        <v>406366.4</v>
      </c>
    </row>
    <row r="8" spans="2:46" ht="42.75" customHeight="1" thickTop="1" x14ac:dyDescent="0.25">
      <c r="B8" s="39" t="s">
        <v>18</v>
      </c>
      <c r="C8" s="50" t="s">
        <v>20</v>
      </c>
      <c r="D8" s="50" t="s">
        <v>19</v>
      </c>
      <c r="E8" s="11" t="s">
        <v>38</v>
      </c>
      <c r="F8" s="11" t="s">
        <v>39</v>
      </c>
      <c r="G8" s="11" t="s">
        <v>40</v>
      </c>
      <c r="H8" s="12">
        <v>16258.07</v>
      </c>
      <c r="I8" s="7">
        <f t="shared" si="0"/>
        <v>13169.036700000001</v>
      </c>
      <c r="J8" s="16">
        <f t="shared" si="4"/>
        <v>92183.256900000008</v>
      </c>
      <c r="K8" s="65">
        <f>J8/AA8</f>
        <v>2.8995647063537988</v>
      </c>
      <c r="L8" s="86">
        <f>J8+(7*2213)</f>
        <v>107674.25690000001</v>
      </c>
      <c r="M8" s="79">
        <f>L8/AC8</f>
        <v>2.5124017228229758</v>
      </c>
      <c r="N8" s="140">
        <f t="shared" si="5"/>
        <v>0.85613088545029936</v>
      </c>
      <c r="O8" s="158">
        <f>125*(AI8-L8)</f>
        <v>-1914782.112500001</v>
      </c>
      <c r="P8" s="96">
        <f>I8*6</f>
        <v>79014.220200000011</v>
      </c>
      <c r="Q8" s="92">
        <f>P8/AE8</f>
        <v>3.1066764710933561</v>
      </c>
      <c r="R8" s="96">
        <f>P8+(6*2213)</f>
        <v>92292.220200000011</v>
      </c>
      <c r="S8" s="92">
        <f>R8/AG8</f>
        <v>2.6918589887389031</v>
      </c>
      <c r="T8" s="147">
        <f t="shared" si="1"/>
        <v>0.85613088545029936</v>
      </c>
      <c r="U8" s="168">
        <f>125*(AM8-R8)</f>
        <v>-4609827.5250000004</v>
      </c>
      <c r="V8" s="172">
        <f t="shared" si="6"/>
        <v>292258.6973</v>
      </c>
      <c r="W8" s="182">
        <f>125*(AQ8-V8)</f>
        <v>-11134437.162499998</v>
      </c>
      <c r="X8" s="183">
        <f t="shared" si="3"/>
        <v>0.17196936715839151</v>
      </c>
      <c r="Y8" s="74">
        <v>0.19</v>
      </c>
      <c r="Z8" s="6">
        <f t="shared" si="2"/>
        <v>3089.0333000000001</v>
      </c>
      <c r="AA8" s="19">
        <f>J12</f>
        <v>31792.101999999995</v>
      </c>
      <c r="AB8" s="19"/>
      <c r="AC8" s="19">
        <f>L12</f>
        <v>42857.101999999999</v>
      </c>
      <c r="AE8" s="19">
        <f>P12</f>
        <v>25433.681599999996</v>
      </c>
      <c r="AG8" s="19">
        <f>R12</f>
        <v>34285.681599999996</v>
      </c>
      <c r="AI8" s="19">
        <f>L19</f>
        <v>92356</v>
      </c>
      <c r="AM8" s="19">
        <f>R19</f>
        <v>55413.600000000006</v>
      </c>
      <c r="AQ8" s="19">
        <f>V19</f>
        <v>203183.2</v>
      </c>
    </row>
    <row r="9" spans="2:46" ht="44.25" customHeight="1" thickBot="1" x14ac:dyDescent="0.3">
      <c r="B9" s="41" t="s">
        <v>18</v>
      </c>
      <c r="C9" s="51" t="s">
        <v>20</v>
      </c>
      <c r="D9" s="51" t="s">
        <v>19</v>
      </c>
      <c r="E9" s="44" t="s">
        <v>38</v>
      </c>
      <c r="F9" s="13" t="s">
        <v>43</v>
      </c>
      <c r="G9" s="13" t="s">
        <v>41</v>
      </c>
      <c r="H9" s="14">
        <v>16258.07</v>
      </c>
      <c r="I9" s="15">
        <f t="shared" si="0"/>
        <v>13169.036700000001</v>
      </c>
      <c r="J9" s="17">
        <f>I9*10</f>
        <v>131690.367</v>
      </c>
      <c r="K9" s="66">
        <f>J9/AA9</f>
        <v>4.1422352947911412</v>
      </c>
      <c r="L9" s="87">
        <f>J9+(10*2213)</f>
        <v>153820.367</v>
      </c>
      <c r="M9" s="80">
        <f>L9/AC9</f>
        <v>3.5891453183185367</v>
      </c>
      <c r="N9" s="141">
        <f t="shared" si="5"/>
        <v>0.85613088545029936</v>
      </c>
      <c r="O9" s="159">
        <f>125*(AJ9-L9)</f>
        <v>-3065245.8749999986</v>
      </c>
      <c r="P9" s="97">
        <f>I9*8</f>
        <v>105352.2936</v>
      </c>
      <c r="Q9" s="93">
        <f>P9/AE9</f>
        <v>4.1422352947911412</v>
      </c>
      <c r="R9" s="97">
        <f>P9+(8*2213)</f>
        <v>123056.2936</v>
      </c>
      <c r="S9" s="93">
        <f>R9/AG9</f>
        <v>3.5891453183185371</v>
      </c>
      <c r="T9" s="148">
        <f t="shared" si="1"/>
        <v>0.85613088545029936</v>
      </c>
      <c r="U9" s="166">
        <f>125*(AN9-R9)</f>
        <v>-1528636.699999999</v>
      </c>
      <c r="V9" s="173">
        <f t="shared" si="6"/>
        <v>399932.95420000004</v>
      </c>
      <c r="W9" s="184">
        <f>125*(AR9-V9)</f>
        <v>-6122519.2749999985</v>
      </c>
      <c r="X9" s="186">
        <f t="shared" si="3"/>
        <v>0.50065107798292707</v>
      </c>
      <c r="Y9" s="75">
        <v>0.19</v>
      </c>
      <c r="Z9" s="6">
        <f t="shared" si="2"/>
        <v>3089.0333000000001</v>
      </c>
      <c r="AA9" s="19">
        <f>J12</f>
        <v>31792.101999999995</v>
      </c>
      <c r="AB9" s="19"/>
      <c r="AC9" s="19">
        <f>L12</f>
        <v>42857.101999999999</v>
      </c>
      <c r="AE9" s="19">
        <f>P12</f>
        <v>25433.681599999996</v>
      </c>
      <c r="AG9" s="19">
        <f>R12</f>
        <v>34285.681599999996</v>
      </c>
      <c r="AI9" s="19"/>
      <c r="AJ9" s="19">
        <f>L20</f>
        <v>129298.40000000001</v>
      </c>
      <c r="AN9" s="19">
        <f>R20</f>
        <v>110827.20000000001</v>
      </c>
      <c r="AR9" s="19">
        <f>V20</f>
        <v>350952.80000000005</v>
      </c>
    </row>
    <row r="10" spans="2:46" ht="45" customHeight="1" thickTop="1" x14ac:dyDescent="0.25">
      <c r="B10" s="39" t="s">
        <v>18</v>
      </c>
      <c r="C10" s="50" t="s">
        <v>20</v>
      </c>
      <c r="D10" s="50" t="s">
        <v>19</v>
      </c>
      <c r="E10" s="18" t="s">
        <v>44</v>
      </c>
      <c r="F10" s="18" t="s">
        <v>42</v>
      </c>
      <c r="G10" s="18" t="s">
        <v>36</v>
      </c>
      <c r="H10" s="12">
        <v>16258.07</v>
      </c>
      <c r="I10" s="7">
        <f t="shared" si="0"/>
        <v>13169.036700000001</v>
      </c>
      <c r="J10" s="16">
        <f t="shared" si="4"/>
        <v>92183.256900000008</v>
      </c>
      <c r="K10" s="65">
        <f>J10/AB10</f>
        <v>2.4163039219614992</v>
      </c>
      <c r="L10" s="86">
        <f>J10+((7*2213)+(2*815))</f>
        <v>109304.25690000001</v>
      </c>
      <c r="M10" s="79">
        <f>L10/AD10</f>
        <v>2.1253625770123237</v>
      </c>
      <c r="N10" s="140">
        <f t="shared" si="5"/>
        <v>0.84336383151423266</v>
      </c>
      <c r="O10" s="158">
        <f>25*(AK10-L10)</f>
        <v>38073.577500000101</v>
      </c>
      <c r="P10" s="96">
        <f>I10*2</f>
        <v>26338.073400000001</v>
      </c>
      <c r="Q10" s="92">
        <f>P10/AF10</f>
        <v>2.0711176473955706</v>
      </c>
      <c r="R10" s="96">
        <f>P10+((2*2213)+(3*815))</f>
        <v>33209.073400000001</v>
      </c>
      <c r="S10" s="92">
        <f>R10/AH10</f>
        <v>1.6953922455812487</v>
      </c>
      <c r="T10" s="147">
        <f t="shared" si="1"/>
        <v>0.79309871379910291</v>
      </c>
      <c r="U10" s="168">
        <f>25*(AO10-R10)</f>
        <v>555113.16500000015</v>
      </c>
      <c r="V10" s="172">
        <f t="shared" si="6"/>
        <v>175722.40370000002</v>
      </c>
      <c r="W10" s="170">
        <f>25*(AS10-V10)</f>
        <v>1148299.9075</v>
      </c>
      <c r="X10" s="179">
        <f t="shared" si="3"/>
        <v>3.315647528256907E-2</v>
      </c>
      <c r="Y10" s="74">
        <v>0.19</v>
      </c>
      <c r="Z10" s="6">
        <f t="shared" si="2"/>
        <v>3089.0333000000001</v>
      </c>
      <c r="AA10" s="19"/>
      <c r="AB10" s="19">
        <f>J14</f>
        <v>38150.522399999994</v>
      </c>
      <c r="AD10" s="19">
        <f>L14</f>
        <v>51428.522399999994</v>
      </c>
      <c r="AF10" s="19">
        <f>P6</f>
        <v>12716.840799999998</v>
      </c>
      <c r="AH10" s="19">
        <f>R6</f>
        <v>19587.840799999998</v>
      </c>
      <c r="AK10" s="19">
        <f>L21</f>
        <v>110827.20000000001</v>
      </c>
      <c r="AO10" s="19">
        <f>R21</f>
        <v>55413.600000000006</v>
      </c>
      <c r="AS10" s="19">
        <f>V21</f>
        <v>221654.40000000002</v>
      </c>
    </row>
    <row r="11" spans="2:46" ht="50.25" customHeight="1" thickBot="1" x14ac:dyDescent="0.3">
      <c r="B11" s="41" t="s">
        <v>18</v>
      </c>
      <c r="C11" s="51" t="s">
        <v>20</v>
      </c>
      <c r="D11" s="51" t="s">
        <v>19</v>
      </c>
      <c r="E11" s="13" t="s">
        <v>44</v>
      </c>
      <c r="F11" s="13" t="s">
        <v>45</v>
      </c>
      <c r="G11" s="13" t="s">
        <v>46</v>
      </c>
      <c r="H11" s="14">
        <v>16258.07</v>
      </c>
      <c r="I11" s="15">
        <f t="shared" si="0"/>
        <v>13169.036700000001</v>
      </c>
      <c r="J11" s="17">
        <f>I11*11</f>
        <v>144859.4037</v>
      </c>
      <c r="K11" s="66">
        <f>J11/AB11</f>
        <v>3.7970490202252125</v>
      </c>
      <c r="L11" s="87">
        <f>J11+((11*2213)+(1*815))</f>
        <v>170017.4037</v>
      </c>
      <c r="M11" s="80">
        <f>L11/AD11</f>
        <v>3.3058971124552476</v>
      </c>
      <c r="N11" s="141">
        <f t="shared" si="5"/>
        <v>0.85202691340710079</v>
      </c>
      <c r="O11" s="159">
        <f>25*(AL11-L11)</f>
        <v>367364.90750000009</v>
      </c>
      <c r="P11" s="97">
        <f>I11*8</f>
        <v>105352.2936</v>
      </c>
      <c r="Q11" s="93">
        <f>P11/AF11</f>
        <v>8.2844705895822823</v>
      </c>
      <c r="R11" s="97">
        <f>P11+((8*2213)+(2*815))</f>
        <v>124686.2936</v>
      </c>
      <c r="S11" s="93">
        <f>R11/AH11</f>
        <v>6.36549453679448</v>
      </c>
      <c r="T11" s="148">
        <f t="shared" si="1"/>
        <v>0.8449388506003358</v>
      </c>
      <c r="U11" s="166">
        <f>25*(AP11-R11)</f>
        <v>-346477.33999999985</v>
      </c>
      <c r="V11" s="173">
        <f t="shared" si="6"/>
        <v>419389.99089999998</v>
      </c>
      <c r="W11" s="184">
        <f>25*(AT11-V11)</f>
        <v>-325589.7724999988</v>
      </c>
      <c r="X11" s="187" t="s">
        <v>115</v>
      </c>
      <c r="Y11" s="75">
        <v>0.19</v>
      </c>
      <c r="Z11" s="6">
        <f t="shared" si="2"/>
        <v>3089.0333000000001</v>
      </c>
      <c r="AA11" s="19"/>
      <c r="AB11" s="19">
        <f>J14</f>
        <v>38150.522399999994</v>
      </c>
      <c r="AD11" s="19">
        <f>L14</f>
        <v>51428.522399999994</v>
      </c>
      <c r="AF11" s="19">
        <f>P6</f>
        <v>12716.840799999998</v>
      </c>
      <c r="AH11" s="19">
        <f>R6</f>
        <v>19587.840799999998</v>
      </c>
      <c r="AL11" s="19">
        <f>L22</f>
        <v>184712</v>
      </c>
      <c r="AP11" s="19">
        <f>R22</f>
        <v>110827.20000000001</v>
      </c>
      <c r="AT11" s="19">
        <f>V22</f>
        <v>406366.4</v>
      </c>
    </row>
    <row r="12" spans="2:46" ht="42.75" customHeight="1" thickTop="1" x14ac:dyDescent="0.25">
      <c r="B12" s="39" t="s">
        <v>21</v>
      </c>
      <c r="C12" s="50" t="s">
        <v>22</v>
      </c>
      <c r="D12" s="50" t="s">
        <v>4</v>
      </c>
      <c r="E12" s="11" t="s">
        <v>47</v>
      </c>
      <c r="F12" s="58" t="s">
        <v>57</v>
      </c>
      <c r="G12" s="55" t="s">
        <v>48</v>
      </c>
      <c r="H12" s="12">
        <v>8592.4599999999991</v>
      </c>
      <c r="I12" s="7">
        <f t="shared" si="0"/>
        <v>6358.4203999999991</v>
      </c>
      <c r="J12" s="16">
        <f>I12*5</f>
        <v>31792.101999999995</v>
      </c>
      <c r="K12" s="65">
        <f>J12/AA12</f>
        <v>1</v>
      </c>
      <c r="L12" s="86">
        <f>J12+(5*2213)</f>
        <v>42857.101999999999</v>
      </c>
      <c r="M12" s="79">
        <f>L12/AC12</f>
        <v>1</v>
      </c>
      <c r="N12" s="140">
        <f t="shared" si="5"/>
        <v>0.7418164205316542</v>
      </c>
      <c r="O12" s="158">
        <f>125*(AI12-L12)</f>
        <v>6187362.25</v>
      </c>
      <c r="P12" s="96">
        <f>I12*4</f>
        <v>25433.681599999996</v>
      </c>
      <c r="Q12" s="92">
        <f>P12/AE12</f>
        <v>1</v>
      </c>
      <c r="R12" s="96">
        <f>P12+(4*2213)</f>
        <v>34285.681599999996</v>
      </c>
      <c r="S12" s="92">
        <f>R12/AG12</f>
        <v>1</v>
      </c>
      <c r="T12" s="147">
        <f t="shared" si="1"/>
        <v>0.7418164205316542</v>
      </c>
      <c r="U12" s="168">
        <f>125*(AM12-R12)</f>
        <v>2640989.8000000012</v>
      </c>
      <c r="V12" s="172">
        <f t="shared" si="6"/>
        <v>111428.46519999999</v>
      </c>
      <c r="W12" s="170">
        <f>125*(AQ12-V12)</f>
        <v>11469341.850000003</v>
      </c>
      <c r="X12" s="179">
        <f t="shared" si="3"/>
        <v>0.53946968630985559</v>
      </c>
      <c r="Y12" s="74">
        <v>0.26</v>
      </c>
      <c r="Z12" s="6">
        <f t="shared" si="2"/>
        <v>2234.0396000000001</v>
      </c>
      <c r="AA12" s="19">
        <f>J12</f>
        <v>31792.101999999995</v>
      </c>
      <c r="AB12" s="19"/>
      <c r="AC12" s="19">
        <f>L12</f>
        <v>42857.101999999999</v>
      </c>
      <c r="AE12" s="19">
        <f>P12</f>
        <v>25433.681599999996</v>
      </c>
      <c r="AG12" s="19">
        <f>R12</f>
        <v>34285.681599999996</v>
      </c>
      <c r="AI12" s="19">
        <f>L19</f>
        <v>92356</v>
      </c>
      <c r="AM12" s="19">
        <f>R19</f>
        <v>55413.600000000006</v>
      </c>
      <c r="AQ12" s="19">
        <f>V19</f>
        <v>203183.2</v>
      </c>
    </row>
    <row r="13" spans="2:46" ht="44.25" customHeight="1" thickBot="1" x14ac:dyDescent="0.3">
      <c r="B13" s="41" t="s">
        <v>21</v>
      </c>
      <c r="C13" s="51" t="s">
        <v>22</v>
      </c>
      <c r="D13" s="51" t="s">
        <v>4</v>
      </c>
      <c r="E13" s="10" t="s">
        <v>47</v>
      </c>
      <c r="F13" s="57" t="s">
        <v>58</v>
      </c>
      <c r="G13" s="56" t="s">
        <v>25</v>
      </c>
      <c r="H13" s="14">
        <v>8592.4599999999991</v>
      </c>
      <c r="I13" s="15">
        <f t="shared" si="0"/>
        <v>6358.4203999999991</v>
      </c>
      <c r="J13" s="17">
        <f t="shared" si="4"/>
        <v>44508.94279999999</v>
      </c>
      <c r="K13" s="66">
        <f>J13/AA13</f>
        <v>1.4</v>
      </c>
      <c r="L13" s="87">
        <f>J13+(7*2213)</f>
        <v>59999.94279999999</v>
      </c>
      <c r="M13" s="80">
        <f>L13/AC13</f>
        <v>1.3999999999999997</v>
      </c>
      <c r="N13" s="141">
        <f t="shared" si="5"/>
        <v>0.7418164205316542</v>
      </c>
      <c r="O13" s="159">
        <f>125*(AJ13-L13)</f>
        <v>8662307.1500000022</v>
      </c>
      <c r="P13" s="97">
        <f>I13*6</f>
        <v>38150.522399999994</v>
      </c>
      <c r="Q13" s="93">
        <f>P13/AE13</f>
        <v>1.5</v>
      </c>
      <c r="R13" s="97">
        <f>P13+(6*2213)</f>
        <v>51428.522399999994</v>
      </c>
      <c r="S13" s="93">
        <f>R13/AG13</f>
        <v>1.5</v>
      </c>
      <c r="T13" s="148">
        <f t="shared" si="1"/>
        <v>0.7418164205316542</v>
      </c>
      <c r="U13" s="166">
        <f>125*(AN13-R13)</f>
        <v>7424834.700000002</v>
      </c>
      <c r="V13" s="173">
        <f t="shared" si="6"/>
        <v>162856.98759999999</v>
      </c>
      <c r="W13" s="171">
        <f>125*(AR13-V13)</f>
        <v>23511976.550000008</v>
      </c>
      <c r="X13" s="185">
        <f t="shared" si="3"/>
        <v>0.36842105263157893</v>
      </c>
      <c r="Y13" s="75">
        <v>0.26</v>
      </c>
      <c r="Z13" s="6">
        <f t="shared" si="2"/>
        <v>2234.0396000000001</v>
      </c>
      <c r="AA13" s="19">
        <f>J12</f>
        <v>31792.101999999995</v>
      </c>
      <c r="AB13" s="19"/>
      <c r="AC13" s="19">
        <f>L12</f>
        <v>42857.101999999999</v>
      </c>
      <c r="AE13" s="19">
        <f>P12</f>
        <v>25433.681599999996</v>
      </c>
      <c r="AG13" s="19">
        <f>R12</f>
        <v>34285.681599999996</v>
      </c>
      <c r="AI13" s="19"/>
      <c r="AJ13" s="19">
        <f>L20</f>
        <v>129298.40000000001</v>
      </c>
      <c r="AN13" s="19">
        <f>R20</f>
        <v>110827.20000000001</v>
      </c>
      <c r="AR13" s="19">
        <f>V20</f>
        <v>350952.80000000005</v>
      </c>
    </row>
    <row r="14" spans="2:46" ht="42" customHeight="1" thickTop="1" x14ac:dyDescent="0.25">
      <c r="B14" s="47" t="s">
        <v>21</v>
      </c>
      <c r="C14" s="48" t="s">
        <v>22</v>
      </c>
      <c r="D14" s="48" t="s">
        <v>4</v>
      </c>
      <c r="E14" s="18" t="s">
        <v>49</v>
      </c>
      <c r="F14" s="58" t="s">
        <v>50</v>
      </c>
      <c r="G14" s="55" t="s">
        <v>51</v>
      </c>
      <c r="H14" s="12">
        <v>8592.4599999999991</v>
      </c>
      <c r="I14" s="7">
        <f t="shared" si="0"/>
        <v>6358.4203999999991</v>
      </c>
      <c r="J14" s="16">
        <f>I14*6</f>
        <v>38150.522399999994</v>
      </c>
      <c r="K14" s="65">
        <f>J14/AB14</f>
        <v>1</v>
      </c>
      <c r="L14" s="86">
        <f>J14+(6*2213)</f>
        <v>51428.522399999994</v>
      </c>
      <c r="M14" s="79">
        <f>L14/AD14</f>
        <v>1</v>
      </c>
      <c r="N14" s="140">
        <f t="shared" si="5"/>
        <v>0.7418164205316542</v>
      </c>
      <c r="O14" s="158">
        <f>25*(AK14-L14)</f>
        <v>1484966.9400000004</v>
      </c>
      <c r="P14" s="96">
        <f>I14*4</f>
        <v>25433.681599999996</v>
      </c>
      <c r="Q14" s="92">
        <f>P14/AF14</f>
        <v>2</v>
      </c>
      <c r="R14" s="96">
        <f>P14+(4*2213)</f>
        <v>34285.681599999996</v>
      </c>
      <c r="S14" s="92">
        <f>R14/AH14</f>
        <v>1.750355332681691</v>
      </c>
      <c r="T14" s="147">
        <f t="shared" si="1"/>
        <v>0.7418164205316542</v>
      </c>
      <c r="U14" s="168">
        <f>25*(AO14-R14)</f>
        <v>528197.9600000002</v>
      </c>
      <c r="V14" s="172">
        <f t="shared" si="6"/>
        <v>119999.88559999998</v>
      </c>
      <c r="W14" s="170">
        <f>25*(AS14-V14)</f>
        <v>2541362.8600000013</v>
      </c>
      <c r="X14" s="179">
        <f t="shared" si="3"/>
        <v>0.58431913182204909</v>
      </c>
      <c r="Y14" s="74">
        <v>0.26</v>
      </c>
      <c r="Z14" s="6">
        <f t="shared" si="2"/>
        <v>2234.0396000000001</v>
      </c>
      <c r="AA14" s="19"/>
      <c r="AB14" s="19">
        <f>J14</f>
        <v>38150.522399999994</v>
      </c>
      <c r="AD14" s="19">
        <f>L14</f>
        <v>51428.522399999994</v>
      </c>
      <c r="AF14" s="19">
        <f>P6</f>
        <v>12716.840799999998</v>
      </c>
      <c r="AH14" s="19">
        <f>R6</f>
        <v>19587.840799999998</v>
      </c>
      <c r="AK14" s="19">
        <f>L21</f>
        <v>110827.20000000001</v>
      </c>
      <c r="AO14" s="19">
        <f>R21</f>
        <v>55413.600000000006</v>
      </c>
      <c r="AS14" s="19">
        <f>V21</f>
        <v>221654.40000000002</v>
      </c>
    </row>
    <row r="15" spans="2:46" ht="44.25" customHeight="1" thickBot="1" x14ac:dyDescent="0.3">
      <c r="B15" s="103" t="s">
        <v>21</v>
      </c>
      <c r="C15" s="104" t="s">
        <v>22</v>
      </c>
      <c r="D15" s="104" t="s">
        <v>4</v>
      </c>
      <c r="E15" s="105" t="s">
        <v>49</v>
      </c>
      <c r="F15" s="57" t="s">
        <v>52</v>
      </c>
      <c r="G15" s="106" t="s">
        <v>53</v>
      </c>
      <c r="H15" s="107">
        <v>8592.4599999999991</v>
      </c>
      <c r="I15" s="108">
        <f t="shared" si="0"/>
        <v>6358.4203999999991</v>
      </c>
      <c r="J15" s="109">
        <f t="shared" si="4"/>
        <v>44508.94279999999</v>
      </c>
      <c r="K15" s="110">
        <f>J15/AB15</f>
        <v>1.1666666666666665</v>
      </c>
      <c r="L15" s="111">
        <f>J15+(7*2213)</f>
        <v>59999.94279999999</v>
      </c>
      <c r="M15" s="112">
        <f>L15/AD15</f>
        <v>1.1666666666666665</v>
      </c>
      <c r="N15" s="141">
        <f t="shared" si="5"/>
        <v>0.7418164205316542</v>
      </c>
      <c r="O15" s="159">
        <f>25*(AL15-L15)</f>
        <v>3117801.43</v>
      </c>
      <c r="P15" s="113">
        <f>I15*6</f>
        <v>38150.522399999994</v>
      </c>
      <c r="Q15" s="114">
        <f>P15/AF15</f>
        <v>3</v>
      </c>
      <c r="R15" s="113">
        <f>P15+(6*2213)</f>
        <v>51428.522399999994</v>
      </c>
      <c r="S15" s="114">
        <f>R15/AH15</f>
        <v>2.6255329990225365</v>
      </c>
      <c r="T15" s="148">
        <f t="shared" si="1"/>
        <v>0.7418164205316542</v>
      </c>
      <c r="U15" s="166">
        <f>25*(AP15-R15)</f>
        <v>1484966.9400000004</v>
      </c>
      <c r="V15" s="173">
        <f t="shared" si="6"/>
        <v>162856.98759999999</v>
      </c>
      <c r="W15" s="171">
        <f>25*(AT15-V15)</f>
        <v>6087735.3100000005</v>
      </c>
      <c r="X15" s="185">
        <f t="shared" si="3"/>
        <v>0.51214470919564337</v>
      </c>
      <c r="Y15" s="115">
        <v>0.26</v>
      </c>
      <c r="Z15" s="6">
        <f t="shared" si="2"/>
        <v>2234.0396000000001</v>
      </c>
      <c r="AA15" s="19"/>
      <c r="AB15" s="19">
        <f>J14</f>
        <v>38150.522399999994</v>
      </c>
      <c r="AD15" s="19">
        <f>L14</f>
        <v>51428.522399999994</v>
      </c>
      <c r="AF15" s="19">
        <f>P6</f>
        <v>12716.840799999998</v>
      </c>
      <c r="AH15" s="19">
        <f>R6</f>
        <v>19587.840799999998</v>
      </c>
      <c r="AL15" s="19">
        <f>L22</f>
        <v>184712</v>
      </c>
      <c r="AP15" s="19">
        <f>R22</f>
        <v>110827.20000000001</v>
      </c>
      <c r="AS15" s="19"/>
      <c r="AT15" s="19">
        <f>V22</f>
        <v>406366.4</v>
      </c>
    </row>
    <row r="16" spans="2:46" ht="53.25" customHeight="1" thickTop="1" thickBot="1" x14ac:dyDescent="0.3">
      <c r="B16" s="122" t="s">
        <v>79</v>
      </c>
      <c r="C16" s="123" t="s">
        <v>78</v>
      </c>
      <c r="D16" s="123" t="s">
        <v>77</v>
      </c>
      <c r="E16" s="124" t="s">
        <v>81</v>
      </c>
      <c r="F16" s="124" t="s">
        <v>85</v>
      </c>
      <c r="G16" s="124" t="s">
        <v>86</v>
      </c>
      <c r="H16" s="132">
        <v>150000</v>
      </c>
      <c r="I16" s="125">
        <f t="shared" si="0"/>
        <v>150000</v>
      </c>
      <c r="J16" s="134">
        <f>I16+I17</f>
        <v>174882.91</v>
      </c>
      <c r="K16" s="127">
        <f>J16/AB16</f>
        <v>4.5840239922900778</v>
      </c>
      <c r="L16" s="133">
        <f>J16+((2*2213)+(1*815)+(2*854))</f>
        <v>181831.91</v>
      </c>
      <c r="M16" s="127">
        <f>L16/AD16</f>
        <v>3.5356238428502862</v>
      </c>
      <c r="N16" s="146">
        <f t="shared" si="5"/>
        <v>0.96178338554547438</v>
      </c>
      <c r="O16" s="165">
        <f>25*(AL16-L16)</f>
        <v>72002.249999999913</v>
      </c>
      <c r="P16" s="116">
        <v>0</v>
      </c>
      <c r="Q16" s="117"/>
      <c r="R16" s="137">
        <f>P16+((4*854))</f>
        <v>3416</v>
      </c>
      <c r="S16" s="117">
        <f>R16/AH16</f>
        <v>0.17439390256837295</v>
      </c>
      <c r="T16" s="150">
        <f t="shared" si="1"/>
        <v>0</v>
      </c>
      <c r="U16" s="166">
        <f>25*(AP16-R16)</f>
        <v>2685280.0000000005</v>
      </c>
      <c r="V16" s="172">
        <f t="shared" si="6"/>
        <v>188663.91</v>
      </c>
      <c r="W16" s="171">
        <f>25*(AT16-V16)</f>
        <v>5442562.2500000009</v>
      </c>
      <c r="X16" s="179">
        <f t="shared" si="3"/>
        <v>1.3229476612784705E-2</v>
      </c>
      <c r="Y16" s="118">
        <v>0</v>
      </c>
      <c r="Z16" s="6">
        <f t="shared" si="2"/>
        <v>0</v>
      </c>
      <c r="AA16" s="19"/>
      <c r="AB16" s="19">
        <f>J14</f>
        <v>38150.522399999994</v>
      </c>
      <c r="AD16" s="19">
        <f>L14</f>
        <v>51428.522399999994</v>
      </c>
      <c r="AF16" s="19">
        <f>P6</f>
        <v>12716.840799999998</v>
      </c>
      <c r="AH16" s="19">
        <f>R6</f>
        <v>19587.840799999998</v>
      </c>
      <c r="AL16" s="19">
        <f>L22</f>
        <v>184712</v>
      </c>
      <c r="AP16" s="19">
        <f>R22</f>
        <v>110827.20000000001</v>
      </c>
      <c r="AT16" s="19">
        <f>V22</f>
        <v>406366.4</v>
      </c>
    </row>
    <row r="17" spans="1:46" ht="44.25" customHeight="1" thickTop="1" thickBot="1" x14ac:dyDescent="0.3">
      <c r="B17" s="122" t="s">
        <v>89</v>
      </c>
      <c r="C17" s="123" t="s">
        <v>97</v>
      </c>
      <c r="D17" s="123" t="s">
        <v>80</v>
      </c>
      <c r="E17" s="124" t="s">
        <v>83</v>
      </c>
      <c r="F17" s="124" t="s">
        <v>84</v>
      </c>
      <c r="G17" s="124" t="s">
        <v>82</v>
      </c>
      <c r="H17" s="131">
        <v>24882.91</v>
      </c>
      <c r="I17" s="125">
        <f t="shared" si="0"/>
        <v>24882.91</v>
      </c>
      <c r="J17" s="126">
        <f>I17</f>
        <v>24882.91</v>
      </c>
      <c r="K17" s="127">
        <f>J17/AB17</f>
        <v>0.65222986304376274</v>
      </c>
      <c r="L17" s="133">
        <f>J17+((3*2213)+(2*815)+(1*854))</f>
        <v>34005.910000000003</v>
      </c>
      <c r="M17" s="127">
        <f>L17/AD17</f>
        <v>0.66122665814719206</v>
      </c>
      <c r="N17" s="146">
        <f t="shared" si="5"/>
        <v>0.73172310342525748</v>
      </c>
      <c r="O17" s="165">
        <f>25*(AL17-L17)</f>
        <v>3767652.25</v>
      </c>
      <c r="P17" s="116">
        <v>0</v>
      </c>
      <c r="Q17" s="117"/>
      <c r="R17" s="137">
        <f>P17+((2*2213)+(2*854))</f>
        <v>6134</v>
      </c>
      <c r="S17" s="117">
        <f>R17/AH17</f>
        <v>0.31315345385081955</v>
      </c>
      <c r="T17" s="150">
        <f t="shared" si="1"/>
        <v>0</v>
      </c>
      <c r="U17" s="166">
        <f>25*(AP17-R17)</f>
        <v>2617330.0000000005</v>
      </c>
      <c r="V17" s="172">
        <f t="shared" si="6"/>
        <v>46273.91</v>
      </c>
      <c r="W17" s="171">
        <f>25*(AT17-V17)</f>
        <v>9002312.25</v>
      </c>
      <c r="X17" s="179">
        <f t="shared" si="3"/>
        <v>0.41852050288524484</v>
      </c>
      <c r="Y17" s="118">
        <v>0</v>
      </c>
      <c r="Z17" s="6">
        <f t="shared" si="2"/>
        <v>0</v>
      </c>
      <c r="AA17" s="19"/>
      <c r="AB17" s="19">
        <f>J14</f>
        <v>38150.522399999994</v>
      </c>
      <c r="AD17" s="19">
        <f>L14</f>
        <v>51428.522399999994</v>
      </c>
      <c r="AF17" s="19">
        <f>P6</f>
        <v>12716.840799999998</v>
      </c>
      <c r="AH17" s="19">
        <f>R6</f>
        <v>19587.840799999998</v>
      </c>
      <c r="AK17" s="19"/>
      <c r="AL17" s="19">
        <f>L22</f>
        <v>184712</v>
      </c>
      <c r="AP17" s="19">
        <f>R22</f>
        <v>110827.20000000001</v>
      </c>
      <c r="AT17" s="19">
        <f>V22</f>
        <v>406366.4</v>
      </c>
    </row>
    <row r="18" spans="1:46" ht="45.75" customHeight="1" thickTop="1" thickBot="1" x14ac:dyDescent="0.3">
      <c r="B18" s="119" t="s">
        <v>91</v>
      </c>
      <c r="C18" s="120" t="s">
        <v>92</v>
      </c>
      <c r="D18" s="120" t="s">
        <v>93</v>
      </c>
      <c r="E18" s="138" t="s">
        <v>90</v>
      </c>
      <c r="F18" s="121" t="s">
        <v>94</v>
      </c>
      <c r="G18" s="121" t="s">
        <v>95</v>
      </c>
      <c r="H18" s="139">
        <v>23226.02</v>
      </c>
      <c r="I18" s="128">
        <f t="shared" si="0"/>
        <v>23226.02</v>
      </c>
      <c r="J18" s="129">
        <f>I18*4</f>
        <v>92904.08</v>
      </c>
      <c r="K18" s="130">
        <f>J18/AA18</f>
        <v>2.9222377306162395</v>
      </c>
      <c r="L18" s="129">
        <f>J18+(4*904)</f>
        <v>96520.08</v>
      </c>
      <c r="M18" s="130">
        <f>L18/AC18</f>
        <v>2.2521373470376043</v>
      </c>
      <c r="N18" s="145">
        <f t="shared" si="5"/>
        <v>0.96253629296618903</v>
      </c>
      <c r="O18" s="161">
        <f>125*(AJ18-L18)</f>
        <v>4097290.0000000009</v>
      </c>
      <c r="P18" s="129">
        <f>I18*4</f>
        <v>92904.08</v>
      </c>
      <c r="Q18" s="130">
        <f>P18/AE18</f>
        <v>3.6527971632702996</v>
      </c>
      <c r="R18" s="129">
        <f>P18+(4*904)</f>
        <v>96520.08</v>
      </c>
      <c r="S18" s="130">
        <f>R18/AG18</f>
        <v>2.8151716837970056</v>
      </c>
      <c r="T18" s="149">
        <f t="shared" si="1"/>
        <v>0.96253629296618903</v>
      </c>
      <c r="U18" s="160">
        <f>125*(AN18-R18)</f>
        <v>1788390.0000000012</v>
      </c>
      <c r="V18" s="172">
        <f t="shared" si="6"/>
        <v>289560.24</v>
      </c>
      <c r="W18" s="171">
        <f>125*(AR18-V18)</f>
        <v>7674070.0000000075</v>
      </c>
      <c r="X18" s="179">
        <f t="shared" si="3"/>
        <v>0.53391355564908805</v>
      </c>
      <c r="Y18" s="102">
        <v>0</v>
      </c>
      <c r="Z18" s="6"/>
      <c r="AA18" s="19">
        <f>J12</f>
        <v>31792.101999999995</v>
      </c>
      <c r="AB18" s="19"/>
      <c r="AC18" s="19">
        <f>L12</f>
        <v>42857.101999999999</v>
      </c>
      <c r="AD18" s="19"/>
      <c r="AE18" s="19">
        <f>P12</f>
        <v>25433.681599999996</v>
      </c>
      <c r="AF18" s="19"/>
      <c r="AG18" s="19">
        <f>R12</f>
        <v>34285.681599999996</v>
      </c>
      <c r="AI18" s="19"/>
      <c r="AJ18" s="19">
        <f>L20</f>
        <v>129298.40000000001</v>
      </c>
      <c r="AN18" s="19">
        <f>R20</f>
        <v>110827.20000000001</v>
      </c>
      <c r="AR18" s="19">
        <f>V20</f>
        <v>350952.80000000005</v>
      </c>
    </row>
    <row r="19" spans="1:46" ht="42.75" customHeight="1" thickTop="1" x14ac:dyDescent="0.25">
      <c r="B19" s="42" t="s">
        <v>13</v>
      </c>
      <c r="C19" s="52" t="s">
        <v>12</v>
      </c>
      <c r="D19" s="52" t="s">
        <v>5</v>
      </c>
      <c r="E19" s="59" t="s">
        <v>15</v>
      </c>
      <c r="F19" s="54" t="s">
        <v>59</v>
      </c>
      <c r="G19" s="54" t="s">
        <v>24</v>
      </c>
      <c r="H19" s="35">
        <v>16258.2</v>
      </c>
      <c r="I19" s="36">
        <f t="shared" si="0"/>
        <v>16258.2</v>
      </c>
      <c r="J19" s="81">
        <f>I19*5</f>
        <v>81291</v>
      </c>
      <c r="K19" s="82">
        <f>J19/AA19</f>
        <v>2.5569558124844973</v>
      </c>
      <c r="L19" s="88">
        <f>J19+(5*2213)</f>
        <v>92356</v>
      </c>
      <c r="M19" s="67">
        <f>L19/AC19</f>
        <v>2.1549753877432032</v>
      </c>
      <c r="N19" s="142">
        <f t="shared" si="5"/>
        <v>0.88019186625665902</v>
      </c>
      <c r="O19" s="156">
        <f>125*(AI19-L19)</f>
        <v>0</v>
      </c>
      <c r="P19" s="98">
        <f>I19*3</f>
        <v>48774.600000000006</v>
      </c>
      <c r="Q19" s="94">
        <f>P19/AE19</f>
        <v>1.9177168593633731</v>
      </c>
      <c r="R19" s="100">
        <f>P19+(3*2213)</f>
        <v>55413.600000000006</v>
      </c>
      <c r="S19" s="94">
        <f>R19/AG19</f>
        <v>1.6162315408074026</v>
      </c>
      <c r="T19" s="151">
        <f t="shared" si="1"/>
        <v>0.88019186625665902</v>
      </c>
      <c r="U19" s="169">
        <f>125*(AM19-R19)</f>
        <v>0</v>
      </c>
      <c r="V19" s="176">
        <f t="shared" ref="V19:V22" si="7">L19+(2*R19)</f>
        <v>203183.2</v>
      </c>
      <c r="W19" s="174">
        <f>125*(AQ19-V19)</f>
        <v>0</v>
      </c>
      <c r="X19" s="180"/>
      <c r="Y19" s="74">
        <v>0</v>
      </c>
      <c r="Z19" s="6">
        <f>Y19*H19</f>
        <v>0</v>
      </c>
      <c r="AA19" s="19">
        <f>J12</f>
        <v>31792.101999999995</v>
      </c>
      <c r="AB19" s="19"/>
      <c r="AC19" s="19">
        <f>L12</f>
        <v>42857.101999999999</v>
      </c>
      <c r="AE19" s="19">
        <f>P12</f>
        <v>25433.681599999996</v>
      </c>
      <c r="AG19" s="19">
        <f>R12</f>
        <v>34285.681599999996</v>
      </c>
      <c r="AI19" s="19">
        <f>L19</f>
        <v>92356</v>
      </c>
      <c r="AM19" s="19">
        <f>R19</f>
        <v>55413.600000000006</v>
      </c>
      <c r="AQ19" s="19">
        <f>V19</f>
        <v>203183.2</v>
      </c>
    </row>
    <row r="20" spans="1:46" ht="42" customHeight="1" thickBot="1" x14ac:dyDescent="0.3">
      <c r="B20" s="43" t="s">
        <v>13</v>
      </c>
      <c r="C20" s="53" t="s">
        <v>12</v>
      </c>
      <c r="D20" s="53" t="s">
        <v>5</v>
      </c>
      <c r="E20" s="60" t="s">
        <v>15</v>
      </c>
      <c r="F20" s="60" t="s">
        <v>60</v>
      </c>
      <c r="G20" s="60" t="s">
        <v>25</v>
      </c>
      <c r="H20" s="37">
        <v>16258.2</v>
      </c>
      <c r="I20" s="38">
        <f t="shared" si="0"/>
        <v>16258.2</v>
      </c>
      <c r="J20" s="83">
        <f>I20*7</f>
        <v>113807.40000000001</v>
      </c>
      <c r="K20" s="84">
        <f>J20/AA20</f>
        <v>3.5797381374782966</v>
      </c>
      <c r="L20" s="89">
        <f>J20+(7*2213)</f>
        <v>129298.40000000001</v>
      </c>
      <c r="M20" s="68">
        <f>L20/AC20</f>
        <v>3.0169655428404845</v>
      </c>
      <c r="N20" s="143">
        <f t="shared" si="5"/>
        <v>0.88019186625665902</v>
      </c>
      <c r="O20" s="157">
        <f>125*(AJ20-L20)</f>
        <v>0</v>
      </c>
      <c r="P20" s="99">
        <f>I20*6</f>
        <v>97549.200000000012</v>
      </c>
      <c r="Q20" s="95">
        <f>P20/AE20</f>
        <v>3.8354337187267462</v>
      </c>
      <c r="R20" s="101">
        <f>P20+(6*2213)</f>
        <v>110827.20000000001</v>
      </c>
      <c r="S20" s="95">
        <f>R20/AG20</f>
        <v>3.2324630816148052</v>
      </c>
      <c r="T20" s="152">
        <f t="shared" si="1"/>
        <v>0.88019186625665902</v>
      </c>
      <c r="U20" s="167">
        <f>125*(AN20-R20)</f>
        <v>0</v>
      </c>
      <c r="V20" s="177">
        <f t="shared" si="7"/>
        <v>350952.80000000005</v>
      </c>
      <c r="W20" s="175">
        <f>125*(AR20-V20)</f>
        <v>0</v>
      </c>
      <c r="X20" s="181"/>
      <c r="Y20" s="75">
        <v>0</v>
      </c>
      <c r="Z20" s="6">
        <f>Y20*H20</f>
        <v>0</v>
      </c>
      <c r="AA20" s="19">
        <f>J12</f>
        <v>31792.101999999995</v>
      </c>
      <c r="AB20" s="19"/>
      <c r="AC20" s="19">
        <f>L12</f>
        <v>42857.101999999999</v>
      </c>
      <c r="AE20" s="19">
        <f>P12</f>
        <v>25433.681599999996</v>
      </c>
      <c r="AG20" s="19">
        <f>R12</f>
        <v>34285.681599999996</v>
      </c>
      <c r="AI20" s="19"/>
      <c r="AJ20" s="19">
        <f>L20</f>
        <v>129298.40000000001</v>
      </c>
      <c r="AN20" s="19">
        <f>R20</f>
        <v>110827.20000000001</v>
      </c>
      <c r="AR20" s="19">
        <f>V20</f>
        <v>350952.80000000005</v>
      </c>
    </row>
    <row r="21" spans="1:46" ht="42" customHeight="1" thickTop="1" x14ac:dyDescent="0.25">
      <c r="B21" s="42" t="s">
        <v>13</v>
      </c>
      <c r="C21" s="52" t="s">
        <v>12</v>
      </c>
      <c r="D21" s="52" t="s">
        <v>5</v>
      </c>
      <c r="E21" s="59" t="s">
        <v>29</v>
      </c>
      <c r="F21" s="76" t="s">
        <v>62</v>
      </c>
      <c r="G21" s="76" t="s">
        <v>63</v>
      </c>
      <c r="H21" s="35">
        <v>16258.2</v>
      </c>
      <c r="I21" s="36">
        <f t="shared" si="0"/>
        <v>16258.2</v>
      </c>
      <c r="J21" s="81">
        <f>I21*6</f>
        <v>97549.200000000012</v>
      </c>
      <c r="K21" s="82">
        <f>J21/AB21</f>
        <v>2.5569558124844978</v>
      </c>
      <c r="L21" s="88">
        <f>J21+(6*2213)</f>
        <v>110827.20000000001</v>
      </c>
      <c r="M21" s="67">
        <f>L21/AD21</f>
        <v>2.1549753877432036</v>
      </c>
      <c r="N21" s="142">
        <f t="shared" si="5"/>
        <v>0.88019186625665902</v>
      </c>
      <c r="O21" s="156">
        <f>25*(AK21-L21)</f>
        <v>0</v>
      </c>
      <c r="P21" s="98">
        <f>I21*3</f>
        <v>48774.600000000006</v>
      </c>
      <c r="Q21" s="94">
        <f>P21/AF21</f>
        <v>3.8354337187267462</v>
      </c>
      <c r="R21" s="100">
        <f>P21+(3*2213)</f>
        <v>55413.600000000006</v>
      </c>
      <c r="S21" s="94">
        <f>R21/AH21</f>
        <v>2.8289794963005832</v>
      </c>
      <c r="T21" s="151">
        <f t="shared" si="1"/>
        <v>0.88019186625665902</v>
      </c>
      <c r="U21" s="169">
        <f>25*(AO21-R21)</f>
        <v>0</v>
      </c>
      <c r="V21" s="176">
        <f t="shared" si="7"/>
        <v>221654.40000000002</v>
      </c>
      <c r="W21" s="174">
        <f>25*(AS21-V21)</f>
        <v>0</v>
      </c>
      <c r="X21" s="180"/>
      <c r="Y21" s="74">
        <v>0</v>
      </c>
      <c r="Z21" s="6">
        <f>Y21*H21</f>
        <v>0</v>
      </c>
      <c r="AA21" s="19"/>
      <c r="AB21" s="19">
        <f>J14</f>
        <v>38150.522399999994</v>
      </c>
      <c r="AD21" s="19">
        <f>L14</f>
        <v>51428.522399999994</v>
      </c>
      <c r="AF21" s="19">
        <f>P6</f>
        <v>12716.840799999998</v>
      </c>
      <c r="AH21" s="19">
        <f>R6</f>
        <v>19587.840799999998</v>
      </c>
      <c r="AK21" s="19">
        <f>L21</f>
        <v>110827.20000000001</v>
      </c>
      <c r="AO21" s="19">
        <f>R21</f>
        <v>55413.600000000006</v>
      </c>
      <c r="AS21" s="19">
        <f>V21</f>
        <v>221654.40000000002</v>
      </c>
    </row>
    <row r="22" spans="1:46" ht="41.25" customHeight="1" thickBot="1" x14ac:dyDescent="0.3">
      <c r="B22" s="43" t="s">
        <v>13</v>
      </c>
      <c r="C22" s="53" t="s">
        <v>12</v>
      </c>
      <c r="D22" s="53" t="s">
        <v>5</v>
      </c>
      <c r="E22" s="60" t="s">
        <v>64</v>
      </c>
      <c r="F22" s="60" t="s">
        <v>65</v>
      </c>
      <c r="G22" s="60" t="s">
        <v>66</v>
      </c>
      <c r="H22" s="37">
        <v>16258.2</v>
      </c>
      <c r="I22" s="38">
        <f t="shared" si="0"/>
        <v>16258.2</v>
      </c>
      <c r="J22" s="83">
        <f>I22*10</f>
        <v>162582</v>
      </c>
      <c r="K22" s="84">
        <f>J22/AB22</f>
        <v>4.2615930208074957</v>
      </c>
      <c r="L22" s="89">
        <f>J22+(10*2213)</f>
        <v>184712</v>
      </c>
      <c r="M22" s="68">
        <f>L22/AD22</f>
        <v>3.591625646238672</v>
      </c>
      <c r="N22" s="143">
        <f t="shared" si="5"/>
        <v>0.88019186625665902</v>
      </c>
      <c r="O22" s="157">
        <f>25*(AL22-L22)</f>
        <v>0</v>
      </c>
      <c r="P22" s="99">
        <f>I22*6</f>
        <v>97549.200000000012</v>
      </c>
      <c r="Q22" s="95">
        <f>P22/AF22</f>
        <v>7.6708674374534924</v>
      </c>
      <c r="R22" s="101">
        <f>P22+(6*2213)</f>
        <v>110827.20000000001</v>
      </c>
      <c r="S22" s="95">
        <f>R22/AH22</f>
        <v>5.6579589926011664</v>
      </c>
      <c r="T22" s="152">
        <f t="shared" si="1"/>
        <v>0.88019186625665902</v>
      </c>
      <c r="U22" s="167">
        <f>25*(AP22-R22)</f>
        <v>0</v>
      </c>
      <c r="V22" s="177">
        <f t="shared" si="7"/>
        <v>406366.4</v>
      </c>
      <c r="W22" s="175">
        <f>25*(AT22-V22)</f>
        <v>0</v>
      </c>
      <c r="X22" s="181"/>
      <c r="Y22" s="75">
        <v>0</v>
      </c>
      <c r="Z22" s="6">
        <f>Y22*H22</f>
        <v>0</v>
      </c>
      <c r="AA22" s="19"/>
      <c r="AB22" s="19">
        <f>J14</f>
        <v>38150.522399999994</v>
      </c>
      <c r="AD22" s="19">
        <f>L14</f>
        <v>51428.522399999994</v>
      </c>
      <c r="AF22" s="19">
        <f>P6</f>
        <v>12716.840799999998</v>
      </c>
      <c r="AH22" s="19">
        <f>R6</f>
        <v>19587.840799999998</v>
      </c>
      <c r="AL22" s="19">
        <f>L22</f>
        <v>184712</v>
      </c>
      <c r="AP22" s="19">
        <f>R22</f>
        <v>110827.20000000001</v>
      </c>
      <c r="AT22" s="19">
        <f>V22</f>
        <v>406366.4</v>
      </c>
    </row>
    <row r="23" spans="1:46" ht="6" customHeight="1" thickTop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46" ht="12.75" customHeight="1" x14ac:dyDescent="0.25">
      <c r="A24" s="8"/>
      <c r="B24" s="6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46" ht="14.25" customHeight="1" x14ac:dyDescent="0.25">
      <c r="A25" s="8"/>
      <c r="B25" s="7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46" ht="12" customHeight="1" x14ac:dyDescent="0.25">
      <c r="A26" s="8"/>
      <c r="B26" s="6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46" ht="12" customHeight="1" x14ac:dyDescent="0.25">
      <c r="A27" s="8"/>
      <c r="B27" s="69"/>
      <c r="C27" s="8"/>
      <c r="D27" s="8"/>
      <c r="E27" s="9"/>
      <c r="F27" s="9"/>
      <c r="G27" s="9"/>
      <c r="H27" s="71"/>
      <c r="I27" s="8"/>
      <c r="J27" s="8"/>
      <c r="K27" s="8"/>
      <c r="L27" s="8"/>
      <c r="M27" s="8"/>
      <c r="N27" s="8"/>
      <c r="O27" s="8"/>
      <c r="P27" s="8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46" ht="12" customHeight="1" x14ac:dyDescent="0.25">
      <c r="A28" s="8"/>
      <c r="B28" s="69"/>
      <c r="C28" s="8"/>
      <c r="D28" s="8"/>
      <c r="E28" s="8"/>
      <c r="F28" s="8"/>
      <c r="G28" s="8"/>
      <c r="H28" s="72"/>
      <c r="I28" s="8"/>
      <c r="J28" s="8"/>
      <c r="K28" s="8"/>
      <c r="L28" s="8"/>
      <c r="M28" s="8"/>
      <c r="N28" s="8"/>
      <c r="O28" s="8"/>
      <c r="P28" s="8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46" ht="0.75" customHeight="1" x14ac:dyDescent="0.25">
      <c r="A29" s="8"/>
      <c r="B29" s="8"/>
      <c r="C29" s="8"/>
      <c r="D29" s="8"/>
      <c r="E29" s="8"/>
      <c r="F29" s="8"/>
      <c r="G29" s="8"/>
      <c r="H29" s="73"/>
      <c r="I29" s="8"/>
      <c r="J29" s="8"/>
      <c r="K29" s="8"/>
      <c r="L29" s="8"/>
      <c r="M29" s="8"/>
      <c r="N29" s="8"/>
      <c r="O29" s="8"/>
      <c r="P29" s="8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46" ht="14.25" customHeight="1" x14ac:dyDescent="0.25">
      <c r="A30" s="8"/>
      <c r="B30" s="70"/>
      <c r="C30" s="8"/>
      <c r="D30" s="8"/>
      <c r="E30" s="8"/>
      <c r="F30" s="8"/>
      <c r="G30" s="8"/>
      <c r="H30" s="73"/>
      <c r="I30" s="8"/>
      <c r="J30" s="8"/>
      <c r="K30" s="8"/>
      <c r="L30" s="8"/>
      <c r="M30" s="8"/>
      <c r="N30" s="8"/>
      <c r="O30" s="8"/>
      <c r="P30" s="8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46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46" x14ac:dyDescent="0.25">
      <c r="A32" s="8"/>
      <c r="B32" s="6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26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26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</sheetData>
  <autoFilter ref="B3:AB22"/>
  <mergeCells count="1">
    <mergeCell ref="B1:Y1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zoomScaleNormal="100" workbookViewId="0">
      <selection activeCell="K20" sqref="K20"/>
    </sheetView>
  </sheetViews>
  <sheetFormatPr defaultRowHeight="15" x14ac:dyDescent="0.25"/>
  <cols>
    <col min="1" max="1" width="3.28515625" customWidth="1"/>
    <col min="2" max="3" width="2.85546875" customWidth="1"/>
    <col min="4" max="4" width="28.42578125" customWidth="1"/>
    <col min="5" max="5" width="11.85546875" hidden="1" customWidth="1"/>
    <col min="6" max="7" width="9.85546875" hidden="1" customWidth="1"/>
    <col min="8" max="8" width="10.28515625" hidden="1" customWidth="1"/>
    <col min="9" max="9" width="13" customWidth="1"/>
    <col min="10" max="10" width="11.140625" customWidth="1"/>
    <col min="11" max="11" width="12.5703125" customWidth="1"/>
    <col min="12" max="12" width="11.7109375" hidden="1" customWidth="1"/>
    <col min="13" max="13" width="9.85546875" customWidth="1"/>
    <col min="27" max="27" width="10.42578125" style="8" customWidth="1"/>
  </cols>
  <sheetData>
    <row r="1" spans="1:50" ht="34.5" customHeight="1" x14ac:dyDescent="0.25">
      <c r="D1" s="8"/>
      <c r="E1" s="20" t="s">
        <v>6</v>
      </c>
      <c r="F1" s="21" t="s">
        <v>7</v>
      </c>
      <c r="G1" s="21" t="s">
        <v>8</v>
      </c>
      <c r="H1" s="21" t="s">
        <v>9</v>
      </c>
      <c r="I1" s="22" t="s">
        <v>116</v>
      </c>
      <c r="J1" s="22" t="s">
        <v>116</v>
      </c>
      <c r="K1" s="22" t="s">
        <v>116</v>
      </c>
      <c r="L1" s="20" t="s">
        <v>10</v>
      </c>
      <c r="M1" s="23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1.75" customHeight="1" thickBot="1" x14ac:dyDescent="0.3">
      <c r="D2" s="189"/>
      <c r="E2" s="193">
        <f t="shared" ref="E2:E3" si="0">L2-M2</f>
        <v>1228532.7039999999</v>
      </c>
      <c r="F2" s="194"/>
      <c r="G2" s="194"/>
      <c r="H2" s="194"/>
      <c r="I2" s="193"/>
      <c r="J2" s="193"/>
      <c r="K2" s="193"/>
      <c r="L2" s="26">
        <f>[1]CMA!P5</f>
        <v>1228532.7039999999</v>
      </c>
      <c r="M2" s="2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ht="36.75" customHeight="1" thickTop="1" x14ac:dyDescent="0.25">
      <c r="A3">
        <v>8</v>
      </c>
      <c r="B3">
        <v>8</v>
      </c>
      <c r="C3">
        <v>8</v>
      </c>
      <c r="D3" s="188" t="s">
        <v>121</v>
      </c>
      <c r="E3" s="198">
        <f t="shared" si="0"/>
        <v>1125788.96</v>
      </c>
      <c r="F3" s="199"/>
      <c r="G3" s="199"/>
      <c r="H3" s="199"/>
      <c r="I3" s="198">
        <f>'Ceny za léčbu'!V4</f>
        <v>161199.14679999999</v>
      </c>
      <c r="J3" s="198">
        <f>'Ceny za léčbu'!V4</f>
        <v>161199.14679999999</v>
      </c>
      <c r="K3" s="200">
        <f>'Ceny za léčbu'!V5</f>
        <v>308571.13439999998</v>
      </c>
      <c r="L3" s="192">
        <f>[1]CMA!P6</f>
        <v>1125788.96</v>
      </c>
      <c r="M3" s="2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36" customHeight="1" x14ac:dyDescent="0.25">
      <c r="A4">
        <v>7</v>
      </c>
      <c r="B4">
        <v>7</v>
      </c>
      <c r="C4">
        <v>7</v>
      </c>
      <c r="D4" s="201" t="s">
        <v>122</v>
      </c>
      <c r="E4" s="24" t="e">
        <f>#REF!-#REF!</f>
        <v>#REF!</v>
      </c>
      <c r="F4" s="25"/>
      <c r="G4" s="25"/>
      <c r="H4" s="25"/>
      <c r="I4" s="24">
        <f>'Ceny za léčbu'!V8</f>
        <v>292258.6973</v>
      </c>
      <c r="J4" s="24">
        <f>'Ceny za léčbu'!V8</f>
        <v>292258.6973</v>
      </c>
      <c r="K4" s="202">
        <f>'Ceny za léčbu'!V9</f>
        <v>399932.95420000004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36" customHeight="1" x14ac:dyDescent="0.25">
      <c r="A5">
        <v>6</v>
      </c>
      <c r="B5">
        <v>6</v>
      </c>
      <c r="C5">
        <v>6</v>
      </c>
      <c r="D5" s="201" t="s">
        <v>123</v>
      </c>
      <c r="E5" s="24"/>
      <c r="F5" s="25"/>
      <c r="G5" s="25"/>
      <c r="H5" s="25"/>
      <c r="I5" s="24">
        <f>'Ceny za léčbu'!V12</f>
        <v>111428.46519999999</v>
      </c>
      <c r="J5" s="24">
        <f>'Ceny za léčbu'!V12</f>
        <v>111428.46519999999</v>
      </c>
      <c r="K5" s="202">
        <f>'Ceny za léčbu'!V13</f>
        <v>162856.98759999999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36" customHeight="1" thickBot="1" x14ac:dyDescent="0.3">
      <c r="A6">
        <v>5</v>
      </c>
      <c r="B6">
        <v>5</v>
      </c>
      <c r="C6">
        <v>5</v>
      </c>
      <c r="D6" s="203" t="s">
        <v>124</v>
      </c>
      <c r="E6" s="204"/>
      <c r="F6" s="205"/>
      <c r="G6" s="205"/>
      <c r="H6" s="205"/>
      <c r="I6" s="204">
        <f>'Ceny za léčbu'!V19</f>
        <v>203183.2</v>
      </c>
      <c r="J6" s="204">
        <f>'Ceny za léčbu'!V19</f>
        <v>203183.2</v>
      </c>
      <c r="K6" s="206">
        <f>'Ceny za léčbu'!V20</f>
        <v>350952.80000000005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36" customHeight="1" thickTop="1" x14ac:dyDescent="0.25">
      <c r="A7">
        <v>4</v>
      </c>
      <c r="B7">
        <v>4</v>
      </c>
      <c r="C7">
        <v>4</v>
      </c>
      <c r="D7" s="195" t="s">
        <v>119</v>
      </c>
      <c r="E7" s="196"/>
      <c r="F7" s="197"/>
      <c r="G7" s="197"/>
      <c r="H7" s="197"/>
      <c r="I7" s="196">
        <f>'Ceny za léčbu'!L4</f>
        <v>64074.94279999999</v>
      </c>
      <c r="J7" s="196">
        <f>'Ceny za léčbu'!L4</f>
        <v>64074.94279999999</v>
      </c>
      <c r="K7" s="196">
        <f>'Ceny za léčbu'!L5</f>
        <v>102857.04479999999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36" customHeight="1" x14ac:dyDescent="0.25">
      <c r="A8">
        <v>3</v>
      </c>
      <c r="B8">
        <v>3</v>
      </c>
      <c r="C8">
        <v>3</v>
      </c>
      <c r="D8" s="190" t="s">
        <v>117</v>
      </c>
      <c r="E8" s="24"/>
      <c r="F8" s="25"/>
      <c r="G8" s="25"/>
      <c r="H8" s="25"/>
      <c r="I8" s="24">
        <f>'Ceny za léčbu'!L8</f>
        <v>107674.25690000001</v>
      </c>
      <c r="J8" s="24">
        <f>'Ceny za léčbu'!L8</f>
        <v>107674.25690000001</v>
      </c>
      <c r="K8" s="24">
        <f>'Ceny za léčbu'!L9</f>
        <v>153820.367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36" customHeight="1" x14ac:dyDescent="0.25">
      <c r="A9">
        <v>2</v>
      </c>
      <c r="B9">
        <v>2</v>
      </c>
      <c r="C9">
        <v>2</v>
      </c>
      <c r="D9" s="190" t="s">
        <v>118</v>
      </c>
      <c r="E9" s="24"/>
      <c r="F9" s="25"/>
      <c r="G9" s="25"/>
      <c r="H9" s="25"/>
      <c r="I9" s="24">
        <f>'Ceny za léčbu'!L12</f>
        <v>42857.101999999999</v>
      </c>
      <c r="J9" s="24">
        <f>'Ceny za léčbu'!L12</f>
        <v>42857.101999999999</v>
      </c>
      <c r="K9" s="24">
        <f>'Ceny za léčbu'!L13</f>
        <v>59999.94279999999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34.5" customHeight="1" x14ac:dyDescent="0.25">
      <c r="A10">
        <v>1</v>
      </c>
      <c r="B10">
        <v>1</v>
      </c>
      <c r="C10">
        <v>1</v>
      </c>
      <c r="D10" s="191" t="s">
        <v>120</v>
      </c>
      <c r="E10" s="24" t="e">
        <f>#REF!-#REF!</f>
        <v>#REF!</v>
      </c>
      <c r="F10" s="25"/>
      <c r="G10" s="25"/>
      <c r="H10" s="25"/>
      <c r="I10" s="24">
        <f>'Ceny za léčbu'!L19</f>
        <v>92356</v>
      </c>
      <c r="J10" s="24">
        <f>'Ceny za léčbu'!L19</f>
        <v>92356</v>
      </c>
      <c r="K10" s="24">
        <f>'Ceny za léčbu'!L20</f>
        <v>129298.40000000001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0.5" customHeight="1" x14ac:dyDescent="0.25">
      <c r="D11" s="2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29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2" customHeight="1" x14ac:dyDescent="0.25"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2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x14ac:dyDescent="0.25"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2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x14ac:dyDescent="0.2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x14ac:dyDescent="0.2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x14ac:dyDescent="0.2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4:50" x14ac:dyDescent="0.25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4:50" x14ac:dyDescent="0.25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4:50" x14ac:dyDescent="0.25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4:50" x14ac:dyDescent="0.25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4:50" x14ac:dyDescent="0.25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4:50" x14ac:dyDescent="0.25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4:50" x14ac:dyDescent="0.25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4:50" x14ac:dyDescent="0.25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4:50" x14ac:dyDescent="0.25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4:50" x14ac:dyDescent="0.2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4:50" x14ac:dyDescent="0.2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4:50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4:50" ht="10.5" customHeight="1" x14ac:dyDescent="0.25">
      <c r="D29" s="2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4:50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4:50" x14ac:dyDescent="0.2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4:50" x14ac:dyDescent="0.2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4:50" x14ac:dyDescent="0.25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4:50" x14ac:dyDescent="0.25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4:50" x14ac:dyDescent="0.25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4:50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4:50" ht="4.5" customHeight="1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4:50" ht="10.5" customHeight="1" x14ac:dyDescent="0.25">
      <c r="D38" s="8"/>
      <c r="E38" s="8"/>
      <c r="F38" s="8"/>
      <c r="G38" s="8"/>
      <c r="H38" s="8"/>
      <c r="I38" s="8"/>
      <c r="J38" s="8"/>
      <c r="K38" s="8"/>
      <c r="L38" s="8"/>
      <c r="M38" s="8"/>
      <c r="N38" s="30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4:50" ht="12" customHeight="1" x14ac:dyDescent="0.25">
      <c r="N39" s="31"/>
    </row>
    <row r="40" spans="4:50" ht="12" customHeight="1" x14ac:dyDescent="0.25">
      <c r="N40" s="32"/>
    </row>
    <row r="41" spans="4:50" ht="12.75" customHeight="1" x14ac:dyDescent="0.25">
      <c r="N41" s="31"/>
    </row>
    <row r="42" spans="4:50" ht="12" customHeight="1" x14ac:dyDescent="0.25">
      <c r="N42" s="3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topLeftCell="I1" zoomScaleNormal="100" workbookViewId="0">
      <selection activeCell="I17" sqref="I17"/>
    </sheetView>
  </sheetViews>
  <sheetFormatPr defaultRowHeight="15" x14ac:dyDescent="0.25"/>
  <cols>
    <col min="1" max="1" width="3.28515625" customWidth="1"/>
    <col min="2" max="3" width="2.85546875" customWidth="1"/>
    <col min="4" max="4" width="28.42578125" customWidth="1"/>
    <col min="5" max="5" width="11.85546875" hidden="1" customWidth="1"/>
    <col min="6" max="7" width="9.85546875" hidden="1" customWidth="1"/>
    <col min="8" max="8" width="10.28515625" hidden="1" customWidth="1"/>
    <col min="9" max="9" width="13" customWidth="1"/>
    <col min="10" max="10" width="11.140625" customWidth="1"/>
    <col min="11" max="11" width="12.5703125" customWidth="1"/>
    <col min="12" max="12" width="11.7109375" hidden="1" customWidth="1"/>
    <col min="13" max="13" width="9.85546875" customWidth="1"/>
    <col min="27" max="27" width="10.42578125" style="8" customWidth="1"/>
  </cols>
  <sheetData>
    <row r="1" spans="1:50" ht="34.5" customHeight="1" x14ac:dyDescent="0.25">
      <c r="D1" s="8"/>
      <c r="E1" s="20" t="s">
        <v>6</v>
      </c>
      <c r="F1" s="21" t="s">
        <v>7</v>
      </c>
      <c r="G1" s="21" t="s">
        <v>8</v>
      </c>
      <c r="H1" s="21" t="s">
        <v>9</v>
      </c>
      <c r="I1" s="22" t="s">
        <v>116</v>
      </c>
      <c r="J1" s="22" t="s">
        <v>116</v>
      </c>
      <c r="K1" s="22" t="s">
        <v>116</v>
      </c>
      <c r="L1" s="20" t="s">
        <v>10</v>
      </c>
      <c r="M1" s="23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1.75" customHeight="1" thickBot="1" x14ac:dyDescent="0.3">
      <c r="D2" s="189"/>
      <c r="E2" s="193">
        <f t="shared" ref="E2:E3" si="0">L2-M2</f>
        <v>1228532.7039999999</v>
      </c>
      <c r="F2" s="194"/>
      <c r="G2" s="194"/>
      <c r="H2" s="194"/>
      <c r="I2" s="193"/>
      <c r="J2" s="193"/>
      <c r="K2" s="193"/>
      <c r="L2" s="26">
        <f>[1]CMA!P5</f>
        <v>1228532.7039999999</v>
      </c>
      <c r="M2" s="2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ht="36.75" customHeight="1" thickTop="1" x14ac:dyDescent="0.25">
      <c r="A3">
        <v>8</v>
      </c>
      <c r="B3">
        <v>8</v>
      </c>
      <c r="C3">
        <v>8</v>
      </c>
      <c r="D3" s="188" t="s">
        <v>125</v>
      </c>
      <c r="E3" s="198">
        <f t="shared" si="0"/>
        <v>1125788.96</v>
      </c>
      <c r="F3" s="199"/>
      <c r="G3" s="199"/>
      <c r="H3" s="199"/>
      <c r="I3" s="198">
        <f>'Ceny za léčbu'!V6</f>
        <v>100805.62439999999</v>
      </c>
      <c r="J3" s="198">
        <f>'Ceny za léčbu'!V6</f>
        <v>100805.62439999999</v>
      </c>
      <c r="K3" s="200">
        <f>'Ceny za léčbu'!V7</f>
        <v>258772.61199999996</v>
      </c>
      <c r="L3" s="192">
        <f>[1]CMA!P6</f>
        <v>1125788.96</v>
      </c>
      <c r="M3" s="2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36" customHeight="1" x14ac:dyDescent="0.25">
      <c r="A4">
        <v>7</v>
      </c>
      <c r="B4">
        <v>7</v>
      </c>
      <c r="C4">
        <v>7</v>
      </c>
      <c r="D4" s="201" t="s">
        <v>126</v>
      </c>
      <c r="E4" s="24" t="e">
        <f>#REF!-#REF!</f>
        <v>#REF!</v>
      </c>
      <c r="F4" s="25"/>
      <c r="G4" s="25"/>
      <c r="H4" s="25"/>
      <c r="I4" s="24">
        <f>'Ceny za léčbu'!V10</f>
        <v>175722.40370000002</v>
      </c>
      <c r="J4" s="24">
        <f>'Ceny za léčbu'!V10</f>
        <v>175722.40370000002</v>
      </c>
      <c r="K4" s="202">
        <f>'Ceny za léčbu'!V11</f>
        <v>419389.99089999998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36" customHeight="1" x14ac:dyDescent="0.25">
      <c r="A5">
        <v>6</v>
      </c>
      <c r="B5">
        <v>6</v>
      </c>
      <c r="C5">
        <v>6</v>
      </c>
      <c r="D5" s="201" t="s">
        <v>127</v>
      </c>
      <c r="E5" s="24"/>
      <c r="F5" s="25"/>
      <c r="G5" s="25"/>
      <c r="H5" s="25"/>
      <c r="I5" s="24">
        <f>'Ceny za léčbu'!V14</f>
        <v>119999.88559999998</v>
      </c>
      <c r="J5" s="24">
        <f>'Ceny za léčbu'!V14</f>
        <v>119999.88559999998</v>
      </c>
      <c r="K5" s="202">
        <f>'Ceny za léčbu'!V15</f>
        <v>162856.98759999999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36" customHeight="1" thickBot="1" x14ac:dyDescent="0.3">
      <c r="A6">
        <v>5</v>
      </c>
      <c r="B6">
        <v>5</v>
      </c>
      <c r="C6">
        <v>5</v>
      </c>
      <c r="D6" s="203" t="s">
        <v>128</v>
      </c>
      <c r="E6" s="204"/>
      <c r="F6" s="205"/>
      <c r="G6" s="205"/>
      <c r="H6" s="205"/>
      <c r="I6" s="204">
        <f>'Ceny za léčbu'!V21</f>
        <v>221654.40000000002</v>
      </c>
      <c r="J6" s="204">
        <f>'Ceny za léčbu'!V21</f>
        <v>221654.40000000002</v>
      </c>
      <c r="K6" s="206">
        <f>'Ceny za léčbu'!V22</f>
        <v>406366.4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36" customHeight="1" thickTop="1" x14ac:dyDescent="0.25">
      <c r="A7">
        <v>4</v>
      </c>
      <c r="B7">
        <v>4</v>
      </c>
      <c r="C7">
        <v>4</v>
      </c>
      <c r="D7" s="195" t="s">
        <v>119</v>
      </c>
      <c r="E7" s="196"/>
      <c r="F7" s="197"/>
      <c r="G7" s="197"/>
      <c r="H7" s="197"/>
      <c r="I7" s="196">
        <f>'Ceny za léčbu'!L6</f>
        <v>61629.94279999999</v>
      </c>
      <c r="J7" s="196">
        <f>'Ceny za léčbu'!L6</f>
        <v>61629.94279999999</v>
      </c>
      <c r="K7" s="196">
        <f>'Ceny za léčbu'!L7</f>
        <v>102857.04479999999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36" customHeight="1" x14ac:dyDescent="0.25">
      <c r="A8">
        <v>3</v>
      </c>
      <c r="B8">
        <v>3</v>
      </c>
      <c r="C8">
        <v>3</v>
      </c>
      <c r="D8" s="190" t="s">
        <v>129</v>
      </c>
      <c r="E8" s="24"/>
      <c r="F8" s="25"/>
      <c r="G8" s="25"/>
      <c r="H8" s="25"/>
      <c r="I8" s="24">
        <f>'Ceny za léčbu'!L10</f>
        <v>109304.25690000001</v>
      </c>
      <c r="J8" s="24">
        <f>'Ceny za léčbu'!L10</f>
        <v>109304.25690000001</v>
      </c>
      <c r="K8" s="24">
        <f>'Ceny za léčbu'!L11</f>
        <v>170017.4037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36" customHeight="1" x14ac:dyDescent="0.25">
      <c r="A9">
        <v>2</v>
      </c>
      <c r="B9">
        <v>2</v>
      </c>
      <c r="C9">
        <v>2</v>
      </c>
      <c r="D9" s="190" t="s">
        <v>130</v>
      </c>
      <c r="E9" s="24"/>
      <c r="F9" s="25"/>
      <c r="G9" s="25"/>
      <c r="H9" s="25"/>
      <c r="I9" s="24">
        <f>'Ceny za léčbu'!L14</f>
        <v>51428.522399999994</v>
      </c>
      <c r="J9" s="24">
        <f>'Ceny za léčbu'!L14</f>
        <v>51428.522399999994</v>
      </c>
      <c r="K9" s="24">
        <f>'Ceny za léčbu'!L15</f>
        <v>59999.94279999999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34.5" customHeight="1" x14ac:dyDescent="0.25">
      <c r="A10">
        <v>1</v>
      </c>
      <c r="B10">
        <v>1</v>
      </c>
      <c r="C10">
        <v>1</v>
      </c>
      <c r="D10" s="191" t="s">
        <v>131</v>
      </c>
      <c r="E10" s="24" t="e">
        <f>#REF!-#REF!</f>
        <v>#REF!</v>
      </c>
      <c r="F10" s="25"/>
      <c r="G10" s="25"/>
      <c r="H10" s="25"/>
      <c r="I10" s="24">
        <f>'Ceny za léčbu'!L21</f>
        <v>110827.20000000001</v>
      </c>
      <c r="J10" s="24">
        <f>'Ceny za léčbu'!L21</f>
        <v>110827.20000000001</v>
      </c>
      <c r="K10" s="24">
        <f>'Ceny za léčbu'!L22</f>
        <v>184712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0.5" customHeight="1" x14ac:dyDescent="0.25">
      <c r="D11" s="2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29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2" customHeight="1" x14ac:dyDescent="0.25"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2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x14ac:dyDescent="0.25"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2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x14ac:dyDescent="0.2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x14ac:dyDescent="0.2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x14ac:dyDescent="0.2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4:50" x14ac:dyDescent="0.25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4:50" x14ac:dyDescent="0.25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4:50" x14ac:dyDescent="0.25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4:50" x14ac:dyDescent="0.25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4:50" x14ac:dyDescent="0.25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4:50" x14ac:dyDescent="0.25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4:50" x14ac:dyDescent="0.25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4:50" x14ac:dyDescent="0.25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4:50" x14ac:dyDescent="0.25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4:50" x14ac:dyDescent="0.2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4:50" x14ac:dyDescent="0.2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4:50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4:50" ht="10.5" customHeight="1" x14ac:dyDescent="0.25">
      <c r="D29" s="2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4:50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4:50" x14ac:dyDescent="0.2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4:50" x14ac:dyDescent="0.2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4:50" x14ac:dyDescent="0.25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4:50" x14ac:dyDescent="0.25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4:50" x14ac:dyDescent="0.25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4:50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4:50" ht="4.5" customHeight="1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4:50" ht="10.5" customHeight="1" x14ac:dyDescent="0.25">
      <c r="D38" s="8"/>
      <c r="E38" s="8"/>
      <c r="F38" s="8"/>
      <c r="G38" s="8"/>
      <c r="H38" s="8"/>
      <c r="I38" s="8"/>
      <c r="J38" s="8"/>
      <c r="K38" s="8"/>
      <c r="L38" s="8"/>
      <c r="M38" s="8"/>
      <c r="N38" s="30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4:50" ht="12" customHeight="1" x14ac:dyDescent="0.25">
      <c r="N39" s="31"/>
    </row>
    <row r="40" spans="4:50" ht="12" customHeight="1" x14ac:dyDescent="0.25">
      <c r="N40" s="32"/>
    </row>
    <row r="41" spans="4:50" ht="12.75" customHeight="1" x14ac:dyDescent="0.25">
      <c r="N41" s="31"/>
    </row>
    <row r="42" spans="4:50" ht="12" customHeight="1" x14ac:dyDescent="0.25">
      <c r="N42" s="3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4" zoomScale="80" zoomScaleNormal="80" workbookViewId="0">
      <selection activeCell="BK73" sqref="BK7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7" zoomScale="90" zoomScaleNormal="90" workbookViewId="0">
      <selection activeCell="AL24" sqref="AL2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43"/>
  <sheetViews>
    <sheetView zoomScale="90" zoomScaleNormal="90" workbookViewId="0">
      <selection activeCell="A47" sqref="A47"/>
    </sheetView>
  </sheetViews>
  <sheetFormatPr defaultRowHeight="15" x14ac:dyDescent="0.25"/>
  <sheetData>
    <row r="43" spans="10:10" x14ac:dyDescent="0.25">
      <c r="J43" s="4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Ceny za léčbu</vt:lpstr>
      <vt:lpstr>BIA (nVPMD)</vt:lpstr>
      <vt:lpstr>BIA (DME)</vt:lpstr>
      <vt:lpstr>Obrázky1</vt:lpstr>
      <vt:lpstr>Obrázky2</vt:lpstr>
      <vt:lpstr>Obrázky3</vt:lpstr>
    </vt:vector>
  </TitlesOfParts>
  <Company>FN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Klobouk Jan, Mgr.</dc:creator>
  <cp:lastModifiedBy>Dudovi</cp:lastModifiedBy>
  <cp:lastPrinted>2023-01-30T10:35:55Z</cp:lastPrinted>
  <dcterms:created xsi:type="dcterms:W3CDTF">2022-06-13T12:17:50Z</dcterms:created>
  <dcterms:modified xsi:type="dcterms:W3CDTF">2023-01-31T12:36:47Z</dcterms:modified>
</cp:coreProperties>
</file>