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otřeba léků\SchvalovaniLeciv\FarmakoekonomickeAnalyzy\Atopická dermatitida\"/>
    </mc:Choice>
  </mc:AlternateContent>
  <xr:revisionPtr revIDLastSave="0" documentId="8_{53F63CCE-0497-415C-BE70-23E0BB1BFF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znam přípravků" sheetId="4" r:id="rId1"/>
    <sheet name="BIA" sheetId="10" r:id="rId2"/>
    <sheet name="CEA - eff.frontier 16 týd." sheetId="11" r:id="rId3"/>
    <sheet name="List x" sheetId="14" r:id="rId4"/>
    <sheet name="CEA ICER 16 týdnů" sheetId="15" r:id="rId5"/>
    <sheet name="CEA - eff.frontier 1 rok" sheetId="17" r:id="rId6"/>
    <sheet name="obrázky1" sheetId="2" r:id="rId7"/>
    <sheet name="obrázky2" sheetId="3" r:id="rId8"/>
    <sheet name="obrázky3" sheetId="5" r:id="rId9"/>
    <sheet name="obrázky4" sheetId="6" r:id="rId10"/>
    <sheet name="obrázky 5" sheetId="7" r:id="rId11"/>
    <sheet name="obrázky6" sheetId="8" r:id="rId12"/>
    <sheet name="obrázky7" sheetId="9" r:id="rId13"/>
    <sheet name="obrázky8" sheetId="16" r:id="rId14"/>
  </sheets>
  <definedNames>
    <definedName name="_xlnm._FilterDatabase" localSheetId="1" hidden="1">BIA!$A$2:$Y$2</definedName>
    <definedName name="_xlnm._FilterDatabase" localSheetId="0" hidden="1">'Seznam přípravků'!$A$2:$E$2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0" l="1"/>
  <c r="T16" i="10"/>
  <c r="E16" i="10" s="1"/>
  <c r="O16" i="10" l="1"/>
  <c r="G16" i="10"/>
  <c r="F16" i="10"/>
  <c r="H16" i="10" s="1"/>
  <c r="C17" i="17" l="1"/>
  <c r="K16" i="10"/>
  <c r="C18" i="11"/>
  <c r="C9" i="11"/>
  <c r="H21" i="14"/>
  <c r="H13" i="14"/>
  <c r="T6" i="10"/>
  <c r="E6" i="10" s="1"/>
  <c r="T5" i="10"/>
  <c r="E5" i="10" s="1"/>
  <c r="T4" i="10"/>
  <c r="E4" i="10" s="1"/>
  <c r="T3" i="10"/>
  <c r="E3" i="10" s="1"/>
  <c r="K21" i="14" l="1"/>
  <c r="L22" i="15" s="1"/>
  <c r="L21" i="14"/>
  <c r="M22" i="15" s="1"/>
  <c r="J21" i="14"/>
  <c r="K22" i="15" s="1"/>
  <c r="L13" i="14"/>
  <c r="M21" i="15" s="1"/>
  <c r="K13" i="14"/>
  <c r="L21" i="15" s="1"/>
  <c r="J13" i="14"/>
  <c r="K21" i="15" s="1"/>
  <c r="G4" i="10"/>
  <c r="F4" i="10"/>
  <c r="G5" i="10"/>
  <c r="F5" i="10"/>
  <c r="G3" i="10"/>
  <c r="F3" i="10"/>
  <c r="G6" i="10"/>
  <c r="F6" i="10"/>
  <c r="J22" i="14"/>
  <c r="K22" i="14"/>
  <c r="L22" i="14"/>
  <c r="T13" i="10" l="1"/>
  <c r="E13" i="10" s="1"/>
  <c r="T10" i="10"/>
  <c r="E10" i="10" s="1"/>
  <c r="G10" i="10" s="1"/>
  <c r="T9" i="10"/>
  <c r="E9" i="10" s="1"/>
  <c r="T14" i="10"/>
  <c r="E14" i="10" s="1"/>
  <c r="T12" i="10"/>
  <c r="E12" i="10" s="1"/>
  <c r="T8" i="10"/>
  <c r="E8" i="10" s="1"/>
  <c r="T7" i="10"/>
  <c r="E7" i="10" s="1"/>
  <c r="Q16" i="10" l="1"/>
  <c r="G7" i="10"/>
  <c r="G11" i="10"/>
  <c r="G12" i="10"/>
  <c r="R16" i="10" s="1"/>
  <c r="G14" i="10"/>
  <c r="G9" i="10"/>
  <c r="F9" i="10"/>
  <c r="F10" i="10"/>
  <c r="F11" i="10" s="1"/>
  <c r="G13" i="10"/>
  <c r="F13" i="10"/>
  <c r="F15" i="10" s="1"/>
  <c r="G8" i="10"/>
  <c r="F8" i="10"/>
  <c r="F12" i="10"/>
  <c r="F14" i="10"/>
  <c r="F7" i="10"/>
  <c r="J7" i="4"/>
  <c r="I7" i="4"/>
  <c r="J6" i="4"/>
  <c r="I6" i="4"/>
  <c r="J5" i="4"/>
  <c r="I5" i="4"/>
  <c r="P16" i="10" l="1"/>
  <c r="H14" i="10"/>
  <c r="H9" i="10"/>
  <c r="C16" i="17"/>
  <c r="K14" i="10"/>
  <c r="X7" i="10" s="1"/>
  <c r="C12" i="17"/>
  <c r="K9" i="10"/>
  <c r="K8" i="10"/>
  <c r="C11" i="17"/>
  <c r="K10" i="10"/>
  <c r="C13" i="17"/>
  <c r="K7" i="10"/>
  <c r="C10" i="17"/>
  <c r="K12" i="10"/>
  <c r="C14" i="17"/>
  <c r="K13" i="10"/>
  <c r="W11" i="10" s="1"/>
  <c r="C15" i="17"/>
  <c r="H12" i="14"/>
  <c r="H20" i="14"/>
  <c r="C17" i="11"/>
  <c r="C8" i="11"/>
  <c r="H8" i="10"/>
  <c r="H17" i="14"/>
  <c r="H5" i="14"/>
  <c r="C3" i="11"/>
  <c r="C12" i="11"/>
  <c r="H10" i="10"/>
  <c r="H11" i="10" s="1"/>
  <c r="K11" i="10" s="1"/>
  <c r="H16" i="14"/>
  <c r="H8" i="14"/>
  <c r="H7" i="14"/>
  <c r="C5" i="11"/>
  <c r="C14" i="11"/>
  <c r="H7" i="10"/>
  <c r="H4" i="14"/>
  <c r="H14" i="14"/>
  <c r="C2" i="11"/>
  <c r="C11" i="11"/>
  <c r="H12" i="10"/>
  <c r="H10" i="14"/>
  <c r="H18" i="14"/>
  <c r="H9" i="14"/>
  <c r="C6" i="11"/>
  <c r="C15" i="11"/>
  <c r="H13" i="10"/>
  <c r="H15" i="14"/>
  <c r="H11" i="14"/>
  <c r="C7" i="11"/>
  <c r="C16" i="11"/>
  <c r="H6" i="14"/>
  <c r="H19" i="14"/>
  <c r="C13" i="11"/>
  <c r="C4" i="11"/>
  <c r="U11" i="10" l="1"/>
  <c r="H15" i="10"/>
  <c r="K15" i="10" s="1"/>
  <c r="V12" i="10"/>
  <c r="J12" i="10" s="1"/>
  <c r="V7" i="10"/>
  <c r="J7" i="10" s="1"/>
  <c r="V9" i="10"/>
  <c r="J9" i="10" s="1"/>
  <c r="M7" i="10"/>
  <c r="X8" i="10"/>
  <c r="X11" i="10"/>
  <c r="M11" i="10" s="1"/>
  <c r="X9" i="10"/>
  <c r="M9" i="10" s="1"/>
  <c r="X12" i="10"/>
  <c r="M12" i="10" s="1"/>
  <c r="L11" i="10"/>
  <c r="W7" i="10"/>
  <c r="L7" i="10" s="1"/>
  <c r="W12" i="10"/>
  <c r="L12" i="10" s="1"/>
  <c r="W10" i="10"/>
  <c r="L10" i="10" s="1"/>
  <c r="W8" i="10"/>
  <c r="L8" i="10" s="1"/>
  <c r="L19" i="14"/>
  <c r="M18" i="15" s="1"/>
  <c r="J19" i="14"/>
  <c r="K18" i="15" s="1"/>
  <c r="K19" i="14"/>
  <c r="L18" i="15" s="1"/>
  <c r="L11" i="14"/>
  <c r="M9" i="15" s="1"/>
  <c r="K11" i="14"/>
  <c r="L9" i="15" s="1"/>
  <c r="J11" i="14"/>
  <c r="K9" i="15" s="1"/>
  <c r="L10" i="14"/>
  <c r="M14" i="15" s="1"/>
  <c r="K10" i="14"/>
  <c r="L14" i="15" s="1"/>
  <c r="J10" i="14"/>
  <c r="K14" i="15" s="1"/>
  <c r="L16" i="14"/>
  <c r="M15" i="15" s="1"/>
  <c r="K16" i="14"/>
  <c r="L15" i="15" s="1"/>
  <c r="J16" i="14"/>
  <c r="K15" i="15" s="1"/>
  <c r="L5" i="14"/>
  <c r="M5" i="15" s="1"/>
  <c r="J5" i="14"/>
  <c r="K5" i="15" s="1"/>
  <c r="K5" i="14"/>
  <c r="L5" i="15" s="1"/>
  <c r="J6" i="14"/>
  <c r="K6" i="15" s="1"/>
  <c r="K6" i="14"/>
  <c r="L6" i="15" s="1"/>
  <c r="L6" i="14"/>
  <c r="M6" i="15" s="1"/>
  <c r="K15" i="14"/>
  <c r="L13" i="15" s="1"/>
  <c r="J15" i="14"/>
  <c r="K13" i="15" s="1"/>
  <c r="L15" i="14"/>
  <c r="M13" i="15" s="1"/>
  <c r="J14" i="14"/>
  <c r="K11" i="15" s="1"/>
  <c r="L14" i="14"/>
  <c r="M11" i="15" s="1"/>
  <c r="K14" i="14"/>
  <c r="L11" i="15" s="1"/>
  <c r="J17" i="14"/>
  <c r="K16" i="15" s="1"/>
  <c r="L17" i="14"/>
  <c r="M16" i="15" s="1"/>
  <c r="K17" i="14"/>
  <c r="L16" i="15" s="1"/>
  <c r="U12" i="10"/>
  <c r="I12" i="10" s="1"/>
  <c r="U10" i="10"/>
  <c r="I10" i="10" s="1"/>
  <c r="I11" i="10" s="1"/>
  <c r="U8" i="10"/>
  <c r="I8" i="10" s="1"/>
  <c r="U7" i="10"/>
  <c r="I7" i="10" s="1"/>
  <c r="U13" i="10"/>
  <c r="L9" i="14"/>
  <c r="M8" i="15" s="1"/>
  <c r="K9" i="14"/>
  <c r="L8" i="15" s="1"/>
  <c r="J9" i="14"/>
  <c r="K8" i="15" s="1"/>
  <c r="K4" i="14"/>
  <c r="L4" i="15" s="1"/>
  <c r="L4" i="14"/>
  <c r="M4" i="15" s="1"/>
  <c r="J4" i="14"/>
  <c r="K4" i="15" s="1"/>
  <c r="J7" i="14"/>
  <c r="K7" i="15" s="1"/>
  <c r="K7" i="14"/>
  <c r="L7" i="15" s="1"/>
  <c r="L7" i="14"/>
  <c r="M7" i="15" s="1"/>
  <c r="L20" i="14"/>
  <c r="M25" i="15" s="1"/>
  <c r="J20" i="14"/>
  <c r="K25" i="15" s="1"/>
  <c r="K20" i="14"/>
  <c r="L25" i="15" s="1"/>
  <c r="J18" i="14"/>
  <c r="K17" i="15" s="1"/>
  <c r="K18" i="14"/>
  <c r="L17" i="15" s="1"/>
  <c r="L18" i="14"/>
  <c r="M17" i="15" s="1"/>
  <c r="K8" i="14"/>
  <c r="L12" i="15" s="1"/>
  <c r="J8" i="14"/>
  <c r="K12" i="15" s="1"/>
  <c r="L8" i="14"/>
  <c r="M12" i="15" s="1"/>
  <c r="K12" i="14"/>
  <c r="L10" i="15" s="1"/>
  <c r="L12" i="14"/>
  <c r="M10" i="15" s="1"/>
  <c r="J12" i="14"/>
  <c r="K10" i="15" s="1"/>
  <c r="Y12" i="10" l="1"/>
  <c r="N12" i="10" s="1"/>
  <c r="Y11" i="10"/>
  <c r="N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dle Rozhodnutí SUKLu o úhradě z 18.7.2024
</t>
        </r>
      </text>
    </comment>
  </commentList>
</comments>
</file>

<file path=xl/sharedStrings.xml><?xml version="1.0" encoding="utf-8"?>
<sst xmlns="http://schemas.openxmlformats.org/spreadsheetml/2006/main" count="224" uniqueCount="164">
  <si>
    <t>účinná látka (výrobce)</t>
  </si>
  <si>
    <t>mechanismus účinku</t>
  </si>
  <si>
    <t>násobek vůči ceně nejlevnějšího za 1. 4 měsíce - CMA</t>
  </si>
  <si>
    <t>násobek poměru cena/účinnost vůči nákl. nejefekt. za 1. 4 měsíce - CEA</t>
  </si>
  <si>
    <t>nejlevnější</t>
  </si>
  <si>
    <t>nejnákladově  efektivnější</t>
  </si>
  <si>
    <t>dupilumab             (Sanofi-Aventis)</t>
  </si>
  <si>
    <t>způsob podání</t>
  </si>
  <si>
    <r>
      <t xml:space="preserve">s.c. injekce </t>
    </r>
    <r>
      <rPr>
        <sz val="9"/>
        <color theme="1"/>
        <rFont val="Calibri"/>
        <family val="2"/>
        <charset val="238"/>
        <scheme val="minor"/>
      </rPr>
      <t>(může aplikovat sám pac.)</t>
    </r>
  </si>
  <si>
    <r>
      <t xml:space="preserve">další informace                                          </t>
    </r>
    <r>
      <rPr>
        <sz val="8"/>
        <rFont val="Arial"/>
        <family val="2"/>
        <charset val="238"/>
      </rPr>
      <t xml:space="preserve"> (dle zdroje uvedeného pod pozn. 25)</t>
    </r>
  </si>
  <si>
    <t xml:space="preserve">DUPIXENT 300MG INJ SOL 2X2ML </t>
  </si>
  <si>
    <t>OLUMIANT 4MG TBL FLM 28</t>
  </si>
  <si>
    <t>baricitib              (Eli Lilly)</t>
  </si>
  <si>
    <t>upadacitinib  (AbbVie)</t>
  </si>
  <si>
    <t>p.o.</t>
  </si>
  <si>
    <t>u pacientů se souběžnými zánětlivými onemocněními, jako je revmatoidní artritida, ankylozující spondylitida a psoriatická artritida, pravděpodobně dojde k příznivým účinkům</t>
  </si>
  <si>
    <t>pacienti s komorbiditami typu 2 imun. reakcí, jako je astma, alergická rinokonjunktivitida s nosními polypy a/nebo eozinofilní ezofagitida, mohou mít také příznivé účinky léčby na tato onemocnění</t>
  </si>
  <si>
    <r>
      <t xml:space="preserve">bezpečnost, monitorování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(</t>
    </r>
    <r>
      <rPr>
        <sz val="8"/>
        <rFont val="Arial"/>
        <family val="2"/>
        <charset val="238"/>
      </rPr>
      <t>dle zdroje uvedeného pod pozn. 25)</t>
    </r>
  </si>
  <si>
    <r>
      <t xml:space="preserve">KI </t>
    </r>
    <r>
      <rPr>
        <sz val="9"/>
        <rFont val="Arial"/>
        <family val="2"/>
        <charset val="238"/>
      </rPr>
      <t>(kromě hypersenzitivity na úč.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</si>
  <si>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t>● clear. kreatininu ˂ 30 ml/min,                                    ● těžká porucha funkce jater,                          ● těhotenství.</t>
  </si>
  <si>
    <t>jinak už žádné!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</si>
  <si>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infekce horních cest dýchacích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a akné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zoster.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</si>
  <si>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CIBINQO 50MG, 100MG či 200MG TBL FLM 28</t>
  </si>
  <si>
    <t>abrocitinib (Pfizer)</t>
  </si>
  <si>
    <r>
      <t xml:space="preserve">Doporučená </t>
    </r>
    <r>
      <rPr>
        <u/>
        <sz val="9"/>
        <color theme="1"/>
        <rFont val="Calibri"/>
        <family val="2"/>
        <charset val="238"/>
        <scheme val="minor"/>
      </rPr>
      <t>zahajovací dávka je 200 mg 1x denně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zahajovací dávka 100 mg 1x denně se doporučuje</t>
    </r>
    <r>
      <rPr>
        <sz val="9"/>
        <color theme="1"/>
        <rFont val="Calibri"/>
        <family val="2"/>
        <charset val="238"/>
        <scheme val="minor"/>
      </rPr>
      <t xml:space="preserve">: u pac. ve věku &gt;= 65 let, u pac. s vyšším rizikem VTE, závažné nežádoucí KV příhody a malignity, ostatní pac., u kterých může být prospěšná úvodní dávka 100 mg, jsou uvedeni v bodech 4.4 a 4.8 SPC - během léčby může být dávka podle snášenlivosti a účinnosti snížena nebo zvýšena  - pro udržovací léčbu má být zvážena nejnižší účinná dávka! </t>
    </r>
    <r>
      <rPr>
        <u/>
        <sz val="9"/>
        <color theme="1"/>
        <rFont val="Calibri"/>
        <family val="2"/>
        <charset val="238"/>
        <scheme val="minor"/>
      </rPr>
      <t xml:space="preserve">Udržovací dávka 100 mg nebo 50 mg 1x denně </t>
    </r>
    <r>
      <rPr>
        <sz val="9"/>
        <color theme="1"/>
        <rFont val="Calibri"/>
        <family val="2"/>
        <charset val="238"/>
        <scheme val="minor"/>
      </rPr>
      <t xml:space="preserve">je pro pac. s eGFR 30 až &lt; 60 ml/min. </t>
    </r>
    <r>
      <rPr>
        <u/>
        <sz val="9"/>
        <color theme="1"/>
        <rFont val="Calibri"/>
        <family val="2"/>
        <charset val="238"/>
        <scheme val="minor"/>
      </rPr>
      <t>Úvodní dávka 50 mg 1x denně je dopor. u pac. s eGFR &lt; 30 ml/min</t>
    </r>
    <r>
      <rPr>
        <sz val="9"/>
        <color theme="1"/>
        <rFont val="Calibri"/>
        <family val="2"/>
        <charset val="238"/>
        <scheme val="minor"/>
      </rPr>
      <t xml:space="preserve"> – max. dávka je 100 mg/den.</t>
    </r>
  </si>
  <si>
    <r>
      <t xml:space="preserve">Doporučená dávka je </t>
    </r>
    <r>
      <rPr>
        <u/>
        <sz val="9"/>
        <color theme="1"/>
        <rFont val="Calibri"/>
        <family val="2"/>
        <charset val="238"/>
        <scheme val="minor"/>
      </rPr>
      <t>4 mg 1x denně</t>
    </r>
    <r>
      <rPr>
        <sz val="9"/>
        <color theme="1"/>
        <rFont val="Calibri"/>
        <family val="2"/>
        <charset val="238"/>
        <scheme val="minor"/>
      </rPr>
      <t xml:space="preserve">, dávka </t>
    </r>
    <r>
      <rPr>
        <u/>
        <sz val="9"/>
        <color theme="1"/>
        <rFont val="Calibri"/>
        <family val="2"/>
        <charset val="238"/>
        <scheme val="minor"/>
      </rPr>
      <t>2 mg 1x denně je vhodná pro:</t>
    </r>
    <r>
      <rPr>
        <sz val="9"/>
        <color theme="1"/>
        <rFont val="Calibri"/>
        <family val="2"/>
        <charset val="238"/>
        <scheme val="minor"/>
      </rPr>
      <t xml:space="preserve"> pac. ve věku &gt;= 65 let, pro pac. s chronickými nebo recid. infekcemi v anamnéze, u pac. s vyšším rizikem VTE, závažné nežádoucí KV příhody a malignity, u pac. s clear. kreatininu od 30 do 60 ml/min, příp. u pac., u kterých bylo dosaženo trvalé kontroly aktivity onem. při dávce 4 mg 1x denně a u kterých přichází v úvahu snižování dávky. Dávka 4 mg 1x denně může být zvážena u pac., kteří nedosáhnou adekv. kontroly aktivity onem. dávkou 2 mg 1x denně.</t>
    </r>
  </si>
  <si>
    <r>
      <t xml:space="preserve">Dávka </t>
    </r>
    <r>
      <rPr>
        <u/>
        <sz val="9"/>
        <color theme="1"/>
        <rFont val="Calibri"/>
        <family val="2"/>
        <charset val="238"/>
        <scheme val="minor"/>
      </rPr>
      <t>30 mg 1x denně je vhodná</t>
    </r>
    <r>
      <rPr>
        <sz val="9"/>
        <color theme="1"/>
        <rFont val="Calibri"/>
        <family val="2"/>
        <charset val="238"/>
        <scheme val="minor"/>
      </rPr>
      <t xml:space="preserve">: u pac. s vysokou zátěží způsobenou nemocí, u kterých není vyšší riziko výskytu VTE, závažné nežádoucí KV příhody a malignit, nebo u pac. s nedostatečnou léčebnou odpovědí na dávku 15 mg 1x denně - pro udržovací léčbu má být zvážena nejnižší účinná dávka!                                                                Dávka </t>
    </r>
    <r>
      <rPr>
        <u/>
        <sz val="9"/>
        <color theme="1"/>
        <rFont val="Calibri"/>
        <family val="2"/>
        <charset val="238"/>
        <scheme val="minor"/>
      </rPr>
      <t>15 mg 1x denně je doporučená</t>
    </r>
    <r>
      <rPr>
        <sz val="9"/>
        <color theme="1"/>
        <rFont val="Calibri"/>
        <family val="2"/>
        <charset val="238"/>
        <scheme val="minor"/>
      </rPr>
      <t xml:space="preserve">: u pac. ve věku &gt;= 65 let, u pacientů s vyšším rizikem výskytu VTE, významných nežádoucích KV příhod a malignit, u pac. s eGFR 15-30 ml/min/1.73m2 </t>
    </r>
  </si>
  <si>
    <r>
      <rPr>
        <u/>
        <sz val="9"/>
        <color theme="1"/>
        <rFont val="Calibri"/>
        <family val="2"/>
        <charset val="238"/>
        <scheme val="minor"/>
      </rPr>
      <t>Mezi nejčastější NÚ závislé na dávce) v klinických studiích patřilo: nevolnost, bolest hlavy a akné, počet krevních destiček se přechodně (ve 4. týdnu) snížil způsobem závislým na dávce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simplex a herpes zoster.                          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</si>
  <si>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nemá indikace pro jiné zánětlivé onemocnění!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</si>
  <si>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zvýšení LDL cholesterolu, infekce horních cest dýchacích a bolesti hlavy</t>
    </r>
    <r>
      <rPr>
        <sz val="9"/>
        <color theme="1"/>
        <rFont val="Calibri"/>
        <family val="2"/>
        <charset val="238"/>
        <scheme val="minor"/>
      </rPr>
      <t xml:space="preserve">, akné je méně časté než u jiných inhibitorů JAK, hlášené infekce zahrnovaly i herpes simplex.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</si>
  <si>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r>
      <t>● eGFR ˂ 15 ml/min/1.73m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,                                    ● aktivní TBC nebo aktivní závaž. infekce,                                                                          ● těžká porucha funkce jater,                          ● těhotenství.</t>
    </r>
  </si>
  <si>
    <t>● aktivní TBC nebo aktivní závaž. infekce,                                                                            ● těžká porucha funkce jater,                          ● těhotenství.</t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</si>
  <si>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receptor. komplexů)</t>
    </r>
  </si>
  <si>
    <r>
      <t xml:space="preserve">selektivně inhibuje JAK1 a JAK2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</si>
  <si>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</si>
  <si>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 </t>
    </r>
    <r>
      <rPr>
        <sz val="9"/>
        <color theme="1"/>
        <rFont val="Calibri"/>
        <family val="2"/>
        <charset val="238"/>
        <scheme val="minor"/>
      </rPr>
      <t>(viz Přílohu č. 5)</t>
    </r>
  </si>
  <si>
    <t>název LP</t>
  </si>
  <si>
    <t>RINVOQ 15MG           TBL PRO 98</t>
  </si>
  <si>
    <r>
      <t xml:space="preserve">Léčba je obecně dobře snášena a </t>
    </r>
    <r>
      <rPr>
        <u/>
        <sz val="9"/>
        <color rgb="FF000000"/>
        <rFont val="Calibri"/>
        <family val="2"/>
        <charset val="238"/>
        <scheme val="minor"/>
      </rPr>
      <t>rutinní lab. testy se nedoporučují</t>
    </r>
    <r>
      <rPr>
        <sz val="9"/>
        <color rgb="FF000000"/>
        <rFont val="Calibri"/>
        <family val="2"/>
        <charset val="238"/>
        <scheme val="minor"/>
      </rPr>
      <t xml:space="preserve">, ale u značného počtu pac. se rozvine </t>
    </r>
    <r>
      <rPr>
        <u/>
        <sz val="9"/>
        <color rgb="FF000000"/>
        <rFont val="Calibri"/>
        <family val="2"/>
        <charset val="238"/>
        <scheme val="minor"/>
      </rPr>
      <t>konjunktivitida (</t>
    </r>
    <r>
      <rPr>
        <u/>
        <sz val="9"/>
        <color rgb="FF000000"/>
        <rFont val="Calibri"/>
        <family val="2"/>
        <charset val="238"/>
      </rPr>
      <t>&gt;</t>
    </r>
    <r>
      <rPr>
        <u/>
        <sz val="9"/>
        <color rgb="FF000000"/>
        <rFont val="Calibri"/>
        <family val="2"/>
        <charset val="238"/>
        <scheme val="minor"/>
      </rPr>
      <t xml:space="preserve"> 30 % v běžné klin. praxi</t>
    </r>
    <r>
      <rPr>
        <sz val="9"/>
        <color rgb="FF000000"/>
        <rFont val="Calibri"/>
        <family val="2"/>
        <charset val="238"/>
        <scheme val="minor"/>
      </rPr>
      <t>)-  většina je mírná až střed. závažná, lok. léčba protizánětlivými očními kapkami je často dostačující, aniž by bylo nutné léčbu přerušit.</t>
    </r>
  </si>
  <si>
    <t>název přípravku</t>
  </si>
  <si>
    <t>placebo</t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</si>
  <si>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</si>
  <si>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recep. kompl.)</t>
    </r>
  </si>
  <si>
    <t>ATC: D07AC - kortikosteroidy lokální-silně účinné</t>
  </si>
  <si>
    <t>Advantan krém 15g (methylprenisolon aceponát 0,1%)  NCSD - 65,51 Kč</t>
  </si>
  <si>
    <t>Elocom mast 30g (mometason furoát 0,1%) - 82,05 Kč</t>
  </si>
  <si>
    <t>Flucinar mast 15g (fluocinolon acetonid 0,025%) - 52,70 Kč</t>
  </si>
  <si>
    <t>Beloderm 30g, Diprosone ung 30g  (bethametason 0,05%) - 51,02 Kč</t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</si>
  <si>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4mg 1x denně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</si>
  <si>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2mg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</si>
  <si>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</si>
  <si>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</si>
  <si>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</si>
  <si>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</si>
  <si>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 xml:space="preserve">ā 2 týdny 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</si>
  <si>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4mg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</si>
  <si>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2mg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</si>
  <si>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30mg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</si>
  <si>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15mg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</si>
  <si>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</si>
  <si>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</si>
  <si>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t>placebo + TCS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</si>
  <si>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Liu Z., et al., Disease modifying therapies in relapsing-remitting multiple sclerosis: A systematic review and network meta-analysis, </t>
    </r>
    <r>
      <rPr>
        <i/>
        <sz val="8"/>
        <color theme="1"/>
        <rFont val="Calibri"/>
        <family val="2"/>
        <charset val="238"/>
        <scheme val="minor"/>
      </rPr>
      <t>Autoimmunity Reviews</t>
    </r>
    <r>
      <rPr>
        <sz val="8"/>
        <color theme="1"/>
        <rFont val="Calibri"/>
        <family val="2"/>
        <charset val="238"/>
        <scheme val="minor"/>
      </rPr>
      <t xml:space="preserve"> (2021) - Figure 2</t>
    </r>
  </si>
  <si>
    <t>ICER                      (horní mez)</t>
  </si>
  <si>
    <t>ICER                      (dolní mez)</t>
  </si>
  <si>
    <t>ICER (bod.hodnota)</t>
  </si>
  <si>
    <t xml:space="preserve">bod. hodnota </t>
  </si>
  <si>
    <t>horní mez</t>
  </si>
  <si>
    <t>dolní mez</t>
  </si>
  <si>
    <t>název</t>
  </si>
  <si>
    <t>pořadí na ose</t>
  </si>
  <si>
    <t xml:space="preserve">         </t>
  </si>
  <si>
    <t xml:space="preserve">   GA 40mg a peginterferon beta-1a nebyly v této NMA zahrnuty - jejich hodnota (vč. CI95%) byla převzata stejně jako u interferonu beta-1b 250mcg podle výsledkových podobností ve zdrojích pod poznámkami 2 a 3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</si>
  <si>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sz val="8"/>
        <color theme="1"/>
        <rFont val="Calibri"/>
        <family val="2"/>
        <charset val="238"/>
        <scheme val="minor"/>
      </rPr>
      <t>ICER. Final Evidence Report: DMTs for RRMS and PPMS. 2017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</si>
  <si>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Giovannoni G., et al., A Systematic Review and Mixed Treatment Comparison of Pharmaceutical Interventions for Multiple Sclerosis. </t>
    </r>
    <r>
      <rPr>
        <i/>
        <sz val="8"/>
        <color theme="1"/>
        <rFont val="Calibri"/>
        <family val="2"/>
        <charset val="238"/>
        <scheme val="minor"/>
      </rPr>
      <t>Neurol Ther</t>
    </r>
    <r>
      <rPr>
        <sz val="8"/>
        <color theme="1"/>
        <rFont val="Calibri"/>
        <family val="2"/>
        <charset val="238"/>
        <scheme val="minor"/>
      </rPr>
      <t xml:space="preserve"> (2020) 9:359–374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</si>
  <si>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>ā 2 týdny MONO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</si>
  <si>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denně MONO-sníž.dávka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</si>
  <si>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4mg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</si>
  <si>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</si>
  <si>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denně MONO-sníž.dávka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</si>
  <si>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>200mg 1x denně MONO-stand.dávka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</si>
  <si>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>100mg 1x denně MONO-sníž.dávka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</si>
  <si>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 xml:space="preserve">ā 2 týdny  </t>
    </r>
    <r>
      <rPr>
        <b/>
        <sz val="9"/>
        <color theme="1"/>
        <rFont val="Calibri"/>
        <family val="2"/>
        <charset val="238"/>
      </rPr>
      <t>+ TCS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</si>
  <si>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</si>
  <si>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</si>
  <si>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</si>
  <si>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</si>
  <si>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</si>
  <si>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</si>
  <si>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ICER (kolik vynaložím navíc při použití dražší a účinnější intervence pro dosažení EASI-50 u 1 pacienta navíc </t>
    </r>
    <r>
      <rPr>
        <u/>
        <sz val="9"/>
        <color theme="1"/>
        <rFont val="Calibri"/>
        <family val="2"/>
        <charset val="238"/>
        <scheme val="minor"/>
      </rPr>
      <t>vůči placebu</t>
    </r>
    <r>
      <rPr>
        <sz val="9"/>
        <color theme="1"/>
        <rFont val="Calibri"/>
        <family val="2"/>
        <charset val="238"/>
        <scheme val="minor"/>
      </rPr>
      <t xml:space="preserve"> (jeho bod.hodnotě)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</si>
  <si>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</si>
  <si>
    <r>
      <t>cena za prvních 16 týdnů léčby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42 </t>
    </r>
  </si>
  <si>
    <t>placebo+TCS</t>
  </si>
  <si>
    <t xml:space="preserve">placebo   </t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</si>
  <si>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</si>
  <si>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</si>
  <si>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</si>
  <si>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</si>
  <si>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</si>
  <si>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den. MONO-sníž.dávka (půlení!!)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</si>
  <si>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(sníž.dávka-půlení!!)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</si>
  <si>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>EASI-50 po 12-16 týdnech (četnost, 95%CI)</t>
    </r>
    <r>
      <rPr>
        <vertAlign val="superscript"/>
        <sz val="9"/>
        <color theme="1"/>
        <rFont val="Calibri"/>
        <family val="2"/>
        <charset val="238"/>
        <scheme val="minor"/>
      </rPr>
      <t>38</t>
    </r>
    <r>
      <rPr>
        <sz val="9"/>
        <color theme="1"/>
        <rFont val="Calibri"/>
        <family val="2"/>
        <charset val="238"/>
        <scheme val="minor"/>
      </rPr>
      <t xml:space="preserve"> žlutě: monoterap., modře: komb. s TCS - viz pozn. 42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</si>
  <si>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den. MONO-stand.dávka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</si>
  <si>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den. MONO-sníž..dávka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</si>
  <si>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  <r>
      <rPr>
        <b/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pro 3 pacienty</t>
    </r>
  </si>
  <si>
    <t xml:space="preserve">  </t>
  </si>
  <si>
    <t>purinový antagonista</t>
  </si>
  <si>
    <t>azathioprin      (Aspen Pharma)</t>
  </si>
  <si>
    <t>antagonista kyseliny listové</t>
  </si>
  <si>
    <t>methotrexát     (Orion)</t>
  </si>
  <si>
    <t>inhibitor kalcineurinu</t>
  </si>
  <si>
    <t>ciklosporin       (Teva)</t>
  </si>
  <si>
    <r>
      <t xml:space="preserve">selektivně inhibuje JAK1 a JAK2                  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</si>
  <si>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EQUORAL 100MG                 CPS 50 -                                     </t>
    </r>
    <r>
      <rPr>
        <sz val="10"/>
        <rFont val="Calibri"/>
        <family val="2"/>
        <charset val="238"/>
        <scheme val="minor"/>
      </rPr>
      <t>nižší dávka 200mg/den</t>
    </r>
  </si>
  <si>
    <r>
      <t xml:space="preserve">EQUORAL 100MG              CPS 50 -                                     </t>
    </r>
    <r>
      <rPr>
        <sz val="10"/>
        <rFont val="Calibri"/>
        <family val="2"/>
        <charset val="238"/>
        <scheme val="minor"/>
      </rPr>
      <t>vyšší dávka 400mg/den</t>
    </r>
  </si>
  <si>
    <t xml:space="preserve"> </t>
  </si>
  <si>
    <r>
      <t>cena za první rok léčby</t>
    </r>
    <r>
      <rPr>
        <b/>
        <vertAlign val="superscript"/>
        <sz val="9"/>
        <rFont val="Arial"/>
        <family val="2"/>
        <charset val="238"/>
      </rPr>
      <t>42</t>
    </r>
  </si>
  <si>
    <r>
      <t>EASI-75 po 48 - 52 týdnech  (četnost-bod. hodnota)</t>
    </r>
    <r>
      <rPr>
        <vertAlign val="superscript"/>
        <sz val="8"/>
        <rFont val="Arial"/>
        <family val="2"/>
        <charset val="238"/>
      </rPr>
      <t>47</t>
    </r>
    <r>
      <rPr>
        <sz val="8"/>
        <rFont val="Arial"/>
        <family val="2"/>
        <charset val="238"/>
      </rPr>
      <t xml:space="preserve"> žlutě: monoterapie, modře: komb. s TCS - viz pozn. 42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</si>
  <si>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</si>
  <si>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</si>
  <si>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r>
      <t>cena za první rok léčby</t>
    </r>
    <r>
      <rPr>
        <b/>
        <vertAlign val="superscript"/>
        <sz val="11"/>
        <rFont val="Arial"/>
        <family val="2"/>
        <charset val="238"/>
      </rPr>
      <t>42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pro 3 pacienty</t>
    </r>
  </si>
  <si>
    <r>
      <t xml:space="preserve">OLUMIANT 4MG                      TBL FLM 28 -                               </t>
    </r>
    <r>
      <rPr>
        <sz val="10"/>
        <color theme="1"/>
        <rFont val="Calibri"/>
        <family val="2"/>
        <charset val="238"/>
        <scheme val="minor"/>
      </rPr>
      <t xml:space="preserve">2mg 1x denně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(CAVE! půlení tbl !!)</t>
    </r>
  </si>
  <si>
    <r>
      <t xml:space="preserve">RINVOQ 15MG                                       TBL PRO 98 -                                      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</si>
  <si>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15MG                                 TBL PRO 98 -                                     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</si>
  <si>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 xml:space="preserve">CIBINQO 200MG                                      TBL FLM 28  -                                                   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</si>
  <si>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100MG                                   TBL FLM 28   -                                      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</si>
  <si>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t xml:space="preserve">RINVOQ 15MG                                   TBL PRO 98 -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1</t>
    </r>
    <r>
      <rPr>
        <u/>
        <sz val="10"/>
        <color theme="1"/>
        <rFont val="Calibri"/>
        <family val="2"/>
        <charset val="238"/>
        <scheme val="minor"/>
      </rPr>
      <t>x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u/>
        <sz val="10"/>
        <color theme="1"/>
        <rFont val="Calibri"/>
        <family val="2"/>
        <charset val="238"/>
        <scheme val="minor"/>
      </rPr>
      <t>30mg 16 týdnů, pak 1x 15mg</t>
    </r>
  </si>
  <si>
    <t>náklady za CIBINQO 1 rok 1x200mg (3 pac.)</t>
  </si>
  <si>
    <t>náklady za CIBINQO 1 rok 1x100mg (3 pac.)</t>
  </si>
  <si>
    <t>náklady za CIBINQO 16 týdnů 200mg              3 pacienti</t>
  </si>
  <si>
    <t>náklady za CIBINQO 16 týdnů 100mg               3 pacienti</t>
  </si>
  <si>
    <r>
      <t xml:space="preserve">CIBINQO 200MG/100MG                                      TBL FLM 28  -                                                   </t>
    </r>
    <r>
      <rPr>
        <u/>
        <sz val="10"/>
        <color theme="1"/>
        <rFont val="Calibri"/>
        <family val="2"/>
        <charset val="238"/>
        <scheme val="minor"/>
      </rPr>
      <t xml:space="preserve"> 1x200mg 16 týd., pak 1x100mg</t>
    </r>
  </si>
  <si>
    <t>náklady za CIBINQO 1 rok kombin.režim      (3 pac.)</t>
  </si>
  <si>
    <r>
      <t xml:space="preserve">BIA (za 16 týdnů 3 pac.) PŘI POUŽITÍ </t>
    </r>
    <r>
      <rPr>
        <b/>
        <i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</si>
  <si>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16 týdnů 3 pac.) PŘI POUŽITÍ CIBINQA 100mg/den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</si>
  <si>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 xml:space="preserve">BIA (za první rok pro 3 pac.) PŘI POUŽITÍ </t>
    </r>
    <r>
      <rPr>
        <b/>
        <i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</si>
  <si>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první rok pro 3 pac.) PŘI POUŽITÍ CIBINQA 100mg/den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</si>
  <si>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>BIA (za první rok pro 3 pac.) PŘI POUŽITÍ</t>
    </r>
    <r>
      <rPr>
        <b/>
        <sz val="9"/>
        <color rgb="FFFFC000"/>
        <rFont val="Arial"/>
        <family val="2"/>
        <charset val="238"/>
      </rPr>
      <t xml:space="preserve"> CIBINQA komb. režim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CIBINQO JE NÁKLADY ŠETŘÍCÍ</t>
    </r>
    <r>
      <rPr>
        <b/>
        <sz val="9"/>
        <rFont val="Arial"/>
        <family val="2"/>
        <charset val="238"/>
      </rPr>
      <t>)</t>
    </r>
  </si>
  <si>
    <r>
      <t xml:space="preserve">TREXAN NEO 10MG TBL NOB 100 -                             </t>
    </r>
    <r>
      <rPr>
        <sz val="10"/>
        <rFont val="Calibri"/>
        <family val="2"/>
        <charset val="238"/>
        <scheme val="minor"/>
      </rPr>
      <t>off-label 20mg/týdně</t>
    </r>
  </si>
  <si>
    <r>
      <rPr>
        <b/>
        <sz val="11"/>
        <rFont val="Calibri"/>
        <family val="2"/>
        <charset val="238"/>
        <scheme val="minor"/>
      </rPr>
      <t xml:space="preserve">IMURAN 50MG                         TBL FLM 100 </t>
    </r>
    <r>
      <rPr>
        <sz val="10"/>
        <rFont val="Calibri"/>
        <family val="2"/>
        <charset val="238"/>
        <scheme val="minor"/>
      </rPr>
      <t>-                                 off-label 150mg/den</t>
    </r>
  </si>
  <si>
    <t>lebrikizumab (Almirall)</t>
  </si>
  <si>
    <r>
      <t>anti-IL13</t>
    </r>
    <r>
      <rPr>
        <sz val="8"/>
        <color theme="1"/>
        <rFont val="Calibri"/>
        <family val="2"/>
        <charset val="238"/>
        <scheme val="minor"/>
      </rPr>
      <t xml:space="preserve">                       (je součástí IL-4 a IL-13 receptor. komplexů)</t>
    </r>
  </si>
  <si>
    <r>
      <rPr>
        <u/>
        <sz val="9"/>
        <color rgb="FF000000"/>
        <rFont val="Calibri"/>
        <family val="2"/>
        <charset val="238"/>
        <scheme val="minor"/>
      </rPr>
      <t>Úvodní dávk. je 500 mg</t>
    </r>
    <r>
      <rPr>
        <sz val="9"/>
        <color rgb="FF000000"/>
        <rFont val="Calibri"/>
        <family val="2"/>
        <charset val="238"/>
        <scheme val="minor"/>
      </rPr>
      <t xml:space="preserve"> (2 injekce po 250 mg) </t>
    </r>
    <r>
      <rPr>
        <u/>
        <sz val="9"/>
        <color rgb="FF000000"/>
        <rFont val="Calibri"/>
        <family val="2"/>
        <charset val="238"/>
        <scheme val="minor"/>
      </rPr>
      <t>v 0. týdnu a 2. týdnu, pak 250 mg s.c. 1x za 2 týdny až do 16. týdn</t>
    </r>
    <r>
      <rPr>
        <sz val="9"/>
        <color rgb="FF000000"/>
        <rFont val="Calibri"/>
        <family val="2"/>
        <charset val="238"/>
        <scheme val="minor"/>
      </rPr>
      <t xml:space="preserve">e (event. až do 24. týdne). Po dosažení klin. odpovědi je </t>
    </r>
    <r>
      <rPr>
        <u/>
        <sz val="9"/>
        <color rgb="FF000000"/>
        <rFont val="Calibri"/>
        <family val="2"/>
        <charset val="238"/>
        <scheme val="minor"/>
      </rPr>
      <t>udržovací dávka 250 mg 1x za 4 týdn</t>
    </r>
    <r>
      <rPr>
        <sz val="9"/>
        <color rgb="FF000000"/>
        <rFont val="Calibri"/>
        <family val="2"/>
        <charset val="238"/>
        <scheme val="minor"/>
      </rPr>
      <t>y.</t>
    </r>
  </si>
  <si>
    <t>Zdá se, že lebrikizumab má nižší výskyt očních komplikací než dupilumab</t>
  </si>
  <si>
    <r>
      <t xml:space="preserve">DUPIXENT 300MG                               INJ SOL 2X2ML -                                  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</si>
  <si>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 xml:space="preserve">OLUMIANT 4MG                               TBL FLM 28 -                                             </t>
    </r>
    <r>
      <rPr>
        <sz val="10"/>
        <color theme="1"/>
        <rFont val="Calibri"/>
        <family val="2"/>
        <charset val="238"/>
        <scheme val="minor"/>
      </rPr>
      <t>4mg 1x denně</t>
    </r>
  </si>
  <si>
    <t>EBGLYSS 250MG INJ SOL 1X2ML</t>
  </si>
  <si>
    <t>jednotková cena (NCSD) k 13.8.2024</t>
  </si>
  <si>
    <t>jednotková cena (NCSD) k 13.8.24 vč. bonusů</t>
  </si>
  <si>
    <r>
      <t xml:space="preserve">EBGLYSS 250MG INJ SOL 1X2ML </t>
    </r>
    <r>
      <rPr>
        <sz val="10"/>
        <color theme="1"/>
        <rFont val="Calibri"/>
        <family val="2"/>
        <charset val="238"/>
        <scheme val="minor"/>
      </rPr>
      <t xml:space="preserve">- po indukci (16 týdnů) 250mg ā 4 týdny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</si>
  <si>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EBGLYSS 250MG INJ SOL 1X2ML* </t>
    </r>
    <r>
      <rPr>
        <sz val="10"/>
        <color theme="1"/>
        <rFont val="Calibri"/>
        <family val="2"/>
        <charset val="238"/>
        <scheme val="minor"/>
      </rPr>
      <t xml:space="preserve">- 500mg v 0. a 2. týdnu, pak 250mg </t>
    </r>
    <r>
      <rPr>
        <sz val="10"/>
        <color theme="1"/>
        <rFont val="Calibri"/>
        <family val="2"/>
        <charset val="238"/>
      </rPr>
      <t>ā</t>
    </r>
    <r>
      <rPr>
        <sz val="10"/>
        <color theme="1"/>
        <rFont val="Calibri"/>
        <family val="2"/>
        <charset val="238"/>
        <scheme val="minor"/>
      </rPr>
      <t xml:space="preserve"> 2 týdny do 16. týdne</t>
    </r>
  </si>
  <si>
    <r>
      <t>EASI-50 po 12-16 týdnech  (četnost-bod. hodnota)</t>
    </r>
    <r>
      <rPr>
        <vertAlign val="superscript"/>
        <sz val="8"/>
        <rFont val="Arial"/>
        <family val="2"/>
        <charset val="238"/>
      </rPr>
      <t>38</t>
    </r>
    <r>
      <rPr>
        <sz val="8"/>
        <rFont val="Arial"/>
        <family val="2"/>
        <charset val="238"/>
      </rPr>
      <t xml:space="preserve"> žlutě: monoterapie, modře: komb. s TCS - viz pozn. 42,*</t>
    </r>
  </si>
  <si>
    <r>
      <t xml:space="preserve">EBGLYSS 250MG INJ SOL 1X2ML* </t>
    </r>
    <r>
      <rPr>
        <sz val="9"/>
        <color theme="1"/>
        <rFont val="Calibri"/>
        <family val="2"/>
        <charset val="238"/>
        <scheme val="minor"/>
      </rPr>
      <t>- indukce do 16. týdne</t>
    </r>
  </si>
  <si>
    <r>
      <t xml:space="preserve">EBGLYSS 250MG INJ SOL 1X2ML* </t>
    </r>
    <r>
      <rPr>
        <sz val="9"/>
        <color theme="1"/>
        <rFont val="Calibri"/>
        <family val="2"/>
        <charset val="238"/>
        <scheme val="minor"/>
      </rPr>
      <t>- indukce</t>
    </r>
    <r>
      <rPr>
        <sz val="9"/>
        <color theme="1"/>
        <rFont val="Calibri"/>
        <family val="2"/>
        <charset val="238"/>
        <scheme val="minor"/>
      </rPr>
      <t xml:space="preserve"> do 16. týdne</t>
    </r>
  </si>
  <si>
    <t>cena LP za 2. a další rok léčby 1 pacienta u EBGLYSS (u ostatních LP je cca podobné!)</t>
  </si>
  <si>
    <r>
      <rPr>
        <b/>
        <u/>
        <sz val="11"/>
        <color theme="1"/>
        <rFont val="Calibri"/>
        <family val="2"/>
        <charset val="238"/>
        <scheme val="minor"/>
      </rPr>
      <t xml:space="preserve">kolik % by musel být bonus pro EBGLYSS </t>
    </r>
    <r>
      <rPr>
        <b/>
        <sz val="11"/>
        <color theme="1"/>
        <rFont val="Calibri"/>
        <family val="2"/>
        <charset val="238"/>
        <scheme val="minor"/>
      </rPr>
      <t>aby</t>
    </r>
    <r>
      <rPr>
        <b/>
        <u/>
        <sz val="11"/>
        <color theme="1"/>
        <rFont val="Calibri"/>
        <family val="2"/>
        <charset val="238"/>
        <scheme val="minor"/>
      </rPr>
      <t xml:space="preserve"> byl cca stejně nákladově efektivní za 1. rok jako RINVOQ 15mg 1 x denně</t>
    </r>
  </si>
  <si>
    <r>
      <t xml:space="preserve">dávkování </t>
    </r>
    <r>
      <rPr>
        <b/>
        <u/>
        <sz val="9"/>
        <rFont val="Arial"/>
        <family val="2"/>
        <charset val="238"/>
      </rPr>
      <t xml:space="preserve">u AD u dospělých </t>
    </r>
    <r>
      <rPr>
        <b/>
        <sz val="9"/>
        <rFont val="Arial"/>
        <family val="2"/>
        <charset val="238"/>
      </rPr>
      <t>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a dalších materiálů </t>
    </r>
    <r>
      <rPr>
        <sz val="8"/>
        <rFont val="Arial"/>
        <family val="2"/>
        <charset val="238"/>
      </rPr>
      <t>(uvedené pod pozn. 30, 35, 36)</t>
    </r>
    <r>
      <rPr>
        <b/>
        <sz val="8"/>
        <rFont val="Arial"/>
        <family val="2"/>
        <charset val="238"/>
      </rPr>
      <t xml:space="preserve"> </t>
    </r>
  </si>
  <si>
    <r>
      <rPr>
        <b/>
        <u/>
        <sz val="11"/>
        <color theme="1"/>
        <rFont val="Calibri"/>
        <family val="2"/>
        <charset val="238"/>
        <scheme val="minor"/>
      </rPr>
      <t>za kolik měsíců (po 16 týdnech indukce) začnou být celkové náklady</t>
    </r>
    <r>
      <rPr>
        <b/>
        <sz val="11"/>
        <color theme="1"/>
        <rFont val="Calibri"/>
        <family val="2"/>
        <charset val="238"/>
        <scheme val="minor"/>
      </rPr>
      <t xml:space="preserve"> za léčbu EBGLYSSEM </t>
    </r>
    <r>
      <rPr>
        <b/>
        <u/>
        <sz val="11"/>
        <color theme="1"/>
        <rFont val="Calibri"/>
        <family val="2"/>
        <charset val="238"/>
        <scheme val="minor"/>
      </rPr>
      <t>nižší než za DUPIXENT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</si>
  <si>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1"/>
        <color theme="1"/>
        <rFont val="Calibri"/>
        <family val="2"/>
        <charset val="238"/>
        <scheme val="minor"/>
      </rPr>
      <t>kolik měsíčně ušetříme</t>
    </r>
    <r>
      <rPr>
        <b/>
        <sz val="11"/>
        <color theme="1"/>
        <rFont val="Calibri"/>
        <family val="2"/>
        <charset val="238"/>
        <scheme val="minor"/>
      </rPr>
      <t xml:space="preserve"> (po době kdy začnou být celkové náklady za léčbu EBGLYSSEM nižší) </t>
    </r>
    <r>
      <rPr>
        <b/>
        <u/>
        <sz val="11"/>
        <color theme="1"/>
        <rFont val="Calibri"/>
        <family val="2"/>
        <charset val="238"/>
        <scheme val="minor"/>
      </rPr>
      <t>oproti léčbě DUPIXENTEM</t>
    </r>
  </si>
  <si>
    <r>
      <t xml:space="preserve">Doporučená </t>
    </r>
    <r>
      <rPr>
        <u/>
        <sz val="9"/>
        <color rgb="FF000000"/>
        <rFont val="Calibri"/>
        <family val="2"/>
        <charset val="238"/>
        <scheme val="minor"/>
      </rPr>
      <t>úvodní dávka u dospělých pac. je 600 mg</t>
    </r>
    <r>
      <rPr>
        <sz val="9"/>
        <color rgb="FF000000"/>
        <rFont val="Calibri"/>
        <family val="2"/>
        <charset val="238"/>
        <scheme val="minor"/>
      </rPr>
      <t xml:space="preserve"> (2 injekce po 300 mg),</t>
    </r>
    <r>
      <rPr>
        <u/>
        <sz val="9"/>
        <color rgb="FF000000"/>
        <rFont val="Calibri"/>
        <family val="2"/>
        <charset val="238"/>
        <scheme val="minor"/>
      </rPr>
      <t xml:space="preserve"> následovaná dávkou 300 mg každý 2. týden</t>
    </r>
    <r>
      <rPr>
        <sz val="9"/>
        <color rgb="FF000000"/>
        <rFont val="Calibri"/>
        <family val="2"/>
        <charset val="238"/>
        <scheme val="minor"/>
      </rPr>
      <t xml:space="preserve"> formou s.c. injekce.                                                                                                  </t>
    </r>
    <r>
      <rPr>
        <b/>
        <u/>
        <sz val="9"/>
        <color rgb="FF000000"/>
        <rFont val="Calibri"/>
        <family val="2"/>
        <charset val="238"/>
        <scheme val="minor"/>
      </rPr>
      <t>CAVE! DUPIXENT 300mg (kód 0268184) má oproti EBGLYSS úhrady také na: astma u dospělých a dospívajících od 12 let, u dospělých s chron. rinosinusitidou s oboustrannými nosními polypy, DUPIXENT 300mg (kód 0222565) má úhradu pro AD také u dětí 6-12 let !</t>
    </r>
  </si>
  <si>
    <t>obrat. bonus k 9.12.24</t>
  </si>
  <si>
    <t>cena LP za prvních 16 týdnů léčby 1 pacienta k 9.12.24</t>
  </si>
  <si>
    <t>cena LP za první rok léčby 1 pacienta k 9.12.24</t>
  </si>
  <si>
    <r>
      <t xml:space="preserve">EBGLYSS 250MG INJ SOL 1X2ML                                         </t>
    </r>
    <r>
      <rPr>
        <u/>
        <sz val="10"/>
        <color theme="1"/>
        <rFont val="Calibri"/>
        <family val="2"/>
        <charset val="238"/>
        <scheme val="minor"/>
      </rPr>
      <t xml:space="preserve">po indukci (počítáno 16 týdnů!) </t>
    </r>
    <r>
      <rPr>
        <sz val="10"/>
        <color theme="1"/>
        <rFont val="Calibri"/>
        <family val="2"/>
        <charset val="238"/>
        <scheme val="minor"/>
      </rPr>
      <t xml:space="preserve">250mg </t>
    </r>
    <r>
      <rPr>
        <sz val="10"/>
        <color theme="1"/>
        <rFont val="Calibri"/>
        <family val="2"/>
        <charset val="238"/>
      </rPr>
      <t>ā 4 týdny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</si>
</sst>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??\ [$Kč-405]_-;_-@_-"/>
    <numFmt numFmtId="165" formatCode="#,##0.00\ &quot;Kč&quot;"/>
    <numFmt numFmtId="166" formatCode="0.0"/>
    <numFmt numFmtId="167" formatCode="_-* #,##0\ &quot;Kč&quot;_-;\-* #,##0\ &quot;Kč&quot;_-;_-* &quot;-&quot;??\ &quot;Kč&quot;_-;_-@_-"/>
    <numFmt numFmtId="168" formatCode="#,##0\ &quot;Kč&quot;"/>
  </numFmts>
  <fonts count="6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u/>
      <sz val="18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8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i/>
      <u/>
      <sz val="18"/>
      <color theme="1"/>
      <name val="Calibri"/>
      <family val="2"/>
      <charset val="238"/>
    </font>
    <font>
      <i/>
      <sz val="18"/>
      <color theme="1"/>
      <name val="Calibri"/>
      <family val="2"/>
      <charset val="238"/>
    </font>
    <font>
      <b/>
      <i/>
      <u/>
      <sz val="18"/>
      <color rgb="FFFF0000"/>
      <name val="Calibri"/>
      <family val="2"/>
      <charset val="238"/>
    </font>
    <font>
      <b/>
      <i/>
      <sz val="18"/>
      <color rgb="FFFF0000"/>
      <name val="Calibri"/>
      <family val="2"/>
      <charset val="238"/>
    </font>
    <font>
      <i/>
      <sz val="18"/>
      <color rgb="FFFF0000"/>
      <name val="Calibri"/>
      <family val="2"/>
      <charset val="238"/>
    </font>
    <font>
      <b/>
      <sz val="18"/>
      <color rgb="FFFFC000"/>
      <name val="Calibri"/>
      <family val="2"/>
      <charset val="238"/>
    </font>
    <font>
      <b/>
      <sz val="9"/>
      <color rgb="FFFFC000"/>
      <name val="Arial"/>
      <family val="2"/>
      <charset val="238"/>
    </font>
    <font>
      <b/>
      <u/>
      <sz val="18"/>
      <color rgb="FFFFC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2" fillId="0" borderId="0"/>
    <xf numFmtId="9" fontId="22" fillId="0" borderId="0" applyFont="0" applyFill="0" applyBorder="0" applyAlignment="0" applyProtection="0"/>
    <xf numFmtId="0" fontId="31" fillId="0" borderId="0"/>
  </cellStyleXfs>
  <cellXfs count="2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0" fontId="11" fillId="5" borderId="0" xfId="0" applyFont="1" applyFill="1" applyAlignment="1">
      <alignment vertical="center"/>
    </xf>
    <xf numFmtId="0" fontId="11" fillId="5" borderId="0" xfId="0" applyFont="1" applyFill="1"/>
    <xf numFmtId="0" fontId="0" fillId="0" borderId="13" xfId="0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2" borderId="18" xfId="1" applyFont="1" applyFill="1" applyBorder="1" applyAlignment="1">
      <alignment horizontal="center" vertical="center" wrapText="1"/>
    </xf>
    <xf numFmtId="0" fontId="22" fillId="0" borderId="0" xfId="1"/>
    <xf numFmtId="166" fontId="8" fillId="8" borderId="19" xfId="1" applyNumberFormat="1" applyFont="1" applyFill="1" applyBorder="1" applyAlignment="1">
      <alignment horizontal="center" vertical="center" wrapText="1"/>
    </xf>
    <xf numFmtId="167" fontId="8" fillId="8" borderId="17" xfId="1" applyNumberFormat="1" applyFont="1" applyFill="1" applyBorder="1" applyAlignment="1">
      <alignment horizontal="center" vertical="center" wrapText="1"/>
    </xf>
    <xf numFmtId="166" fontId="8" fillId="8" borderId="20" xfId="1" applyNumberFormat="1" applyFont="1" applyFill="1" applyBorder="1" applyAlignment="1">
      <alignment horizontal="center" vertical="center" wrapText="1"/>
    </xf>
    <xf numFmtId="167" fontId="8" fillId="8" borderId="9" xfId="1" applyNumberFormat="1" applyFont="1" applyFill="1" applyBorder="1" applyAlignment="1">
      <alignment horizontal="center" vertical="center" wrapText="1"/>
    </xf>
    <xf numFmtId="167" fontId="8" fillId="8" borderId="22" xfId="1" applyNumberFormat="1" applyFont="1" applyFill="1" applyBorder="1" applyAlignment="1">
      <alignment horizontal="center" vertical="center" wrapText="1"/>
    </xf>
    <xf numFmtId="166" fontId="8" fillId="8" borderId="10" xfId="1" applyNumberFormat="1" applyFont="1" applyFill="1" applyBorder="1" applyAlignment="1">
      <alignment horizontal="center" vertical="center" wrapText="1"/>
    </xf>
    <xf numFmtId="168" fontId="8" fillId="8" borderId="12" xfId="1" applyNumberFormat="1" applyFont="1" applyFill="1" applyBorder="1" applyAlignment="1">
      <alignment horizontal="right" vertical="center" wrapText="1"/>
    </xf>
    <xf numFmtId="166" fontId="8" fillId="6" borderId="19" xfId="1" applyNumberFormat="1" applyFont="1" applyFill="1" applyBorder="1" applyAlignment="1">
      <alignment horizontal="center" vertical="center" wrapText="1"/>
    </xf>
    <xf numFmtId="166" fontId="8" fillId="6" borderId="20" xfId="1" applyNumberFormat="1" applyFont="1" applyFill="1" applyBorder="1" applyAlignment="1">
      <alignment horizontal="center" vertical="center" wrapText="1"/>
    </xf>
    <xf numFmtId="167" fontId="8" fillId="6" borderId="9" xfId="1" applyNumberFormat="1" applyFont="1" applyFill="1" applyBorder="1" applyAlignment="1">
      <alignment horizontal="center" vertical="center" wrapText="1"/>
    </xf>
    <xf numFmtId="0" fontId="3" fillId="0" borderId="0" xfId="1" applyFont="1"/>
    <xf numFmtId="167" fontId="8" fillId="6" borderId="22" xfId="1" applyNumberFormat="1" applyFont="1" applyFill="1" applyBorder="1" applyAlignment="1">
      <alignment horizontal="center" vertical="center" wrapText="1"/>
    </xf>
    <xf numFmtId="166" fontId="8" fillId="6" borderId="10" xfId="1" applyNumberFormat="1" applyFont="1" applyFill="1" applyBorder="1" applyAlignment="1">
      <alignment horizontal="center" vertical="center" wrapText="1"/>
    </xf>
    <xf numFmtId="168" fontId="8" fillId="6" borderId="12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8" fontId="7" fillId="0" borderId="16" xfId="0" applyNumberFormat="1" applyFont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8" fontId="27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8" fontId="0" fillId="0" borderId="0" xfId="0" applyNumberFormat="1"/>
    <xf numFmtId="168" fontId="27" fillId="0" borderId="17" xfId="0" applyNumberFormat="1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0" fillId="6" borderId="19" xfId="0" applyFont="1" applyFill="1" applyBorder="1" applyAlignment="1">
      <alignment horizontal="left" vertical="center" wrapText="1"/>
    </xf>
    <xf numFmtId="0" fontId="30" fillId="8" borderId="28" xfId="1" applyFont="1" applyFill="1" applyBorder="1" applyAlignment="1">
      <alignment horizontal="center" vertical="center" wrapText="1"/>
    </xf>
    <xf numFmtId="0" fontId="30" fillId="6" borderId="24" xfId="1" applyFont="1" applyFill="1" applyBorder="1" applyAlignment="1">
      <alignment horizontal="center" vertical="center" wrapText="1"/>
    </xf>
    <xf numFmtId="167" fontId="8" fillId="6" borderId="1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165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5" xfId="0" applyNumberForma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32" fillId="8" borderId="8" xfId="0" applyFont="1" applyFill="1" applyBorder="1" applyAlignment="1">
      <alignment horizontal="left" vertical="center"/>
    </xf>
    <xf numFmtId="0" fontId="32" fillId="8" borderId="19" xfId="0" applyFont="1" applyFill="1" applyBorder="1" applyAlignment="1">
      <alignment horizontal="left" vertical="center"/>
    </xf>
    <xf numFmtId="0" fontId="32" fillId="6" borderId="8" xfId="0" applyFont="1" applyFill="1" applyBorder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0" fillId="12" borderId="26" xfId="0" applyFill="1" applyBorder="1" applyAlignment="1">
      <alignment wrapText="1"/>
    </xf>
    <xf numFmtId="0" fontId="32" fillId="8" borderId="5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8" borderId="5" xfId="0" applyFont="1" applyFill="1" applyBorder="1" applyAlignment="1">
      <alignment horizontal="left" vertical="center"/>
    </xf>
    <xf numFmtId="0" fontId="32" fillId="8" borderId="32" xfId="0" applyFont="1" applyFill="1" applyBorder="1" applyAlignment="1">
      <alignment horizontal="left" vertical="center"/>
    </xf>
    <xf numFmtId="0" fontId="32" fillId="6" borderId="5" xfId="0" applyFont="1" applyFill="1" applyBorder="1" applyAlignment="1">
      <alignment horizontal="left" vertical="center"/>
    </xf>
    <xf numFmtId="0" fontId="32" fillId="6" borderId="13" xfId="0" applyFont="1" applyFill="1" applyBorder="1" applyAlignment="1">
      <alignment horizontal="left" vertical="center"/>
    </xf>
    <xf numFmtId="2" fontId="0" fillId="6" borderId="5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168" fontId="38" fillId="0" borderId="16" xfId="0" applyNumberFormat="1" applyFont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left" vertical="center"/>
    </xf>
    <xf numFmtId="0" fontId="20" fillId="0" borderId="3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8" fontId="25" fillId="0" borderId="30" xfId="0" applyNumberFormat="1" applyFont="1" applyBorder="1" applyAlignment="1">
      <alignment horizontal="center" vertical="center" wrapText="1"/>
    </xf>
    <xf numFmtId="168" fontId="27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8" fillId="14" borderId="13" xfId="0" applyNumberFormat="1" applyFont="1" applyFill="1" applyBorder="1" applyAlignment="1">
      <alignment horizontal="center" vertical="center" wrapText="1"/>
    </xf>
    <xf numFmtId="0" fontId="30" fillId="14" borderId="33" xfId="0" applyFont="1" applyFill="1" applyBorder="1" applyAlignment="1">
      <alignment horizontal="center" vertical="center" wrapText="1"/>
    </xf>
    <xf numFmtId="0" fontId="10" fillId="14" borderId="3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0" fillId="14" borderId="13" xfId="0" applyNumberFormat="1" applyFill="1" applyBorder="1" applyAlignment="1">
      <alignment horizontal="center" vertical="center" wrapText="1"/>
    </xf>
    <xf numFmtId="168" fontId="7" fillId="14" borderId="16" xfId="0" applyNumberFormat="1" applyFont="1" applyFill="1" applyBorder="1" applyAlignment="1">
      <alignment horizontal="center" vertical="center" wrapText="1"/>
    </xf>
    <xf numFmtId="168" fontId="40" fillId="14" borderId="30" xfId="0" applyNumberFormat="1" applyFont="1" applyFill="1" applyBorder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vertical="center" wrapText="1"/>
    </xf>
    <xf numFmtId="168" fontId="41" fillId="14" borderId="33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44" fillId="16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8" fontId="28" fillId="3" borderId="17" xfId="0" applyNumberFormat="1" applyFont="1" applyFill="1" applyBorder="1" applyAlignment="1">
      <alignment horizontal="center" vertical="center" wrapText="1"/>
    </xf>
    <xf numFmtId="168" fontId="7" fillId="14" borderId="30" xfId="0" applyNumberFormat="1" applyFont="1" applyFill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11" fillId="0" borderId="34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8" fontId="50" fillId="8" borderId="30" xfId="0" applyNumberFormat="1" applyFont="1" applyFill="1" applyBorder="1" applyAlignment="1">
      <alignment horizontal="center" vertical="center" wrapText="1"/>
    </xf>
    <xf numFmtId="168" fontId="51" fillId="0" borderId="30" xfId="0" applyNumberFormat="1" applyFont="1" applyBorder="1" applyAlignment="1">
      <alignment horizontal="center" vertical="center" wrapText="1"/>
    </xf>
    <xf numFmtId="0" fontId="52" fillId="0" borderId="16" xfId="0" applyFont="1" applyBorder="1" applyAlignment="1">
      <alignment horizontal="left" vertical="center" wrapText="1"/>
    </xf>
    <xf numFmtId="168" fontId="55" fillId="8" borderId="30" xfId="0" applyNumberFormat="1" applyFont="1" applyFill="1" applyBorder="1" applyAlignment="1">
      <alignment horizontal="center" vertical="center" wrapText="1"/>
    </xf>
    <xf numFmtId="168" fontId="56" fillId="0" borderId="30" xfId="0" applyNumberFormat="1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165" fontId="8" fillId="6" borderId="1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8" fontId="43" fillId="3" borderId="30" xfId="0" applyNumberFormat="1" applyFont="1" applyFill="1" applyBorder="1" applyAlignment="1">
      <alignment horizontal="center" vertical="center" wrapText="1"/>
    </xf>
    <xf numFmtId="168" fontId="53" fillId="0" borderId="30" xfId="0" applyNumberFormat="1" applyFont="1" applyBorder="1" applyAlignment="1">
      <alignment horizontal="center" vertical="center" wrapText="1"/>
    </xf>
    <xf numFmtId="168" fontId="41" fillId="0" borderId="30" xfId="0" applyNumberFormat="1" applyFont="1" applyBorder="1" applyAlignment="1">
      <alignment horizontal="center" vertical="center" wrapText="1"/>
    </xf>
    <xf numFmtId="168" fontId="43" fillId="0" borderId="30" xfId="0" applyNumberFormat="1" applyFont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8" fontId="7" fillId="0" borderId="25" xfId="0" applyNumberFormat="1" applyFont="1" applyBorder="1" applyAlignment="1">
      <alignment horizontal="center" vertical="center" wrapText="1"/>
    </xf>
    <xf numFmtId="168" fontId="39" fillId="0" borderId="8" xfId="0" applyNumberFormat="1" applyFont="1" applyBorder="1" applyAlignment="1">
      <alignment horizontal="center" vertical="center" wrapText="1"/>
    </xf>
    <xf numFmtId="0" fontId="52" fillId="0" borderId="2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168" fontId="42" fillId="0" borderId="8" xfId="0" applyNumberFormat="1" applyFont="1" applyBorder="1" applyAlignment="1">
      <alignment horizontal="center" vertical="center" wrapText="1"/>
    </xf>
    <xf numFmtId="0" fontId="54" fillId="0" borderId="2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5" fontId="8" fillId="0" borderId="32" xfId="0" applyNumberFormat="1" applyFont="1" applyBorder="1" applyAlignment="1">
      <alignment horizontal="center" vertical="center" wrapText="1"/>
    </xf>
    <xf numFmtId="168" fontId="27" fillId="0" borderId="20" xfId="0" applyNumberFormat="1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8" fontId="48" fillId="0" borderId="20" xfId="0" applyNumberFormat="1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8" fontId="7" fillId="6" borderId="36" xfId="0" applyNumberFormat="1" applyFont="1" applyFill="1" applyBorder="1" applyAlignment="1">
      <alignment horizontal="center" vertical="center" wrapText="1"/>
    </xf>
    <xf numFmtId="168" fontId="27" fillId="6" borderId="37" xfId="0" applyNumberFormat="1" applyFont="1" applyFill="1" applyBorder="1" applyAlignment="1">
      <alignment horizontal="center" vertical="center" wrapText="1"/>
    </xf>
    <xf numFmtId="0" fontId="52" fillId="6" borderId="3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168" fontId="48" fillId="15" borderId="37" xfId="0" applyNumberFormat="1" applyFont="1" applyFill="1" applyBorder="1" applyAlignment="1">
      <alignment horizontal="center" vertical="center" wrapText="1"/>
    </xf>
    <xf numFmtId="0" fontId="54" fillId="6" borderId="36" xfId="0" applyFont="1" applyFill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168" fontId="27" fillId="0" borderId="5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8" fontId="58" fillId="0" borderId="5" xfId="0" applyNumberFormat="1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0" fillId="8" borderId="39" xfId="0" applyFont="1" applyFill="1" applyBorder="1" applyAlignment="1">
      <alignment horizontal="left" vertical="center" wrapText="1"/>
    </xf>
    <xf numFmtId="166" fontId="8" fillId="8" borderId="8" xfId="1" applyNumberFormat="1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left" vertical="center" wrapText="1"/>
    </xf>
    <xf numFmtId="166" fontId="8" fillId="6" borderId="8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horizontal="center"/>
    </xf>
    <xf numFmtId="0" fontId="32" fillId="8" borderId="5" xfId="0" applyFont="1" applyFill="1" applyBorder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54" fillId="0" borderId="16" xfId="0" applyFont="1" applyBorder="1" applyAlignment="1">
      <alignment horizontal="center" vertical="center" wrapText="1"/>
    </xf>
    <xf numFmtId="168" fontId="60" fillId="17" borderId="30" xfId="0" applyNumberFormat="1" applyFont="1" applyFill="1" applyBorder="1" applyAlignment="1">
      <alignment horizontal="center" vertical="center" wrapText="1"/>
    </xf>
    <xf numFmtId="168" fontId="58" fillId="0" borderId="30" xfId="0" applyNumberFormat="1" applyFont="1" applyBorder="1" applyAlignment="1">
      <alignment horizontal="center" vertical="center" wrapText="1"/>
    </xf>
    <xf numFmtId="9" fontId="9" fillId="0" borderId="40" xfId="0" applyNumberFormat="1" applyFont="1" applyBorder="1" applyAlignment="1">
      <alignment horizontal="center" vertical="center" wrapText="1"/>
    </xf>
    <xf numFmtId="9" fontId="10" fillId="0" borderId="41" xfId="0" applyNumberFormat="1" applyFont="1" applyBorder="1" applyAlignment="1">
      <alignment horizontal="center" vertical="center" wrapText="1"/>
    </xf>
    <xf numFmtId="9" fontId="10" fillId="0" borderId="42" xfId="0" applyNumberFormat="1" applyFont="1" applyBorder="1" applyAlignment="1">
      <alignment horizontal="center" vertical="center" wrapText="1"/>
    </xf>
    <xf numFmtId="9" fontId="10" fillId="6" borderId="43" xfId="0" applyNumberFormat="1" applyFont="1" applyFill="1" applyBorder="1" applyAlignment="1">
      <alignment horizontal="center" vertical="center" wrapText="1"/>
    </xf>
    <xf numFmtId="168" fontId="43" fillId="0" borderId="5" xfId="0" applyNumberFormat="1" applyFont="1" applyBorder="1" applyAlignment="1">
      <alignment horizontal="center" vertical="center" wrapText="1"/>
    </xf>
    <xf numFmtId="168" fontId="53" fillId="0" borderId="13" xfId="0" applyNumberFormat="1" applyFont="1" applyBorder="1" applyAlignment="1">
      <alignment horizontal="center" vertical="center" wrapText="1"/>
    </xf>
    <xf numFmtId="168" fontId="41" fillId="0" borderId="13" xfId="0" applyNumberFormat="1" applyFont="1" applyBorder="1" applyAlignment="1">
      <alignment horizontal="center" vertical="center" wrapText="1"/>
    </xf>
    <xf numFmtId="168" fontId="43" fillId="0" borderId="13" xfId="0" applyNumberFormat="1" applyFont="1" applyBorder="1" applyAlignment="1">
      <alignment horizontal="center" vertical="center" wrapText="1"/>
    </xf>
    <xf numFmtId="168" fontId="60" fillId="0" borderId="13" xfId="0" applyNumberFormat="1" applyFont="1" applyBorder="1" applyAlignment="1">
      <alignment horizontal="center" vertical="center" wrapText="1"/>
    </xf>
    <xf numFmtId="168" fontId="58" fillId="0" borderId="13" xfId="0" applyNumberFormat="1" applyFont="1" applyBorder="1" applyAlignment="1">
      <alignment horizontal="center" vertical="center" wrapText="1"/>
    </xf>
    <xf numFmtId="0" fontId="54" fillId="0" borderId="21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center" vertical="center" wrapText="1"/>
    </xf>
    <xf numFmtId="165" fontId="62" fillId="6" borderId="35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37" fillId="8" borderId="2" xfId="0" applyFont="1" applyFill="1" applyBorder="1" applyAlignment="1">
      <alignment horizontal="center" vertical="center" wrapText="1"/>
    </xf>
    <xf numFmtId="168" fontId="62" fillId="0" borderId="5" xfId="0" applyNumberFormat="1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51" fillId="6" borderId="35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68" fontId="51" fillId="6" borderId="35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1" fontId="51" fillId="6" borderId="35" xfId="0" applyNumberFormat="1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8127256710886"/>
          <c:y val="9.9509958887713676E-2"/>
          <c:w val="0.81096432463699886"/>
          <c:h val="0.74310245496461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16 týd.'!$C$1</c:f>
              <c:strCache>
                <c:ptCount val="1"/>
                <c:pt idx="0">
                  <c:v>cena za prvních 16 týdnů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dPt>
            <c:idx val="16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46-44A5-92EA-943669E5B787}"/>
              </c:ext>
            </c:extLst>
          </c:dPt>
          <c:dPt>
            <c:idx val="17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46-44A5-92EA-943669E5B787}"/>
              </c:ext>
            </c:extLst>
          </c:dPt>
          <c:xVal>
            <c:numRef>
              <c:f>'CEA - eff.frontier 16 týd.'!$B$2:$B$19</c:f>
              <c:numCache>
                <c:formatCode>0.0</c:formatCode>
                <c:ptCount val="18"/>
                <c:pt idx="0">
                  <c:v>63</c:v>
                </c:pt>
                <c:pt idx="1">
                  <c:v>46</c:v>
                </c:pt>
                <c:pt idx="2">
                  <c:v>39</c:v>
                </c:pt>
                <c:pt idx="3">
                  <c:v>84</c:v>
                </c:pt>
                <c:pt idx="4">
                  <c:v>70</c:v>
                </c:pt>
                <c:pt idx="5">
                  <c:v>75</c:v>
                </c:pt>
                <c:pt idx="6">
                  <c:v>57</c:v>
                </c:pt>
                <c:pt idx="7">
                  <c:v>63</c:v>
                </c:pt>
                <c:pt idx="8">
                  <c:v>21</c:v>
                </c:pt>
                <c:pt idx="9">
                  <c:v>82</c:v>
                </c:pt>
                <c:pt idx="10">
                  <c:v>67</c:v>
                </c:pt>
                <c:pt idx="11">
                  <c:v>61</c:v>
                </c:pt>
                <c:pt idx="12">
                  <c:v>91</c:v>
                </c:pt>
                <c:pt idx="13">
                  <c:v>83</c:v>
                </c:pt>
                <c:pt idx="14">
                  <c:v>87</c:v>
                </c:pt>
                <c:pt idx="15">
                  <c:v>80</c:v>
                </c:pt>
                <c:pt idx="16">
                  <c:v>82</c:v>
                </c:pt>
                <c:pt idx="17">
                  <c:v>47</c:v>
                </c:pt>
              </c:numCache>
            </c:numRef>
          </c:xVal>
          <c:yVal>
            <c:numRef>
              <c:f>'CEA - eff.frontier 16 týd.'!$C$2:$C$19</c:f>
              <c:numCache>
                <c:formatCode>_-* #\ ##0\ "Kč"_-;\-* #\ ##0\ "Kč"_-;_-* "-"??\ "Kč"_-;_-@_-</c:formatCode>
                <c:ptCount val="18"/>
                <c:pt idx="0">
                  <c:v>88201.299999999988</c:v>
                </c:pt>
                <c:pt idx="1">
                  <c:v>54477.689599999998</c:v>
                </c:pt>
                <c:pt idx="2">
                  <c:v>27238.844799999999</c:v>
                </c:pt>
                <c:pt idx="3">
                  <c:v>99126.357942857154</c:v>
                </c:pt>
                <c:pt idx="4">
                  <c:v>49563.178971428577</c:v>
                </c:pt>
                <c:pt idx="5">
                  <c:v>63222.7232</c:v>
                </c:pt>
                <c:pt idx="6">
                  <c:v>55743.178399999997</c:v>
                </c:pt>
                <c:pt idx="7">
                  <c:v>139396.05899999998</c:v>
                </c:pt>
                <c:pt idx="8" formatCode="#\ ##0\ &quot;Kč&quot;">
                  <c:v>0</c:v>
                </c:pt>
                <c:pt idx="9">
                  <c:v>88201.299999999988</c:v>
                </c:pt>
                <c:pt idx="10">
                  <c:v>54477.689599999998</c:v>
                </c:pt>
                <c:pt idx="11">
                  <c:v>27238.844799999999</c:v>
                </c:pt>
                <c:pt idx="12">
                  <c:v>99126.357942857154</c:v>
                </c:pt>
                <c:pt idx="13">
                  <c:v>49563.178971428577</c:v>
                </c:pt>
                <c:pt idx="14">
                  <c:v>63222.7232</c:v>
                </c:pt>
                <c:pt idx="15">
                  <c:v>55743.178399999997</c:v>
                </c:pt>
                <c:pt idx="16">
                  <c:v>139396.05899999998</c:v>
                </c:pt>
                <c:pt idx="17" formatCode="#\ ##0\ &quot;Kč&quot;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6544"/>
        <c:axId val="107838080"/>
      </c:scatterChart>
      <c:valAx>
        <c:axId val="107836544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07838080"/>
        <c:crosses val="autoZero"/>
        <c:crossBetween val="midCat"/>
      </c:valAx>
      <c:valAx>
        <c:axId val="107838080"/>
        <c:scaling>
          <c:orientation val="minMax"/>
          <c:max val="160000"/>
          <c:min val="0"/>
        </c:scaling>
        <c:delete val="0"/>
        <c:axPos val="l"/>
        <c:numFmt formatCode="_-* #\ ##0\ &quot;Kč&quot;_-;\-* #\ ##0\ &quot;Kč&quot;_-;_-* &quot;-&quot;??\ &quot;Kč&quot;_-;_-@_-" sourceLinked="1"/>
        <c:majorTickMark val="out"/>
        <c:minorTickMark val="none"/>
        <c:tickLblPos val="nextTo"/>
        <c:crossAx val="107836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630226772490117E-2"/>
          <c:y val="7.3706134986862473E-2"/>
          <c:w val="0.50107842837399563"/>
          <c:h val="0.69830218391625221"/>
        </c:manualLayout>
      </c:layout>
      <c:scatterChart>
        <c:scatterStyle val="lineMarker"/>
        <c:varyColors val="0"/>
        <c:ser>
          <c:idx val="16"/>
          <c:order val="0"/>
          <c:tx>
            <c:strRef>
              <c:f>'CEA ICER 16 týdnů'!$D$25</c:f>
              <c:strCache>
                <c:ptCount val="1"/>
                <c:pt idx="0">
                  <c:v>CIBINQO (abro) 100MG TBL FLM 28  - 100mg 1x denně (sníž.dávka) + TCS</c:v>
                </c:pt>
              </c:strCache>
            </c:strRef>
          </c:tx>
          <c:marker>
            <c:symbol val="diamond"/>
            <c:size val="7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C75A-457D-B8D1-4CC37FAE023B}"/>
              </c:ext>
            </c:extLst>
          </c:dPt>
          <c:xVal>
            <c:numRef>
              <c:f>'CEA ICER 16 týdnů'!$K$25:$M$25</c:f>
              <c:numCache>
                <c:formatCode>#\ ##0\ "Kč"</c:formatCode>
                <c:ptCount val="3"/>
                <c:pt idx="0">
                  <c:v>168918.72242424238</c:v>
                </c:pt>
                <c:pt idx="1">
                  <c:v>206456.21629629628</c:v>
                </c:pt>
                <c:pt idx="2">
                  <c:v>146692.5747368421</c:v>
                </c:pt>
              </c:numCache>
            </c:numRef>
          </c:xVal>
          <c:yVal>
            <c:numRef>
              <c:f>'CEA ICER 16 týdnů'!$A$25:$C$25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75A-457D-B8D1-4CC37FAE023B}"/>
            </c:ext>
          </c:extLst>
        </c:ser>
        <c:ser>
          <c:idx val="0"/>
          <c:order val="1"/>
          <c:tx>
            <c:strRef>
              <c:f>'CEA ICER 16 týdnů'!$D$13</c:f>
              <c:strCache>
                <c:ptCount val="1"/>
                <c:pt idx="0">
                  <c:v>CIBINQO (abro) 200MG TBL FLM 28  - 200mg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C75A-457D-B8D1-4CC37FAE023B}"/>
              </c:ext>
            </c:extLst>
          </c:dPt>
          <c:xVal>
            <c:numRef>
              <c:f>'CEA ICER 16 týdnů'!$K$13:$M$13</c:f>
              <c:numCache>
                <c:formatCode>#\ ##0\ "Kč"</c:formatCode>
                <c:ptCount val="3"/>
                <c:pt idx="0">
                  <c:v>158056.80799999999</c:v>
                </c:pt>
                <c:pt idx="1">
                  <c:v>180636.35200000001</c:v>
                </c:pt>
                <c:pt idx="2">
                  <c:v>147029.58883720927</c:v>
                </c:pt>
              </c:numCache>
            </c:numRef>
          </c:xVal>
          <c:yVal>
            <c:numRef>
              <c:f>'CEA ICER 16 týdnů'!$A$13:$C$13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75A-457D-B8D1-4CC37FAE023B}"/>
            </c:ext>
          </c:extLst>
        </c:ser>
        <c:ser>
          <c:idx val="1"/>
          <c:order val="2"/>
          <c:tx>
            <c:strRef>
              <c:f>'CEA ICER 16 týdnů'!$D$17</c:f>
              <c:strCache>
                <c:ptCount val="1"/>
                <c:pt idx="0">
                  <c:v>RINVOQ (upa) 15MG TBL PRO 98 - 15mg 1x denně (sníž.dávka)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C75A-457D-B8D1-4CC37FAE023B}"/>
              </c:ext>
            </c:extLst>
          </c:dPt>
          <c:xVal>
            <c:numRef>
              <c:f>'CEA ICER 16 týdnů'!$K$17:$M$17</c:f>
              <c:numCache>
                <c:formatCode>#\ ##0\ "Kč"</c:formatCode>
                <c:ptCount val="3"/>
                <c:pt idx="0">
                  <c:v>137675.49714285717</c:v>
                </c:pt>
                <c:pt idx="1">
                  <c:v>165210.59657142856</c:v>
                </c:pt>
                <c:pt idx="2">
                  <c:v>120885.80236933798</c:v>
                </c:pt>
              </c:numCache>
            </c:numRef>
          </c:xVal>
          <c:yVal>
            <c:numRef>
              <c:f>'CEA ICER 16 týdnů'!$A$17:$C$17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75A-457D-B8D1-4CC37FAE023B}"/>
            </c:ext>
          </c:extLst>
        </c:ser>
        <c:ser>
          <c:idx val="2"/>
          <c:order val="3"/>
          <c:tx>
            <c:strRef>
              <c:f>'CEA ICER 16 týdnů'!$D$15</c:f>
              <c:strCache>
                <c:ptCount val="1"/>
                <c:pt idx="0">
                  <c:v>RINVOQ (upa) 15MG TBL PRO 98 - 30mg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C75A-457D-B8D1-4CC37FAE023B}"/>
              </c:ext>
            </c:extLst>
          </c:dPt>
          <c:xVal>
            <c:numRef>
              <c:f>'CEA ICER 16 týdnů'!$K$15:$M$15</c:f>
              <c:numCache>
                <c:formatCode>#\ ##0\ "Kč"</c:formatCode>
                <c:ptCount val="3"/>
                <c:pt idx="0">
                  <c:v>225287.17714285714</c:v>
                </c:pt>
                <c:pt idx="1">
                  <c:v>247815.89485714288</c:v>
                </c:pt>
                <c:pt idx="2">
                  <c:v>210907.14455927056</c:v>
                </c:pt>
              </c:numCache>
            </c:numRef>
          </c:xVal>
          <c:yVal>
            <c:numRef>
              <c:f>'CEA ICER 16 týdnů'!$A$15:$C$15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75A-457D-B8D1-4CC37FAE023B}"/>
            </c:ext>
          </c:extLst>
        </c:ser>
        <c:ser>
          <c:idx val="3"/>
          <c:order val="4"/>
          <c:tx>
            <c:strRef>
              <c:f>'CEA ICER 16 týdnů'!$D$18</c:f>
              <c:strCache>
                <c:ptCount val="1"/>
                <c:pt idx="0">
                  <c:v>OLUMIANT (bari) 4MG TBL FLM 28 - 2mg 1x denně (sníž.dávka-půlení!!)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C75A-457D-B8D1-4CC37FAE023B}"/>
              </c:ext>
            </c:extLst>
          </c:dPt>
          <c:xVal>
            <c:numRef>
              <c:f>'CEA ICER 16 týdnů'!$K$18:$M$18</c:f>
              <c:numCache>
                <c:formatCode>#\ ##0\ "Kč"</c:formatCode>
                <c:ptCount val="3"/>
                <c:pt idx="0">
                  <c:v>194563.17714285711</c:v>
                </c:pt>
                <c:pt idx="1">
                  <c:v>544776.89599999948</c:v>
                </c:pt>
                <c:pt idx="2">
                  <c:v>118429.76000000001</c:v>
                </c:pt>
              </c:numCache>
            </c:numRef>
          </c:xVal>
          <c:yVal>
            <c:numRef>
              <c:f>'CEA ICER 16 týdnů'!$A$18:$C$18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75A-457D-B8D1-4CC37FAE023B}"/>
            </c:ext>
          </c:extLst>
        </c:ser>
        <c:ser>
          <c:idx val="4"/>
          <c:order val="5"/>
          <c:tx>
            <c:strRef>
              <c:f>'CEA ICER 16 týdnů'!$D$16</c:f>
              <c:strCache>
                <c:ptCount val="1"/>
                <c:pt idx="0">
                  <c:v>OLUMIANT (bari) 4MG TBL FLM 28 - 4mg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C75A-457D-B8D1-4CC37FAE023B}"/>
              </c:ext>
            </c:extLst>
          </c:dPt>
          <c:xVal>
            <c:numRef>
              <c:f>'CEA ICER 16 týdnů'!$K$16:$M$16</c:f>
              <c:numCache>
                <c:formatCode>#\ ##0\ "Kč"</c:formatCode>
                <c:ptCount val="3"/>
                <c:pt idx="0">
                  <c:v>272388.44799999992</c:v>
                </c:pt>
                <c:pt idx="1">
                  <c:v>495251.72363636369</c:v>
                </c:pt>
                <c:pt idx="2">
                  <c:v>194563.17714285711</c:v>
                </c:pt>
              </c:numCache>
            </c:numRef>
          </c:xVal>
          <c:yVal>
            <c:numRef>
              <c:f>'CEA ICER 16 týdnů'!$A$16:$C$16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75A-457D-B8D1-4CC37FAE023B}"/>
            </c:ext>
          </c:extLst>
        </c:ser>
        <c:ser>
          <c:idx val="5"/>
          <c:order val="6"/>
          <c:tx>
            <c:strRef>
              <c:f>'CEA ICER 16 týdnů'!$D$11</c:f>
              <c:strCache>
                <c:ptCount val="1"/>
                <c:pt idx="0">
                  <c:v>DUPIXENT 300MG INJ SOL 2X2ML - 300mg ā 2 týdny 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7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6-C75A-457D-B8D1-4CC37FAE023B}"/>
              </c:ext>
            </c:extLst>
          </c:dPt>
          <c:xVal>
            <c:numRef>
              <c:f>'CEA ICER 16 týdnů'!$K$11:$M$11</c:f>
              <c:numCache>
                <c:formatCode>#\ ##0\ "Kč"</c:formatCode>
                <c:ptCount val="3"/>
                <c:pt idx="0">
                  <c:v>252003.71428571426</c:v>
                </c:pt>
                <c:pt idx="1">
                  <c:v>275629.06249999988</c:v>
                </c:pt>
                <c:pt idx="2">
                  <c:v>226157.17948717944</c:v>
                </c:pt>
              </c:numCache>
            </c:numRef>
          </c:xVal>
          <c:yVal>
            <c:numRef>
              <c:f>'CEA ICER 16 týdnů'!$A$11:$C$11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75A-457D-B8D1-4CC37FAE023B}"/>
            </c:ext>
          </c:extLst>
        </c:ser>
        <c:ser>
          <c:idx val="6"/>
          <c:order val="7"/>
          <c:tx>
            <c:strRef>
              <c:f>'CEA ICER 16 týdnů'!$D$10</c:f>
              <c:strCache>
                <c:ptCount val="1"/>
                <c:pt idx="0">
                  <c:v>CIBINQO (abro) 100MG TBL FLM 28  - 100mg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C75A-457D-B8D1-4CC37FAE023B}"/>
              </c:ext>
            </c:extLst>
          </c:dPt>
          <c:xVal>
            <c:numRef>
              <c:f>'CEA ICER 16 týdnů'!$K$10:$M$10</c:f>
              <c:numCache>
                <c:formatCode>#\ ##0\ "Kč"</c:formatCode>
                <c:ptCount val="3"/>
                <c:pt idx="0">
                  <c:v>154842.16222222222</c:v>
                </c:pt>
                <c:pt idx="1">
                  <c:v>214396.83999999997</c:v>
                </c:pt>
                <c:pt idx="2">
                  <c:v>123873.72977777776</c:v>
                </c:pt>
              </c:numCache>
            </c:numRef>
          </c:xVal>
          <c:yVal>
            <c:numRef>
              <c:f>'CEA ICER 16 týdnů'!$A$10:$C$10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75A-457D-B8D1-4CC37FAE023B}"/>
            </c:ext>
          </c:extLst>
        </c:ser>
        <c:ser>
          <c:idx val="7"/>
          <c:order val="8"/>
          <c:tx>
            <c:strRef>
              <c:f>'CEA ICER 16 týdnů'!$D$9</c:f>
              <c:strCache>
                <c:ptCount val="1"/>
                <c:pt idx="0">
                  <c:v>CIBINQO (abro) 200MG TBL FLM 28  - 200mg 1x denně MONO-stand.dávka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C75A-457D-B8D1-4CC37FAE023B}"/>
              </c:ext>
            </c:extLst>
          </c:dPt>
          <c:xVal>
            <c:numRef>
              <c:f>'CEA ICER 16 týdnů'!$K$9:$M$9</c:f>
              <c:numCache>
                <c:formatCode>#\ ##0\ "Kč"</c:formatCode>
                <c:ptCount val="3"/>
                <c:pt idx="0">
                  <c:v>117079.11703703702</c:v>
                </c:pt>
                <c:pt idx="1">
                  <c:v>140494.94044444442</c:v>
                </c:pt>
                <c:pt idx="2">
                  <c:v>103643.80852459016</c:v>
                </c:pt>
              </c:numCache>
            </c:numRef>
          </c:xVal>
          <c:yVal>
            <c:numRef>
              <c:f>'CEA ICER 16 týdnů'!$A$9:$C$9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75A-457D-B8D1-4CC37FAE023B}"/>
            </c:ext>
          </c:extLst>
        </c:ser>
        <c:ser>
          <c:idx val="9"/>
          <c:order val="9"/>
          <c:tx>
            <c:strRef>
              <c:f>'CEA ICER 16 týdnů'!$D$8</c:f>
              <c:strCache>
                <c:ptCount val="1"/>
                <c:pt idx="0">
                  <c:v>RINVOQ (upa) 15MG TBL PRO 98 - 15mg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C75A-457D-B8D1-4CC37FAE023B}"/>
              </c:ext>
            </c:extLst>
          </c:dPt>
          <c:xVal>
            <c:numRef>
              <c:f>'CEA ICER 16 týdnů'!$K$8:$M$8</c:f>
              <c:numCache>
                <c:formatCode>#\ ##0\ "Kč"</c:formatCode>
                <c:ptCount val="3"/>
                <c:pt idx="0">
                  <c:v>101149.34483965016</c:v>
                </c:pt>
                <c:pt idx="1">
                  <c:v>206513.24571428573</c:v>
                </c:pt>
                <c:pt idx="2">
                  <c:v>72887.027899159672</c:v>
                </c:pt>
              </c:numCache>
            </c:numRef>
          </c:xVal>
          <c:yVal>
            <c:numRef>
              <c:f>'CEA ICER 16 týdnů'!$A$8:$C$8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75A-457D-B8D1-4CC37FAE023B}"/>
            </c:ext>
          </c:extLst>
        </c:ser>
        <c:ser>
          <c:idx val="13"/>
          <c:order val="10"/>
          <c:tx>
            <c:strRef>
              <c:f>'CEA ICER 16 týdnů'!$D$7</c:f>
              <c:strCache>
                <c:ptCount val="1"/>
                <c:pt idx="0">
                  <c:v>RINVOQ (upa) 15MG TBL PRO 98 - 30mg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E-C75A-457D-B8D1-4CC37FAE023B}"/>
              </c:ext>
            </c:extLst>
          </c:dPt>
          <c:xVal>
            <c:numRef>
              <c:f>'CEA ICER 16 týdnů'!$K$7:$M$7</c:f>
              <c:numCache>
                <c:formatCode>#\ ##0\ "Kč"</c:formatCode>
                <c:ptCount val="3"/>
                <c:pt idx="0">
                  <c:v>157343.42530612246</c:v>
                </c:pt>
                <c:pt idx="1">
                  <c:v>247815.89485714288</c:v>
                </c:pt>
                <c:pt idx="2">
                  <c:v>133954.53776061776</c:v>
                </c:pt>
              </c:numCache>
            </c:numRef>
          </c:xVal>
          <c:yVal>
            <c:numRef>
              <c:f>'CEA ICER 16 týdnů'!$A$7:$C$7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75A-457D-B8D1-4CC37FAE023B}"/>
            </c:ext>
          </c:extLst>
        </c:ser>
        <c:ser>
          <c:idx val="14"/>
          <c:order val="11"/>
          <c:tx>
            <c:strRef>
              <c:f>'CEA ICER 16 týdnů'!$D$6</c:f>
              <c:strCache>
                <c:ptCount val="1"/>
                <c:pt idx="0">
                  <c:v>OLUMIANT (bari) 4MG TBL FLM 28 - 2mg 1x den. MONO-sníž.dávka (půlení!!)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1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0-C75A-457D-B8D1-4CC37FAE023B}"/>
              </c:ext>
            </c:extLst>
          </c:dPt>
          <c:xVal>
            <c:numRef>
              <c:f>'CEA ICER 16 týdnů'!$K$6:$M$6</c:f>
              <c:numCache>
                <c:formatCode>#\ ##0\ "Kč"</c:formatCode>
                <c:ptCount val="3"/>
                <c:pt idx="0">
                  <c:v>151326.91555555552</c:v>
                </c:pt>
                <c:pt idx="1">
                  <c:v>340485.56000000006</c:v>
                </c:pt>
                <c:pt idx="2">
                  <c:v>93927.051034482749</c:v>
                </c:pt>
              </c:numCache>
            </c:numRef>
          </c:xVal>
          <c:yVal>
            <c:numRef>
              <c:f>'CEA ICER 16 týdnů'!$A$6:$C$6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75A-457D-B8D1-4CC37FAE023B}"/>
            </c:ext>
          </c:extLst>
        </c:ser>
        <c:ser>
          <c:idx val="15"/>
          <c:order val="12"/>
          <c:tx>
            <c:strRef>
              <c:f>'CEA ICER 16 týdnů'!$D$5</c:f>
              <c:strCache>
                <c:ptCount val="1"/>
                <c:pt idx="0">
                  <c:v>OLUMIANT (bari) 4MG TBL FLM 28 - 4mg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2-C75A-457D-B8D1-4CC37FAE023B}"/>
              </c:ext>
            </c:extLst>
          </c:dPt>
          <c:xVal>
            <c:numRef>
              <c:f>'CEA ICER 16 týdnů'!$K$5:$M$5</c:f>
              <c:numCache>
                <c:formatCode>#\ ##0\ "Kč"</c:formatCode>
                <c:ptCount val="3"/>
                <c:pt idx="0">
                  <c:v>217910.75839999999</c:v>
                </c:pt>
                <c:pt idx="1">
                  <c:v>389126.35428571433</c:v>
                </c:pt>
                <c:pt idx="2">
                  <c:v>155650.54171428567</c:v>
                </c:pt>
              </c:numCache>
            </c:numRef>
          </c:xVal>
          <c:yVal>
            <c:numRef>
              <c:f>'CEA ICER 16 týdnů'!$A$5:$C$5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75A-457D-B8D1-4CC37FAE023B}"/>
            </c:ext>
          </c:extLst>
        </c:ser>
        <c:ser>
          <c:idx val="17"/>
          <c:order val="13"/>
          <c:tx>
            <c:strRef>
              <c:f>'CEA ICER 16 týdnů'!$D$4</c:f>
              <c:strCache>
                <c:ptCount val="1"/>
                <c:pt idx="0">
                  <c:v>DUPIXENT 300MG INJ SOL 2X2ML - 300mg ā 2 týdny MONO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4-C75A-457D-B8D1-4CC37FAE023B}"/>
              </c:ext>
            </c:extLst>
          </c:dPt>
          <c:xVal>
            <c:numRef>
              <c:f>'CEA ICER 16 týdnů'!$K$4:$M$4</c:f>
              <c:numCache>
                <c:formatCode>#\ ##0\ "Kč"</c:formatCode>
                <c:ptCount val="3"/>
                <c:pt idx="0">
                  <c:v>210003.09523809518</c:v>
                </c:pt>
                <c:pt idx="1">
                  <c:v>252003.7142857142</c:v>
                </c:pt>
                <c:pt idx="2">
                  <c:v>180002.65306122447</c:v>
                </c:pt>
              </c:numCache>
            </c:numRef>
          </c:xVal>
          <c:yVal>
            <c:numRef>
              <c:f>'CEA ICER 16 týdnů'!$A$4:$C$4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75A-457D-B8D1-4CC37FAE023B}"/>
            </c:ext>
          </c:extLst>
        </c:ser>
        <c:ser>
          <c:idx val="8"/>
          <c:order val="14"/>
          <c:tx>
            <c:strRef>
              <c:f>'CEA ICER 16 týdnů'!$D$12</c:f>
              <c:strCache>
                <c:ptCount val="1"/>
                <c:pt idx="0">
                  <c:v>RINVOQ (upa) 15MG TBL PRO 98 - 30mg 1x den. MONO-stand.dávka (NMA17)</c:v>
                </c:pt>
              </c:strCache>
            </c:strRef>
          </c:tx>
          <c:dPt>
            <c:idx val="0"/>
            <c:marker>
              <c:symbol val="triang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1C-A10C-4E6D-8174-6225F7082035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A10C-4E6D-8174-6225F7082035}"/>
              </c:ext>
            </c:extLst>
          </c:dPt>
          <c:xVal>
            <c:numRef>
              <c:f>'CEA ICER 16 týdnů'!$K$12:$M$12</c:f>
              <c:numCache>
                <c:formatCode>#\ ##0\ "Kč"</c:formatCode>
                <c:ptCount val="3"/>
                <c:pt idx="0">
                  <c:v>168010.77617433414</c:v>
                </c:pt>
                <c:pt idx="1">
                  <c:v>183567.32952380955</c:v>
                </c:pt>
                <c:pt idx="2">
                  <c:v>157343.42530612246</c:v>
                </c:pt>
              </c:numCache>
            </c:numRef>
          </c:xVal>
          <c:yVal>
            <c:numRef>
              <c:f>'CEA ICER 16 týdnů'!$A$12:$C$12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10C-4E6D-8174-6225F7082035}"/>
            </c:ext>
          </c:extLst>
        </c:ser>
        <c:ser>
          <c:idx val="10"/>
          <c:order val="15"/>
          <c:tx>
            <c:strRef>
              <c:f>'CEA ICER 16 týdnů'!$D$14</c:f>
              <c:strCache>
                <c:ptCount val="1"/>
                <c:pt idx="0">
                  <c:v>RINVOQ (upa) 15MG TBL PRO 98 - 15mg 1x den. MONO-sníž..dávka (NMA17)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A10C-4E6D-8174-6225F7082035}"/>
              </c:ext>
            </c:extLst>
          </c:dPt>
          <c:xVal>
            <c:numRef>
              <c:f>'CEA ICER 16 týdnů'!$K$14:$M$14</c:f>
              <c:numCache>
                <c:formatCode>#\ ##0\ "Kč"</c:formatCode>
                <c:ptCount val="3"/>
                <c:pt idx="0">
                  <c:v>101149.34483965016</c:v>
                </c:pt>
                <c:pt idx="1">
                  <c:v>115263.20691029901</c:v>
                </c:pt>
                <c:pt idx="2">
                  <c:v>90114.870857142858</c:v>
                </c:pt>
              </c:numCache>
            </c:numRef>
          </c:xVal>
          <c:yVal>
            <c:numRef>
              <c:f>'CEA ICER 16 týdnů'!$A$14:$C$14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10C-4E6D-8174-6225F7082035}"/>
            </c:ext>
          </c:extLst>
        </c:ser>
        <c:ser>
          <c:idx val="11"/>
          <c:order val="16"/>
          <c:tx>
            <c:strRef>
              <c:f>'CEA ICER 16 týdnů'!$D$21</c:f>
              <c:strCache>
                <c:ptCount val="1"/>
                <c:pt idx="0">
                  <c:v>EBGLYSS 250MG INJ SOL 1X2ML* - indukce do 16. týdne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A6EE-4A4B-9BC6-5EFCBC1F2FC7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A6EE-4A4B-9BC6-5EFCBC1F2FC7}"/>
              </c:ext>
            </c:extLst>
          </c:dPt>
          <c:xVal>
            <c:numRef>
              <c:f>'CEA ICER 16 týdnů'!$K$21:$M$21</c:f>
              <c:numCache>
                <c:formatCode>#\ ##0\ "Kč"</c:formatCode>
                <c:ptCount val="3"/>
                <c:pt idx="0">
                  <c:v>331895.37857142847</c:v>
                </c:pt>
                <c:pt idx="1">
                  <c:v>398274.45428571414</c:v>
                </c:pt>
                <c:pt idx="2">
                  <c:v>284481.75306122447</c:v>
                </c:pt>
              </c:numCache>
            </c:numRef>
          </c:xVal>
          <c:yVal>
            <c:numRef>
              <c:f>'CEA ICER 16 týdnů'!$A$21:$C$21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6EE-4A4B-9BC6-5EFCBC1F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7088"/>
        <c:axId val="123018624"/>
      </c:scatterChart>
      <c:valAx>
        <c:axId val="123017088"/>
        <c:scaling>
          <c:logBase val="2"/>
          <c:orientation val="minMax"/>
          <c:max val="640000"/>
          <c:min val="4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123018624"/>
        <c:crosses val="autoZero"/>
        <c:crossBetween val="midCat"/>
        <c:majorUnit val="2"/>
      </c:valAx>
      <c:valAx>
        <c:axId val="123018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3017088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37711399684798"/>
          <c:y val="9.1458789140251864E-2"/>
          <c:w val="0.2991685454290175"/>
          <c:h val="0.66231499995000997"/>
        </c:manualLayout>
      </c:layout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195659869213"/>
          <c:y val="9.3579100148752731E-2"/>
          <c:w val="0.81096432463699886"/>
          <c:h val="0.685771387796299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 rok'!$C$1</c:f>
              <c:strCache>
                <c:ptCount val="1"/>
                <c:pt idx="0">
                  <c:v>cena za první rok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xVal>
            <c:numRef>
              <c:f>'CEA - eff.frontier 1 rok'!$B$2:$B$18</c:f>
              <c:numCache>
                <c:formatCode>0.0</c:formatCode>
                <c:ptCount val="17"/>
                <c:pt idx="8">
                  <c:v>65.2</c:v>
                </c:pt>
                <c:pt idx="11">
                  <c:v>84.6</c:v>
                </c:pt>
                <c:pt idx="12">
                  <c:v>80.599999999999994</c:v>
                </c:pt>
                <c:pt idx="13">
                  <c:v>71</c:v>
                </c:pt>
                <c:pt idx="14">
                  <c:v>69</c:v>
                </c:pt>
                <c:pt idx="15">
                  <c:v>65.2</c:v>
                </c:pt>
                <c:pt idx="16">
                  <c:v>21.6</c:v>
                </c:pt>
              </c:numCache>
            </c:numRef>
          </c:xVal>
          <c:yVal>
            <c:numRef>
              <c:f>'CEA - eff.frontier 1 rok'!$C$2:$C$18</c:f>
              <c:numCache>
                <c:formatCode>_-* #\ ##0\ "Kč"_-;\-* #\ ##0\ "Kč"_-;_-* "-"??\ "Kč"_-;_-@_-</c:formatCode>
                <c:ptCount val="17"/>
                <c:pt idx="8">
                  <c:v>246963.63999999998</c:v>
                </c:pt>
                <c:pt idx="9">
                  <c:v>177538.89914285712</c:v>
                </c:pt>
                <c:pt idx="10">
                  <c:v>88769.449571428559</c:v>
                </c:pt>
                <c:pt idx="11">
                  <c:v>323045.72008163267</c:v>
                </c:pt>
                <c:pt idx="12">
                  <c:v>161522.86004081633</c:v>
                </c:pt>
                <c:pt idx="13">
                  <c:v>206038.33900000001</c:v>
                </c:pt>
                <c:pt idx="14">
                  <c:v>181663.03674999997</c:v>
                </c:pt>
                <c:pt idx="15">
                  <c:v>253447.37999999998</c:v>
                </c:pt>
                <c:pt idx="16" formatCode="#\ ##0\ &quot;Kč&quot;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70784"/>
        <c:axId val="122472320"/>
      </c:scatterChart>
      <c:valAx>
        <c:axId val="122470784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22472320"/>
        <c:crosses val="autoZero"/>
        <c:crossBetween val="midCat"/>
      </c:valAx>
      <c:valAx>
        <c:axId val="122472320"/>
        <c:scaling>
          <c:orientation val="minMax"/>
          <c:min val="0"/>
        </c:scaling>
        <c:delete val="0"/>
        <c:axPos val="l"/>
        <c:numFmt formatCode="_-* #\ ##0\ &quot;Kč&quot;_-;\-* #\ ##0\ &quot;Kč&quot;_-;_-* &quot;-&quot;??\ &quot;Kč&quot;_-;_-@_-" sourceLinked="1"/>
        <c:majorTickMark val="out"/>
        <c:minorTickMark val="none"/>
        <c:tickLblPos val="nextTo"/>
        <c:crossAx val="12247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18" Type="http://schemas.openxmlformats.org/officeDocument/2006/relationships/image" Target="../media/image3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17" Type="http://schemas.openxmlformats.org/officeDocument/2006/relationships/image" Target="../media/image35.png"/><Relationship Id="rId2" Type="http://schemas.openxmlformats.org/officeDocument/2006/relationships/image" Target="../media/image20.png"/><Relationship Id="rId16" Type="http://schemas.openxmlformats.org/officeDocument/2006/relationships/image" Target="../media/image34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5" Type="http://schemas.openxmlformats.org/officeDocument/2006/relationships/image" Target="../media/image33.png"/><Relationship Id="rId10" Type="http://schemas.openxmlformats.org/officeDocument/2006/relationships/image" Target="../media/image28.png"/><Relationship Id="rId19" Type="http://schemas.openxmlformats.org/officeDocument/2006/relationships/image" Target="../media/image37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png"/><Relationship Id="rId13" Type="http://schemas.openxmlformats.org/officeDocument/2006/relationships/image" Target="../media/image67.png"/><Relationship Id="rId3" Type="http://schemas.openxmlformats.org/officeDocument/2006/relationships/image" Target="../media/image57.png"/><Relationship Id="rId7" Type="http://schemas.openxmlformats.org/officeDocument/2006/relationships/image" Target="../media/image61.png"/><Relationship Id="rId12" Type="http://schemas.openxmlformats.org/officeDocument/2006/relationships/image" Target="../media/image66.png"/><Relationship Id="rId2" Type="http://schemas.openxmlformats.org/officeDocument/2006/relationships/image" Target="../media/image56.png"/><Relationship Id="rId1" Type="http://schemas.openxmlformats.org/officeDocument/2006/relationships/image" Target="../media/image55.png"/><Relationship Id="rId6" Type="http://schemas.openxmlformats.org/officeDocument/2006/relationships/image" Target="../media/image60.png"/><Relationship Id="rId11" Type="http://schemas.openxmlformats.org/officeDocument/2006/relationships/image" Target="../media/image65.png"/><Relationship Id="rId5" Type="http://schemas.openxmlformats.org/officeDocument/2006/relationships/image" Target="../media/image59.png"/><Relationship Id="rId15" Type="http://schemas.openxmlformats.org/officeDocument/2006/relationships/image" Target="../media/image69.png"/><Relationship Id="rId10" Type="http://schemas.openxmlformats.org/officeDocument/2006/relationships/image" Target="../media/image64.png"/><Relationship Id="rId4" Type="http://schemas.openxmlformats.org/officeDocument/2006/relationships/image" Target="../media/image58.png"/><Relationship Id="rId9" Type="http://schemas.openxmlformats.org/officeDocument/2006/relationships/image" Target="../media/image63.png"/><Relationship Id="rId14" Type="http://schemas.openxmlformats.org/officeDocument/2006/relationships/image" Target="../media/image6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5" Type="http://schemas.openxmlformats.org/officeDocument/2006/relationships/image" Target="../media/image74.png"/><Relationship Id="rId4" Type="http://schemas.openxmlformats.org/officeDocument/2006/relationships/image" Target="../media/image73.png"/><Relationship Id="rId9" Type="http://schemas.openxmlformats.org/officeDocument/2006/relationships/image" Target="../media/image78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1.png"/><Relationship Id="rId18" Type="http://schemas.openxmlformats.org/officeDocument/2006/relationships/image" Target="../media/image96.png"/><Relationship Id="rId26" Type="http://schemas.openxmlformats.org/officeDocument/2006/relationships/image" Target="../media/image104.png"/><Relationship Id="rId39" Type="http://schemas.openxmlformats.org/officeDocument/2006/relationships/image" Target="../media/image117.png"/><Relationship Id="rId21" Type="http://schemas.openxmlformats.org/officeDocument/2006/relationships/image" Target="../media/image99.png"/><Relationship Id="rId34" Type="http://schemas.openxmlformats.org/officeDocument/2006/relationships/image" Target="../media/image112.png"/><Relationship Id="rId42" Type="http://schemas.openxmlformats.org/officeDocument/2006/relationships/image" Target="../media/image120.png"/><Relationship Id="rId47" Type="http://schemas.openxmlformats.org/officeDocument/2006/relationships/image" Target="../media/image125.png"/><Relationship Id="rId50" Type="http://schemas.openxmlformats.org/officeDocument/2006/relationships/image" Target="../media/image128.png"/><Relationship Id="rId55" Type="http://schemas.openxmlformats.org/officeDocument/2006/relationships/image" Target="../media/image133.png"/><Relationship Id="rId7" Type="http://schemas.openxmlformats.org/officeDocument/2006/relationships/image" Target="../media/image85.png"/><Relationship Id="rId12" Type="http://schemas.openxmlformats.org/officeDocument/2006/relationships/image" Target="../media/image90.png"/><Relationship Id="rId17" Type="http://schemas.openxmlformats.org/officeDocument/2006/relationships/image" Target="../media/image95.png"/><Relationship Id="rId25" Type="http://schemas.openxmlformats.org/officeDocument/2006/relationships/image" Target="../media/image103.png"/><Relationship Id="rId33" Type="http://schemas.openxmlformats.org/officeDocument/2006/relationships/image" Target="../media/image111.png"/><Relationship Id="rId38" Type="http://schemas.openxmlformats.org/officeDocument/2006/relationships/image" Target="../media/image116.png"/><Relationship Id="rId46" Type="http://schemas.openxmlformats.org/officeDocument/2006/relationships/image" Target="../media/image124.png"/><Relationship Id="rId2" Type="http://schemas.openxmlformats.org/officeDocument/2006/relationships/image" Target="../media/image80.png"/><Relationship Id="rId16" Type="http://schemas.openxmlformats.org/officeDocument/2006/relationships/image" Target="../media/image94.png"/><Relationship Id="rId20" Type="http://schemas.openxmlformats.org/officeDocument/2006/relationships/image" Target="../media/image98.png"/><Relationship Id="rId29" Type="http://schemas.openxmlformats.org/officeDocument/2006/relationships/image" Target="../media/image107.png"/><Relationship Id="rId41" Type="http://schemas.openxmlformats.org/officeDocument/2006/relationships/image" Target="../media/image119.png"/><Relationship Id="rId54" Type="http://schemas.openxmlformats.org/officeDocument/2006/relationships/image" Target="../media/image132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11" Type="http://schemas.openxmlformats.org/officeDocument/2006/relationships/image" Target="../media/image89.png"/><Relationship Id="rId24" Type="http://schemas.openxmlformats.org/officeDocument/2006/relationships/image" Target="../media/image102.png"/><Relationship Id="rId32" Type="http://schemas.openxmlformats.org/officeDocument/2006/relationships/image" Target="../media/image110.png"/><Relationship Id="rId37" Type="http://schemas.openxmlformats.org/officeDocument/2006/relationships/image" Target="../media/image115.png"/><Relationship Id="rId40" Type="http://schemas.openxmlformats.org/officeDocument/2006/relationships/image" Target="../media/image118.png"/><Relationship Id="rId45" Type="http://schemas.openxmlformats.org/officeDocument/2006/relationships/image" Target="../media/image123.png"/><Relationship Id="rId53" Type="http://schemas.openxmlformats.org/officeDocument/2006/relationships/image" Target="../media/image131.png"/><Relationship Id="rId5" Type="http://schemas.openxmlformats.org/officeDocument/2006/relationships/image" Target="../media/image83.png"/><Relationship Id="rId15" Type="http://schemas.openxmlformats.org/officeDocument/2006/relationships/image" Target="../media/image93.png"/><Relationship Id="rId23" Type="http://schemas.openxmlformats.org/officeDocument/2006/relationships/image" Target="../media/image101.png"/><Relationship Id="rId28" Type="http://schemas.openxmlformats.org/officeDocument/2006/relationships/image" Target="../media/image106.png"/><Relationship Id="rId36" Type="http://schemas.openxmlformats.org/officeDocument/2006/relationships/image" Target="../media/image114.png"/><Relationship Id="rId49" Type="http://schemas.openxmlformats.org/officeDocument/2006/relationships/image" Target="../media/image127.png"/><Relationship Id="rId57" Type="http://schemas.openxmlformats.org/officeDocument/2006/relationships/image" Target="../media/image135.png"/><Relationship Id="rId10" Type="http://schemas.openxmlformats.org/officeDocument/2006/relationships/image" Target="../media/image88.png"/><Relationship Id="rId19" Type="http://schemas.openxmlformats.org/officeDocument/2006/relationships/image" Target="../media/image97.png"/><Relationship Id="rId31" Type="http://schemas.openxmlformats.org/officeDocument/2006/relationships/image" Target="../media/image109.png"/><Relationship Id="rId44" Type="http://schemas.openxmlformats.org/officeDocument/2006/relationships/image" Target="../media/image122.png"/><Relationship Id="rId52" Type="http://schemas.openxmlformats.org/officeDocument/2006/relationships/image" Target="../media/image130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Relationship Id="rId14" Type="http://schemas.openxmlformats.org/officeDocument/2006/relationships/image" Target="../media/image92.png"/><Relationship Id="rId22" Type="http://schemas.openxmlformats.org/officeDocument/2006/relationships/image" Target="../media/image100.png"/><Relationship Id="rId27" Type="http://schemas.openxmlformats.org/officeDocument/2006/relationships/image" Target="../media/image105.png"/><Relationship Id="rId30" Type="http://schemas.openxmlformats.org/officeDocument/2006/relationships/image" Target="../media/image108.png"/><Relationship Id="rId35" Type="http://schemas.openxmlformats.org/officeDocument/2006/relationships/image" Target="../media/image113.png"/><Relationship Id="rId43" Type="http://schemas.openxmlformats.org/officeDocument/2006/relationships/image" Target="../media/image121.png"/><Relationship Id="rId48" Type="http://schemas.openxmlformats.org/officeDocument/2006/relationships/image" Target="../media/image126.png"/><Relationship Id="rId56" Type="http://schemas.openxmlformats.org/officeDocument/2006/relationships/image" Target="../media/image134.png"/><Relationship Id="rId8" Type="http://schemas.openxmlformats.org/officeDocument/2006/relationships/image" Target="../media/image86.png"/><Relationship Id="rId51" Type="http://schemas.openxmlformats.org/officeDocument/2006/relationships/image" Target="../media/image129.png"/><Relationship Id="rId3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4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1391900" y="755650"/>
          <a:ext cx="0" cy="20256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19</xdr:col>
      <xdr:colOff>0</xdr:colOff>
      <xdr:row>7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3782675" y="561975"/>
          <a:ext cx="0" cy="111759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635000</xdr:colOff>
      <xdr:row>12</xdr:row>
      <xdr:rowOff>395110</xdr:rowOff>
    </xdr:from>
    <xdr:to>
      <xdr:col>23</xdr:col>
      <xdr:colOff>690563</xdr:colOff>
      <xdr:row>13</xdr:row>
      <xdr:rowOff>349249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1726333" y="7464777"/>
          <a:ext cx="55563" cy="5397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0</xdr:colOff>
      <xdr:row>9</xdr:row>
      <xdr:rowOff>581026</xdr:rowOff>
    </xdr:from>
    <xdr:to>
      <xdr:col>1</xdr:col>
      <xdr:colOff>104775</xdr:colOff>
      <xdr:row>13</xdr:row>
      <xdr:rowOff>28576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0" y="5343526"/>
          <a:ext cx="1943100" cy="1905000"/>
        </a:xfrm>
        <a:prstGeom prst="ellipse">
          <a:avLst/>
        </a:prstGeom>
        <a:solidFill>
          <a:schemeClr val="tx1">
            <a:lumMod val="50000"/>
            <a:lumOff val="50000"/>
            <a:alpha val="38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23</xdr:col>
      <xdr:colOff>668690</xdr:colOff>
      <xdr:row>12</xdr:row>
      <xdr:rowOff>347485</xdr:rowOff>
    </xdr:from>
    <xdr:to>
      <xdr:col>23</xdr:col>
      <xdr:colOff>670278</xdr:colOff>
      <xdr:row>13</xdr:row>
      <xdr:rowOff>222249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1760023" y="7417152"/>
          <a:ext cx="1588" cy="4603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23</xdr:col>
      <xdr:colOff>585612</xdr:colOff>
      <xdr:row>12</xdr:row>
      <xdr:rowOff>335138</xdr:rowOff>
    </xdr:from>
    <xdr:to>
      <xdr:col>23</xdr:col>
      <xdr:colOff>593548</xdr:colOff>
      <xdr:row>13</xdr:row>
      <xdr:rowOff>278694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>
          <a:off x="11676945" y="7404805"/>
          <a:ext cx="7936" cy="5291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/>
            <a:t>=K11</a:t>
          </a:r>
        </a:p>
      </xdr:txBody>
    </xdr:sp>
    <xdr:clientData/>
  </xdr:twoCellAnchor>
  <xdr:twoCellAnchor>
    <xdr:from>
      <xdr:col>23</xdr:col>
      <xdr:colOff>447145</xdr:colOff>
      <xdr:row>17</xdr:row>
      <xdr:rowOff>15875</xdr:rowOff>
    </xdr:from>
    <xdr:to>
      <xdr:col>23</xdr:col>
      <xdr:colOff>944563</xdr:colOff>
      <xdr:row>22</xdr:row>
      <xdr:rowOff>177270</xdr:rowOff>
    </xdr:to>
    <xdr:sp macro="" textlink="">
      <xdr:nvSpPr>
        <xdr:cNvPr id="11" name="Ová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12567708" y="9620250"/>
          <a:ext cx="497418" cy="57414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25397</xdr:colOff>
      <xdr:row>15</xdr:row>
      <xdr:rowOff>104775</xdr:rowOff>
    </xdr:from>
    <xdr:to>
      <xdr:col>6</xdr:col>
      <xdr:colOff>1695449</xdr:colOff>
      <xdr:row>15</xdr:row>
      <xdr:rowOff>619125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5473697" y="8610600"/>
          <a:ext cx="3375027" cy="514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4</xdr:col>
      <xdr:colOff>900111</xdr:colOff>
      <xdr:row>9</xdr:row>
      <xdr:rowOff>602457</xdr:rowOff>
    </xdr:from>
    <xdr:to>
      <xdr:col>14</xdr:col>
      <xdr:colOff>59532</xdr:colOff>
      <xdr:row>13</xdr:row>
      <xdr:rowOff>30957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>
          <a:off x="5424486" y="5614988"/>
          <a:ext cx="3481390" cy="1881188"/>
        </a:xfrm>
        <a:prstGeom prst="ellipse">
          <a:avLst/>
        </a:prstGeom>
        <a:solidFill>
          <a:schemeClr val="tx1">
            <a:lumMod val="50000"/>
            <a:lumOff val="50000"/>
            <a:alpha val="38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1217083</xdr:colOff>
      <xdr:row>10</xdr:row>
      <xdr:rowOff>264584</xdr:rowOff>
    </xdr:from>
    <xdr:to>
      <xdr:col>6</xdr:col>
      <xdr:colOff>264584</xdr:colOff>
      <xdr:row>12</xdr:row>
      <xdr:rowOff>285750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67500" y="6064251"/>
          <a:ext cx="529167" cy="129116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algn="ctr"/>
          <a:r>
            <a:rPr lang="cs-CZ" sz="1000" b="0" u="sng"/>
            <a:t>nákladově nejefektivnější LP !!</a:t>
          </a:r>
        </a:p>
      </xdr:txBody>
    </xdr:sp>
    <xdr:clientData/>
  </xdr:twoCellAnchor>
  <xdr:twoCellAnchor>
    <xdr:from>
      <xdr:col>14</xdr:col>
      <xdr:colOff>107157</xdr:colOff>
      <xdr:row>15</xdr:row>
      <xdr:rowOff>107156</xdr:rowOff>
    </xdr:from>
    <xdr:to>
      <xdr:col>18</xdr:col>
      <xdr:colOff>488156</xdr:colOff>
      <xdr:row>15</xdr:row>
      <xdr:rowOff>583406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441532" y="8941594"/>
          <a:ext cx="6286499" cy="47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195790</xdr:colOff>
      <xdr:row>0</xdr:row>
      <xdr:rowOff>74083</xdr:rowOff>
    </xdr:from>
    <xdr:to>
      <xdr:col>18</xdr:col>
      <xdr:colOff>0</xdr:colOff>
      <xdr:row>17</xdr:row>
      <xdr:rowOff>74083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539747</xdr:colOff>
      <xdr:row>14</xdr:row>
      <xdr:rowOff>52913</xdr:rowOff>
    </xdr:from>
    <xdr:to>
      <xdr:col>5</xdr:col>
      <xdr:colOff>158748</xdr:colOff>
      <xdr:row>14</xdr:row>
      <xdr:rowOff>359830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84330" y="5154080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14</xdr:col>
      <xdr:colOff>275167</xdr:colOff>
      <xdr:row>8</xdr:row>
      <xdr:rowOff>158750</xdr:rowOff>
    </xdr:from>
    <xdr:to>
      <xdr:col>15</xdr:col>
      <xdr:colOff>63500</xdr:colOff>
      <xdr:row>10</xdr:row>
      <xdr:rowOff>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2001500" y="3376083"/>
          <a:ext cx="402167" cy="50800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0.33412</cdr:x>
      <cdr:y>0.61953</cdr:y>
    </cdr:from>
    <cdr:to>
      <cdr:x>0.71883</cdr:x>
      <cdr:y>0.84184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3152437" y="4095750"/>
          <a:ext cx="3629718" cy="146970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0.28127</cdr:x>
      <cdr:y>0.73285</cdr:y>
    </cdr:from>
    <cdr:to>
      <cdr:x>0.42914</cdr:x>
      <cdr:y>0.79369</cdr:y>
    </cdr:to>
    <cdr:sp macro="" textlink="">
      <cdr:nvSpPr>
        <cdr:cNvPr id="8" name="TextovéPole 5"/>
        <cdr:cNvSpPr txBox="1"/>
      </cdr:nvSpPr>
      <cdr:spPr>
        <a:xfrm xmlns:a="http://schemas.openxmlformats.org/drawingml/2006/main">
          <a:off x="2534719" y="4863028"/>
          <a:ext cx="1332561" cy="40371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MONO</a:t>
          </a:r>
          <a:endParaRPr lang="cs-CZ" sz="900"/>
        </a:p>
      </cdr:txBody>
    </cdr:sp>
  </cdr:relSizeAnchor>
  <cdr:relSizeAnchor xmlns:cdr="http://schemas.openxmlformats.org/drawingml/2006/chartDrawing">
    <cdr:from>
      <cdr:x>0.26718</cdr:x>
      <cdr:y>0.60766</cdr:y>
    </cdr:from>
    <cdr:to>
      <cdr:x>0.46831</cdr:x>
      <cdr:y>0.71025</cdr:y>
    </cdr:to>
    <cdr:cxnSp macro="">
      <cdr:nvCxnSpPr>
        <cdr:cNvPr id="9" name="Přímá spojnice se šipkou 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520855" y="4017274"/>
          <a:ext cx="1897688" cy="6781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0.21069</cdr:x>
      <cdr:y>0.77556</cdr:y>
    </cdr:from>
    <cdr:to>
      <cdr:x>0.2988</cdr:x>
      <cdr:y>0.82214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1898717" y="4826337"/>
          <a:ext cx="794022" cy="289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solidFill>
                <a:schemeClr val="accent4">
                  <a:lumMod val="75000"/>
                </a:schemeClr>
              </a:solidFill>
            </a:rPr>
            <a:t>placebo</a:t>
          </a:r>
        </a:p>
      </cdr:txBody>
    </cdr:sp>
  </cdr:relSizeAnchor>
  <cdr:relSizeAnchor xmlns:cdr="http://schemas.openxmlformats.org/drawingml/2006/chartDrawing">
    <cdr:from>
      <cdr:x>0.18497</cdr:x>
      <cdr:y>0.56293</cdr:y>
    </cdr:from>
    <cdr:to>
      <cdr:x>0.46565</cdr:x>
      <cdr:y>0.63381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1666876" y="3735463"/>
          <a:ext cx="2529427" cy="470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OLUMIANT (bari) 4MG TBL FLM 28 - 2mg 1x denně MONO - snížená dáv. </a:t>
          </a:r>
          <a:r>
            <a:rPr lang="cs-CZ" sz="900" b="1">
              <a:solidFill>
                <a:schemeClr val="tx1"/>
              </a:solidFill>
            </a:rPr>
            <a:t>(</a:t>
          </a:r>
          <a:r>
            <a:rPr lang="cs-CZ" sz="900" b="1" u="sng">
              <a:solidFill>
                <a:schemeClr val="tx1"/>
              </a:solidFill>
            </a:rPr>
            <a:t>půlení tbl!!) </a:t>
          </a:r>
          <a:r>
            <a:rPr lang="cs-CZ" sz="900" b="1" u="none">
              <a:solidFill>
                <a:schemeClr val="tx1"/>
              </a:solidFill>
            </a:rPr>
            <a:t>- </a:t>
          </a:r>
          <a:r>
            <a:rPr lang="cs-CZ" sz="900" b="1" u="none">
              <a:solidFill>
                <a:schemeClr val="accent2">
                  <a:lumMod val="75000"/>
                </a:schemeClr>
              </a:solidFill>
            </a:rPr>
            <a:t>CAVE! rozdílné hodnoty dle NMA (viz pozn. 38), </a:t>
          </a:r>
          <a:r>
            <a:rPr lang="cs-CZ" sz="900" b="1" u="none">
              <a:solidFill>
                <a:srgbClr val="0070C0"/>
              </a:solidFill>
            </a:rPr>
            <a:t>+ TCS</a:t>
          </a:r>
        </a:p>
      </cdr:txBody>
    </cdr:sp>
  </cdr:relSizeAnchor>
  <cdr:relSizeAnchor xmlns:cdr="http://schemas.openxmlformats.org/drawingml/2006/chartDrawing">
    <cdr:from>
      <cdr:x>0.27305</cdr:x>
      <cdr:y>0.81122</cdr:y>
    </cdr:from>
    <cdr:to>
      <cdr:x>0.31885</cdr:x>
      <cdr:y>0.82993</cdr:y>
    </cdr:to>
    <cdr:cxnSp macro="">
      <cdr:nvCxnSpPr>
        <cdr:cNvPr id="13" name="Přímá spojnice se šipkou 12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60627" y="5048250"/>
          <a:ext cx="412750" cy="1164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0.44451</cdr:x>
      <cdr:y>0.47901</cdr:y>
    </cdr:from>
    <cdr:to>
      <cdr:x>0.69465</cdr:x>
      <cdr:y>0.54173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4005793" y="3178573"/>
          <a:ext cx="2254235" cy="416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 u="sng">
              <a:solidFill>
                <a:schemeClr val="accent4">
                  <a:lumMod val="75000"/>
                </a:schemeClr>
              </a:solidFill>
            </a:rPr>
            <a:t>RINVOQ (upa) 15MG TBL PRO 98 - 15mg 1x denně MONO</a:t>
          </a:r>
          <a:r>
            <a:rPr lang="cs-CZ" sz="1000" b="1" u="sng" baseline="0">
              <a:solidFill>
                <a:schemeClr val="accent4">
                  <a:lumMod val="75000"/>
                </a:schemeClr>
              </a:solidFill>
            </a:rPr>
            <a:t> - snížená dáv</a:t>
          </a:r>
          <a:r>
            <a:rPr lang="cs-CZ" sz="900" b="1" u="sng" baseline="0">
              <a:solidFill>
                <a:schemeClr val="accent4">
                  <a:lumMod val="75000"/>
                </a:schemeClr>
              </a:solidFill>
            </a:rPr>
            <a:t>.</a:t>
          </a:r>
          <a:endParaRPr lang="cs-CZ" sz="900" b="1" u="sng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0.57957</cdr:x>
      <cdr:y>0.5311</cdr:y>
    </cdr:from>
    <cdr:to>
      <cdr:x>0.71658</cdr:x>
      <cdr:y>0.60672</cdr:y>
    </cdr:to>
    <cdr:cxnSp macro="">
      <cdr:nvCxnSpPr>
        <cdr:cNvPr id="17" name="Přímá spojnice se šipkou 1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468268" y="3511132"/>
          <a:ext cx="1292720" cy="49995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0.56174</cdr:x>
      <cdr:y>0.42954</cdr:y>
    </cdr:from>
    <cdr:to>
      <cdr:x>0.75103</cdr:x>
      <cdr:y>0.54386</cdr:y>
    </cdr:to>
    <cdr:cxnSp macro="">
      <cdr:nvCxnSpPr>
        <cdr:cNvPr id="20" name="Přímá spojnice se šipkou 19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062276" y="2850341"/>
          <a:ext cx="1705767" cy="7585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0.38166</cdr:x>
      <cdr:y>0.39209</cdr:y>
    </cdr:from>
    <cdr:to>
      <cdr:x>0.60715</cdr:x>
      <cdr:y>0.44266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3439374" y="2601796"/>
          <a:ext cx="2032050" cy="335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200MG TBL FLM 28  - 200mg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stand.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0.72754</cdr:x>
      <cdr:y>0.25997</cdr:y>
    </cdr:from>
    <cdr:to>
      <cdr:x>0.83171</cdr:x>
      <cdr:y>0.36478</cdr:y>
    </cdr:to>
    <cdr:cxnSp macro="">
      <cdr:nvCxnSpPr>
        <cdr:cNvPr id="28" name="Přímá spojnice se šipkou 27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556376" y="1725084"/>
          <a:ext cx="938714" cy="69553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0.74399</cdr:x>
      <cdr:y>0.68991</cdr:y>
    </cdr:from>
    <cdr:to>
      <cdr:x>0.97651</cdr:x>
      <cdr:y>0.75263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704579" y="4578068"/>
          <a:ext cx="2095464" cy="416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0.48588</cdr:x>
      <cdr:y>0.81234</cdr:y>
    </cdr:from>
    <cdr:to>
      <cdr:x>0.52789</cdr:x>
      <cdr:y>0.83163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378632" y="5055217"/>
          <a:ext cx="378578" cy="12003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0.63439</cdr:x>
      <cdr:y>0.19843</cdr:y>
    </cdr:from>
    <cdr:to>
      <cdr:x>0.854</cdr:x>
      <cdr:y>0.26115</cdr:y>
    </cdr:to>
    <cdr:sp macro="" textlink="">
      <cdr:nvSpPr>
        <cdr:cNvPr id="40" name="TextovéPole 1"/>
        <cdr:cNvSpPr txBox="1"/>
      </cdr:nvSpPr>
      <cdr:spPr>
        <a:xfrm xmlns:a="http://schemas.openxmlformats.org/drawingml/2006/main">
          <a:off x="5716920" y="1316765"/>
          <a:ext cx="1979062" cy="416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RINVOQ (upa) 15MG TBL PRO 98 - 30mg 1x denně MONO - stand. dáv.</a:t>
          </a:r>
        </a:p>
      </cdr:txBody>
    </cdr:sp>
  </cdr:relSizeAnchor>
  <cdr:relSizeAnchor xmlns:cdr="http://schemas.openxmlformats.org/drawingml/2006/chartDrawing">
    <cdr:from>
      <cdr:x>0.89792</cdr:x>
      <cdr:y>0.27751</cdr:y>
    </cdr:from>
    <cdr:to>
      <cdr:x>0.90722</cdr:x>
      <cdr:y>0.34292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>
          <a:off x="8091835" y="1841500"/>
          <a:ext cx="83791" cy="4340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prvních 16 týdnů léčby </a:t>
          </a:r>
        </a:p>
      </cdr:txBody>
    </cdr:sp>
  </cdr:relSizeAnchor>
  <cdr:relSizeAnchor xmlns:cdr="http://schemas.openxmlformats.org/drawingml/2006/chartDrawing">
    <cdr:from>
      <cdr:x>0.32237</cdr:x>
      <cdr:y>0.88004</cdr:y>
    </cdr:from>
    <cdr:to>
      <cdr:x>0.9312</cdr:x>
      <cdr:y>0.91837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905126" y="5476476"/>
          <a:ext cx="5486559" cy="2385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EASI-50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0.01388</cdr:x>
      <cdr:y>0.87722</cdr:y>
    </cdr:from>
    <cdr:to>
      <cdr:x>0.99155</cdr:x>
      <cdr:y>0.9483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21710" y="5746750"/>
          <a:ext cx="8572500" cy="46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0.83793</cdr:x>
      <cdr:y>0.62201</cdr:y>
    </cdr:from>
    <cdr:to>
      <cdr:x>0.84498</cdr:x>
      <cdr:y>0.69059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551210" y="4127500"/>
          <a:ext cx="63500" cy="45508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0.42337</cdr:x>
      <cdr:y>0.23662</cdr:y>
    </cdr:from>
    <cdr:to>
      <cdr:x>0.65309</cdr:x>
      <cdr:y>0.28719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815293" y="1570165"/>
          <a:ext cx="2070135" cy="335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DUPIXENT 300MG INJ SOL 2X2ML - 300mg ā 2 týdny MONO, </a:t>
          </a:r>
          <a:r>
            <a:rPr lang="cs-CZ" sz="900" b="1">
              <a:solidFill>
                <a:srgbClr val="7030A0"/>
              </a:solidFill>
            </a:rPr>
            <a:t>+ TCS</a:t>
          </a:r>
        </a:p>
      </cdr:txBody>
    </cdr:sp>
  </cdr:relSizeAnchor>
  <cdr:relSizeAnchor xmlns:cdr="http://schemas.openxmlformats.org/drawingml/2006/chartDrawing">
    <cdr:from>
      <cdr:x>0.54668</cdr:x>
      <cdr:y>0.29027</cdr:y>
    </cdr:from>
    <cdr:to>
      <cdr:x>0.6606</cdr:x>
      <cdr:y>0.41946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926543" y="1926167"/>
          <a:ext cx="1026583" cy="8572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0.10628</cdr:x>
      <cdr:y>0</cdr:y>
    </cdr:from>
    <cdr:to>
      <cdr:x>0.87199</cdr:x>
      <cdr:y>0.07313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957794" y="0"/>
          <a:ext cx="6900334" cy="45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EASI-50 v % pacientů (jen bodové hodnoty) oproti ceně intervence za prvních 16 týdnů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cs-CZ" sz="1100">
              <a:effectLst/>
              <a:latin typeface="+mn-lt"/>
              <a:ea typeface="+mn-ea"/>
              <a:cs typeface="+mn-cs"/>
            </a:rPr>
            <a:t>  (podtržena je nákladově nejefektivnější intervence, 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červeným oválem je zvýrazněn LP EBGLYS</a:t>
          </a:r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cs-CZ" sz="1100">
              <a:effectLst/>
              <a:latin typeface="+mn-lt"/>
              <a:ea typeface="+mn-ea"/>
              <a:cs typeface="+mn-cs"/>
            </a:rPr>
            <a:t>)</a:t>
          </a:r>
          <a:endParaRPr lang="cs-CZ" sz="1200"/>
        </a:p>
      </cdr:txBody>
    </cdr:sp>
  </cdr:relSizeAnchor>
  <cdr:relSizeAnchor xmlns:cdr="http://schemas.openxmlformats.org/drawingml/2006/chartDrawing">
    <cdr:from>
      <cdr:x>0.89078</cdr:x>
      <cdr:y>0.51301</cdr:y>
    </cdr:from>
    <cdr:to>
      <cdr:x>1</cdr:x>
      <cdr:y>0.64736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8027452" y="3404213"/>
          <a:ext cx="984258" cy="891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 TCS</a:t>
          </a:r>
        </a:p>
      </cdr:txBody>
    </cdr:sp>
  </cdr:relSizeAnchor>
  <cdr:relSizeAnchor xmlns:cdr="http://schemas.openxmlformats.org/drawingml/2006/chartDrawing">
    <cdr:from>
      <cdr:x>0.87552</cdr:x>
      <cdr:y>0.55168</cdr:y>
    </cdr:from>
    <cdr:to>
      <cdr:x>0.89783</cdr:x>
      <cdr:y>0.56359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889922" y="3660837"/>
          <a:ext cx="201051" cy="7903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0.73341</cdr:x>
      <cdr:y>0.55821</cdr:y>
    </cdr:from>
    <cdr:to>
      <cdr:x>0.76277</cdr:x>
      <cdr:y>0.60128</cdr:y>
    </cdr:to>
    <cdr:cxnSp macro="">
      <cdr:nvCxnSpPr>
        <cdr:cNvPr id="51" name="Přímá spojnice 50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6609293" y="3704168"/>
          <a:ext cx="264583" cy="28574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0.54534</cdr:x>
      <cdr:y>0.61564</cdr:y>
    </cdr:from>
    <cdr:to>
      <cdr:x>0.82716</cdr:x>
      <cdr:y>0.83725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5145266" y="4070042"/>
          <a:ext cx="2658994" cy="146504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0.42372</cdr:x>
      <cdr:y>0.77857</cdr:y>
    </cdr:from>
    <cdr:to>
      <cdr:x>0.53964</cdr:x>
      <cdr:y>0.82515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3818465" y="4845049"/>
          <a:ext cx="1044578" cy="289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0.18027</cdr:x>
      <cdr:y>0.47566</cdr:y>
    </cdr:from>
    <cdr:to>
      <cdr:x>0.41902</cdr:x>
      <cdr:y>0.53838</cdr:y>
    </cdr:to>
    <cdr:sp macro="" textlink="">
      <cdr:nvSpPr>
        <cdr:cNvPr id="75" name="TextovéPole 1"/>
        <cdr:cNvSpPr txBox="1"/>
      </cdr:nvSpPr>
      <cdr:spPr>
        <a:xfrm xmlns:a="http://schemas.openxmlformats.org/drawingml/2006/main">
          <a:off x="1624543" y="3156394"/>
          <a:ext cx="2151572" cy="416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none">
              <a:solidFill>
                <a:schemeClr val="accent4">
                  <a:lumMod val="75000"/>
                </a:schemeClr>
              </a:solidFill>
            </a:rPr>
            <a:t>OLUMIANT (bari) 4MG TBL FLM 28 - 4mg 1x denně MONO - stand. dáv., </a:t>
          </a:r>
          <a:r>
            <a:rPr lang="cs-CZ" sz="900" b="1" u="none">
              <a:solidFill>
                <a:srgbClr val="0070C0"/>
              </a:solidFill>
            </a:rPr>
            <a:t>+ TCS</a:t>
          </a:r>
        </a:p>
      </cdr:txBody>
    </cdr:sp>
  </cdr:relSizeAnchor>
  <cdr:relSizeAnchor xmlns:cdr="http://schemas.openxmlformats.org/drawingml/2006/chartDrawing">
    <cdr:from>
      <cdr:x>0.26718</cdr:x>
      <cdr:y>0.52791</cdr:y>
    </cdr:from>
    <cdr:to>
      <cdr:x>0.52215</cdr:x>
      <cdr:y>0.58645</cdr:y>
    </cdr:to>
    <cdr:cxnSp macro="">
      <cdr:nvCxnSpPr>
        <cdr:cNvPr id="76" name="Přímá spojnice se šipkou 75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520855" y="3490043"/>
          <a:ext cx="2405688" cy="38698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0.18245</cdr:x>
      <cdr:y>0.6605</cdr:y>
    </cdr:from>
    <cdr:to>
      <cdr:x>0.40793</cdr:x>
      <cdr:y>0.71107</cdr:y>
    </cdr:to>
    <cdr:sp macro="" textlink="">
      <cdr:nvSpPr>
        <cdr:cNvPr id="80" name="TextovéPole 1"/>
        <cdr:cNvSpPr txBox="1"/>
      </cdr:nvSpPr>
      <cdr:spPr>
        <a:xfrm xmlns:a="http://schemas.openxmlformats.org/drawingml/2006/main">
          <a:off x="1644208" y="4382939"/>
          <a:ext cx="2031961" cy="335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100MG TBL FLM 28  - 100mg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snížená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0.38344</cdr:x>
      <cdr:y>0.58852</cdr:y>
    </cdr:from>
    <cdr:to>
      <cdr:x>0.60893</cdr:x>
      <cdr:y>0.67943</cdr:y>
    </cdr:to>
    <cdr:cxnSp macro="">
      <cdr:nvCxnSpPr>
        <cdr:cNvPr id="81" name="Přímá spojnice se šipkou 80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V="1">
          <a:off x="3455460" y="3905250"/>
          <a:ext cx="2032000" cy="6032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0.6821</cdr:x>
      <cdr:y>0.39844</cdr:y>
    </cdr:from>
    <cdr:to>
      <cdr:x>0.79131</cdr:x>
      <cdr:y>0.53279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6146857" y="2643932"/>
          <a:ext cx="984169" cy="891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 TCS</a:t>
          </a:r>
        </a:p>
      </cdr:txBody>
    </cdr:sp>
  </cdr:relSizeAnchor>
  <cdr:relSizeAnchor xmlns:cdr="http://schemas.openxmlformats.org/drawingml/2006/chartDrawing">
    <cdr:from>
      <cdr:x>0.85085</cdr:x>
      <cdr:y>0.19139</cdr:y>
    </cdr:from>
    <cdr:to>
      <cdr:x>0.98473</cdr:x>
      <cdr:y>0.2875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7667626" y="1270000"/>
          <a:ext cx="1206500" cy="637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0.61623</cdr:x>
      <cdr:y>0.76359</cdr:y>
    </cdr:from>
    <cdr:to>
      <cdr:x>0.79095</cdr:x>
      <cdr:y>0.82443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5553313" y="5067016"/>
          <a:ext cx="1574526" cy="403719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komb. s  TCS</a:t>
          </a:r>
          <a:endParaRPr lang="cs-CZ" sz="900"/>
        </a:p>
      </cdr:txBody>
    </cdr:sp>
  </cdr:relSizeAnchor>
  <cdr:relSizeAnchor xmlns:cdr="http://schemas.openxmlformats.org/drawingml/2006/chartDrawing">
    <cdr:from>
      <cdr:x>0.37193</cdr:x>
      <cdr:y>0.08591</cdr:y>
    </cdr:from>
    <cdr:to>
      <cdr:x>0.98849</cdr:x>
      <cdr:y>0.20794</cdr:y>
    </cdr:to>
    <cdr:sp macro="" textlink="">
      <cdr:nvSpPr>
        <cdr:cNvPr id="90" name="Ovál 89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1C000000}"/>
            </a:ext>
          </a:extLst>
        </cdr:cNvPr>
        <cdr:cNvSpPr/>
      </cdr:nvSpPr>
      <cdr:spPr>
        <a:xfrm xmlns:a="http://schemas.openxmlformats.org/drawingml/2006/main">
          <a:off x="3469854" y="567974"/>
          <a:ext cx="5752017" cy="8067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0.77334</cdr:x>
      <cdr:y>0.39114</cdr:y>
    </cdr:from>
    <cdr:to>
      <cdr:x>0.83474</cdr:x>
      <cdr:y>0.53908</cdr:y>
    </cdr:to>
    <cdr:cxnSp macro="">
      <cdr:nvCxnSpPr>
        <cdr:cNvPr id="53" name="Přímá spojnice 52">
          <a:extLst xmlns:a="http://schemas.openxmlformats.org/drawingml/2006/main">
            <a:ext uri="{FF2B5EF4-FFF2-40B4-BE49-F238E27FC236}">
              <a16:creationId xmlns:a16="http://schemas.microsoft.com/office/drawing/2014/main" id="{999BF562-036F-421E-BBBA-F93113047CED}"/>
            </a:ext>
          </a:extLst>
        </cdr:cNvPr>
        <cdr:cNvCxnSpPr/>
      </cdr:nvCxnSpPr>
      <cdr:spPr>
        <a:xfrm xmlns:a="http://schemas.openxmlformats.org/drawingml/2006/main" flipV="1">
          <a:off x="7296496" y="2585861"/>
          <a:ext cx="579270" cy="97802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0.86913</cdr:x>
      <cdr:y>0.39221</cdr:y>
    </cdr:from>
    <cdr:to>
      <cdr:x>0.8968</cdr:x>
      <cdr:y>0.53629</cdr:y>
    </cdr:to>
    <cdr:cxnSp macro="">
      <cdr:nvCxnSpPr>
        <cdr:cNvPr id="56" name="Přímá spojnice 55">
          <a:extLst xmlns:a="http://schemas.openxmlformats.org/drawingml/2006/main">
            <a:ext uri="{FF2B5EF4-FFF2-40B4-BE49-F238E27FC236}">
              <a16:creationId xmlns:a16="http://schemas.microsoft.com/office/drawing/2014/main" id="{7F359A76-F0E4-40E7-BE17-0693E8961ECA}"/>
            </a:ext>
          </a:extLst>
        </cdr:cNvPr>
        <cdr:cNvCxnSpPr/>
      </cdr:nvCxnSpPr>
      <cdr:spPr>
        <a:xfrm xmlns:a="http://schemas.openxmlformats.org/drawingml/2006/main" flipV="1">
          <a:off x="8200321" y="2592917"/>
          <a:ext cx="261056" cy="9525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0.83922</cdr:x>
      <cdr:y>0.5619</cdr:y>
    </cdr:from>
    <cdr:to>
      <cdr:x>0.86166</cdr:x>
      <cdr:y>0.60139</cdr:y>
    </cdr:to>
    <cdr:cxnSp macro="">
      <cdr:nvCxnSpPr>
        <cdr:cNvPr id="65" name="Přímá spojnice 64">
          <a:extLst xmlns:a="http://schemas.openxmlformats.org/drawingml/2006/main">
            <a:ext uri="{FF2B5EF4-FFF2-40B4-BE49-F238E27FC236}">
              <a16:creationId xmlns:a16="http://schemas.microsoft.com/office/drawing/2014/main" id="{4F57965A-4DAC-4ABE-8D86-6D9A23C1B008}"/>
            </a:ext>
          </a:extLst>
        </cdr:cNvPr>
        <cdr:cNvCxnSpPr/>
      </cdr:nvCxnSpPr>
      <cdr:spPr>
        <a:xfrm xmlns:a="http://schemas.openxmlformats.org/drawingml/2006/main" flipV="1">
          <a:off x="7918099" y="3714750"/>
          <a:ext cx="211667" cy="26105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0.09571</cdr:x>
      <cdr:y>0.93301</cdr:y>
    </cdr:from>
    <cdr:to>
      <cdr:x>0.81679</cdr:x>
      <cdr:y>0.97927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862543" y="6191250"/>
          <a:ext cx="6498167" cy="3069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/>
            <a:t>* CAVE! dle hodnocení SUKLu</a:t>
          </a:r>
          <a:r>
            <a:rPr lang="cs-CZ" sz="1100" b="1" baseline="30000"/>
            <a:t>55</a:t>
          </a:r>
          <a:r>
            <a:rPr lang="cs-CZ" sz="1100" b="1"/>
            <a:t> je účinnost LP EBGLYSS považována za cca stejnou jako má LP DUPIXENT!</a:t>
          </a:r>
        </a:p>
      </cdr:txBody>
    </cdr:sp>
  </cdr:relSizeAnchor>
  <cdr:relSizeAnchor xmlns:cdr="http://schemas.openxmlformats.org/drawingml/2006/chartDrawing">
    <cdr:from>
      <cdr:x>0.50113</cdr:x>
      <cdr:y>0.09104</cdr:y>
    </cdr:from>
    <cdr:to>
      <cdr:x>0.72039</cdr:x>
      <cdr:y>0.14161</cdr:y>
    </cdr:to>
    <cdr:sp macro="" textlink="">
      <cdr:nvSpPr>
        <cdr:cNvPr id="74" name="TextovéPole 1"/>
        <cdr:cNvSpPr txBox="1"/>
      </cdr:nvSpPr>
      <cdr:spPr>
        <a:xfrm xmlns:a="http://schemas.openxmlformats.org/drawingml/2006/main">
          <a:off x="4675162" y="601887"/>
          <a:ext cx="2045522" cy="33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EBGLYSS 250MG INJ SOL 1X2ML - indukce 16 týdnů MONO</a:t>
          </a:r>
          <a:r>
            <a:rPr lang="cs-CZ" sz="900" b="1">
              <a:solidFill>
                <a:srgbClr val="7030A0"/>
              </a:solidFill>
            </a:rPr>
            <a:t>,    + TCS</a:t>
          </a:r>
        </a:p>
      </cdr:txBody>
    </cdr:sp>
  </cdr:relSizeAnchor>
  <cdr:relSizeAnchor xmlns:cdr="http://schemas.openxmlformats.org/drawingml/2006/chartDrawing">
    <cdr:from>
      <cdr:x>0.56995</cdr:x>
      <cdr:y>0.1388</cdr:y>
    </cdr:from>
    <cdr:to>
      <cdr:x>0.6559</cdr:x>
      <cdr:y>0.18501</cdr:y>
    </cdr:to>
    <cdr:cxnSp macro="">
      <cdr:nvCxnSpPr>
        <cdr:cNvPr id="77" name="Přímá spojnice se šipkou 7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136224" y="921042"/>
          <a:ext cx="774569" cy="3066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0.38462</cdr:x>
      <cdr:y>0.52313</cdr:y>
    </cdr:from>
    <cdr:to>
      <cdr:x>0.69041</cdr:x>
      <cdr:y>0.58324</cdr:y>
    </cdr:to>
    <cdr:cxnSp macro="">
      <cdr:nvCxnSpPr>
        <cdr:cNvPr id="84" name="Přímá spojnice se šipkou 83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3628906" y="3458442"/>
          <a:ext cx="2885137" cy="39741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0.45073</cdr:x>
      <cdr:y>0.62648</cdr:y>
    </cdr:from>
    <cdr:to>
      <cdr:x>0.64063</cdr:x>
      <cdr:y>0.70335</cdr:y>
    </cdr:to>
    <cdr:cxnSp macro="">
      <cdr:nvCxnSpPr>
        <cdr:cNvPr id="95" name="Přímá spojnice se šipkou 94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061884" y="4157134"/>
          <a:ext cx="1711326" cy="5101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0.59953</cdr:x>
      <cdr:y>0.27911</cdr:y>
    </cdr:from>
    <cdr:to>
      <cdr:x>0.81327</cdr:x>
      <cdr:y>0.42105</cdr:y>
    </cdr:to>
    <cdr:cxnSp macro="">
      <cdr:nvCxnSpPr>
        <cdr:cNvPr id="98" name="Přímá spojnice se šipkou 97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402793" y="1852084"/>
          <a:ext cx="1926167" cy="9419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0.68765</cdr:x>
      <cdr:y>0.13501</cdr:y>
    </cdr:from>
    <cdr:to>
      <cdr:x>0.81562</cdr:x>
      <cdr:y>0.17863</cdr:y>
    </cdr:to>
    <cdr:cxnSp macro="">
      <cdr:nvCxnSpPr>
        <cdr:cNvPr id="104" name="Přímá spojnice se šipkou 103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196902" y="895893"/>
          <a:ext cx="1153225" cy="28944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0.20586</cdr:x>
      <cdr:y>0.10587</cdr:y>
    </cdr:from>
    <cdr:to>
      <cdr:x>0.35186</cdr:x>
      <cdr:y>0.30256</cdr:y>
    </cdr:to>
    <cdr:sp macro="" textlink="">
      <cdr:nvSpPr>
        <cdr:cNvPr id="54" name="TextovéPole 5">
          <a:extLst xmlns:a="http://schemas.openxmlformats.org/drawingml/2006/main">
            <a:ext uri="{FF2B5EF4-FFF2-40B4-BE49-F238E27FC236}">
              <a16:creationId xmlns:a16="http://schemas.microsoft.com/office/drawing/2014/main" id="{46D82855-D6D9-4A37-A54A-F916DF0FC00B}"/>
            </a:ext>
          </a:extLst>
        </cdr:cNvPr>
        <cdr:cNvSpPr txBox="1"/>
      </cdr:nvSpPr>
      <cdr:spPr>
        <a:xfrm xmlns:a="http://schemas.openxmlformats.org/drawingml/2006/main">
          <a:off x="1920522" y="699912"/>
          <a:ext cx="1362078" cy="13003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/>
            <a:t>EBGLYSS</a:t>
          </a:r>
          <a:r>
            <a:rPr lang="cs-CZ" sz="900" b="1" baseline="0"/>
            <a:t> se po indukční době podává ā 4 týdny, narozdíl od DUPIXENTU, který je </a:t>
          </a:r>
          <a:r>
            <a:rPr lang="cs-CZ" sz="900" b="1" baseline="0">
              <a:effectLst/>
              <a:latin typeface="+mn-lt"/>
              <a:ea typeface="+mn-ea"/>
              <a:cs typeface="+mn-cs"/>
            </a:rPr>
            <a:t>ā</a:t>
          </a:r>
          <a:r>
            <a:rPr lang="cs-CZ" sz="900" b="1" baseline="0"/>
            <a:t> 2 týdny celou dobu - pro další odlišnosti viz list "</a:t>
          </a:r>
          <a:r>
            <a:rPr lang="cs-CZ" sz="900" b="1" i="1" baseline="0"/>
            <a:t>Seznam přípravků</a:t>
          </a:r>
          <a:r>
            <a:rPr lang="cs-CZ" sz="900" b="1" baseline="0"/>
            <a:t>" a list "</a:t>
          </a:r>
          <a:r>
            <a:rPr lang="cs-CZ" sz="900" b="1" i="1" baseline="0"/>
            <a:t>BIA</a:t>
          </a:r>
          <a:r>
            <a:rPr lang="cs-CZ" sz="900" b="1" baseline="0"/>
            <a:t>"</a:t>
          </a:r>
          <a:endParaRPr lang="cs-CZ" sz="900" b="1"/>
        </a:p>
      </cdr:txBody>
    </cdr:sp>
  </cdr:relSizeAnchor>
  <cdr:relSizeAnchor xmlns:cdr="http://schemas.openxmlformats.org/drawingml/2006/chartDrawing">
    <cdr:from>
      <cdr:x>0.35045</cdr:x>
      <cdr:y>0.13428</cdr:y>
    </cdr:from>
    <cdr:to>
      <cdr:x>0.50777</cdr:x>
      <cdr:y>0.16639</cdr:y>
    </cdr:to>
    <cdr:sp macro="" textlink="">
      <cdr:nvSpPr>
        <cdr:cNvPr id="55" name="Šipka: dolů 54">
          <a:extLst xmlns:a="http://schemas.openxmlformats.org/drawingml/2006/main">
            <a:ext uri="{FF2B5EF4-FFF2-40B4-BE49-F238E27FC236}">
              <a16:creationId xmlns:a16="http://schemas.microsoft.com/office/drawing/2014/main" id="{2BD61F9C-D6BA-47F1-A8E8-DD837E9E4775}"/>
            </a:ext>
          </a:extLst>
        </cdr:cNvPr>
        <cdr:cNvSpPr/>
      </cdr:nvSpPr>
      <cdr:spPr>
        <a:xfrm xmlns:a="http://schemas.openxmlformats.org/drawingml/2006/main" rot="4385883">
          <a:off x="3897115" y="260012"/>
          <a:ext cx="212330" cy="1467715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22</xdr:row>
      <xdr:rowOff>0</xdr:rowOff>
    </xdr:from>
    <xdr:to>
      <xdr:col>28</xdr:col>
      <xdr:colOff>466726</xdr:colOff>
      <xdr:row>26</xdr:row>
      <xdr:rowOff>133351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 flipV="1">
          <a:off x="16163925" y="5133975"/>
          <a:ext cx="2266951" cy="85725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14</xdr:row>
      <xdr:rowOff>0</xdr:rowOff>
    </xdr:from>
    <xdr:to>
      <xdr:col>24</xdr:col>
      <xdr:colOff>485775</xdr:colOff>
      <xdr:row>21</xdr:row>
      <xdr:rowOff>123825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 flipV="1">
          <a:off x="12725400" y="3314700"/>
          <a:ext cx="3286125" cy="1743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399446</xdr:colOff>
      <xdr:row>24</xdr:row>
      <xdr:rowOff>107043</xdr:rowOff>
    </xdr:from>
    <xdr:to>
      <xdr:col>29</xdr:col>
      <xdr:colOff>494696</xdr:colOff>
      <xdr:row>26</xdr:row>
      <xdr:rowOff>80584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8363596" y="5622018"/>
          <a:ext cx="704850" cy="316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placebo</a:t>
          </a:r>
        </a:p>
      </xdr:txBody>
    </xdr:sp>
    <xdr:clientData/>
  </xdr:twoCellAnchor>
  <xdr:twoCellAnchor>
    <xdr:from>
      <xdr:col>24</xdr:col>
      <xdr:colOff>190500</xdr:colOff>
      <xdr:row>14</xdr:row>
      <xdr:rowOff>57151</xdr:rowOff>
    </xdr:from>
    <xdr:to>
      <xdr:col>25</xdr:col>
      <xdr:colOff>504825</xdr:colOff>
      <xdr:row>18</xdr:row>
      <xdr:rowOff>133350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29" idx="1"/>
        </xdr:cNvCxnSpPr>
      </xdr:nvCxnSpPr>
      <xdr:spPr>
        <a:xfrm flipH="1">
          <a:off x="15716250" y="3467101"/>
          <a:ext cx="923925" cy="10286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583746</xdr:colOff>
      <xdr:row>19</xdr:row>
      <xdr:rowOff>7410</xdr:rowOff>
    </xdr:from>
    <xdr:to>
      <xdr:col>29</xdr:col>
      <xdr:colOff>409575</xdr:colOff>
      <xdr:row>21</xdr:row>
      <xdr:rowOff>9526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7938296" y="4560360"/>
          <a:ext cx="1045029" cy="383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22MCG INJ (IFN beta-1a 22ug)</a:t>
          </a:r>
        </a:p>
      </xdr:txBody>
    </xdr:sp>
    <xdr:clientData/>
  </xdr:twoCellAnchor>
  <xdr:twoCellAnchor>
    <xdr:from>
      <xdr:col>28</xdr:col>
      <xdr:colOff>66675</xdr:colOff>
      <xdr:row>21</xdr:row>
      <xdr:rowOff>0</xdr:rowOff>
    </xdr:from>
    <xdr:to>
      <xdr:col>28</xdr:col>
      <xdr:colOff>381002</xdr:colOff>
      <xdr:row>22</xdr:row>
      <xdr:rowOff>171450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18030825" y="4914900"/>
          <a:ext cx="314327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592554</xdr:colOff>
      <xdr:row>19</xdr:row>
      <xdr:rowOff>105608</xdr:rowOff>
    </xdr:from>
    <xdr:to>
      <xdr:col>19</xdr:col>
      <xdr:colOff>561976</xdr:colOff>
      <xdr:row>21</xdr:row>
      <xdr:rowOff>134976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851104" y="4658558"/>
          <a:ext cx="1188622" cy="410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MAVENCLAD 10MG TBL (cladribin 40 kg pac.)</a:t>
          </a:r>
        </a:p>
      </xdr:txBody>
    </xdr:sp>
    <xdr:clientData/>
  </xdr:twoCellAnchor>
  <xdr:twoCellAnchor>
    <xdr:from>
      <xdr:col>24</xdr:col>
      <xdr:colOff>257175</xdr:colOff>
      <xdr:row>22</xdr:row>
      <xdr:rowOff>38100</xdr:rowOff>
    </xdr:from>
    <xdr:to>
      <xdr:col>24</xdr:col>
      <xdr:colOff>485775</xdr:colOff>
      <xdr:row>23</xdr:row>
      <xdr:rowOff>47625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5782925" y="5172075"/>
          <a:ext cx="22860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512234</xdr:colOff>
      <xdr:row>17</xdr:row>
      <xdr:rowOff>161924</xdr:rowOff>
    </xdr:from>
    <xdr:to>
      <xdr:col>19</xdr:col>
      <xdr:colOff>485776</xdr:colOff>
      <xdr:row>19</xdr:row>
      <xdr:rowOff>133349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770784" y="4333874"/>
          <a:ext cx="1192742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MAVENCLAD 10MG TBL (</a:t>
          </a:r>
          <a:r>
            <a:rPr lang="cs-CZ" sz="800"/>
            <a:t>cladribin 80 kg pac.)</a:t>
          </a:r>
        </a:p>
      </xdr:txBody>
    </xdr:sp>
    <xdr:clientData/>
  </xdr:twoCellAnchor>
  <xdr:twoCellAnchor>
    <xdr:from>
      <xdr:col>22</xdr:col>
      <xdr:colOff>499534</xdr:colOff>
      <xdr:row>23</xdr:row>
      <xdr:rowOff>65615</xdr:rowOff>
    </xdr:from>
    <xdr:to>
      <xdr:col>24</xdr:col>
      <xdr:colOff>561976</xdr:colOff>
      <xdr:row>26</xdr:row>
      <xdr:rowOff>85724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4806084" y="5390090"/>
          <a:ext cx="1281642" cy="553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COPAXONE 40MG/ML INJ (glatiramer acetát  40mg) - u CIS a v 1.</a:t>
          </a:r>
          <a:r>
            <a:rPr lang="cs-CZ" sz="800" b="1" u="sng" baseline="0">
              <a:solidFill>
                <a:srgbClr val="7030A0"/>
              </a:solidFill>
            </a:rPr>
            <a:t> linii</a:t>
          </a:r>
          <a:endParaRPr lang="cs-CZ" sz="800" b="1" u="sng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137280</xdr:colOff>
      <xdr:row>10</xdr:row>
      <xdr:rowOff>11906</xdr:rowOff>
    </xdr:from>
    <xdr:to>
      <xdr:col>28</xdr:col>
      <xdr:colOff>11791</xdr:colOff>
      <xdr:row>13</xdr:row>
      <xdr:rowOff>4687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5663030" y="2659856"/>
          <a:ext cx="2312911" cy="373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VUMERITY 231MG CPS (diroximel-fumarát p.o.)</a:t>
          </a:r>
          <a:r>
            <a:rPr lang="cs-CZ" sz="800" baseline="0"/>
            <a:t> </a:t>
          </a:r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TECFIDERA 240MG CPS (dimethylfumarát), </a:t>
          </a:r>
          <a:r>
            <a:rPr lang="cs-CZ" sz="800"/>
            <a:t> </a:t>
          </a:r>
        </a:p>
      </xdr:txBody>
    </xdr:sp>
    <xdr:clientData/>
  </xdr:twoCellAnchor>
  <xdr:twoCellAnchor>
    <xdr:from>
      <xdr:col>23</xdr:col>
      <xdr:colOff>247653</xdr:colOff>
      <xdr:row>11</xdr:row>
      <xdr:rowOff>137584</xdr:rowOff>
    </xdr:from>
    <xdr:to>
      <xdr:col>24</xdr:col>
      <xdr:colOff>571500</xdr:colOff>
      <xdr:row>15</xdr:row>
      <xdr:rowOff>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5163803" y="2976034"/>
          <a:ext cx="933447" cy="6625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508000</xdr:colOff>
      <xdr:row>3</xdr:row>
      <xdr:rowOff>9525</xdr:rowOff>
    </xdr:from>
    <xdr:to>
      <xdr:col>19</xdr:col>
      <xdr:colOff>333375</xdr:colOff>
      <xdr:row>5</xdr:row>
      <xdr:rowOff>19050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1766550" y="1695450"/>
          <a:ext cx="10445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OCREVUS 300MG INF (ocrelizumab)</a:t>
          </a:r>
        </a:p>
      </xdr:txBody>
    </xdr:sp>
    <xdr:clientData/>
  </xdr:twoCellAnchor>
  <xdr:twoCellAnchor>
    <xdr:from>
      <xdr:col>19</xdr:col>
      <xdr:colOff>200025</xdr:colOff>
      <xdr:row>4</xdr:row>
      <xdr:rowOff>0</xdr:rowOff>
    </xdr:from>
    <xdr:to>
      <xdr:col>21</xdr:col>
      <xdr:colOff>219075</xdr:colOff>
      <xdr:row>14</xdr:row>
      <xdr:rowOff>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2677775" y="1885950"/>
          <a:ext cx="1238250" cy="1514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14</xdr:row>
      <xdr:rowOff>0</xdr:rowOff>
    </xdr:from>
    <xdr:to>
      <xdr:col>19</xdr:col>
      <xdr:colOff>295274</xdr:colOff>
      <xdr:row>16</xdr:row>
      <xdr:rowOff>28575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1553825" y="3375176"/>
          <a:ext cx="1219199" cy="634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LEMTRADA 12MG INF (alemtuzumab) - 2. linie, v 1. linii jen u rychle progred. formy</a:t>
          </a:r>
        </a:p>
      </xdr:txBody>
    </xdr:sp>
    <xdr:clientData/>
  </xdr:twoCellAnchor>
  <xdr:twoCellAnchor>
    <xdr:from>
      <xdr:col>19</xdr:col>
      <xdr:colOff>104775</xdr:colOff>
      <xdr:row>15</xdr:row>
      <xdr:rowOff>0</xdr:rowOff>
    </xdr:from>
    <xdr:to>
      <xdr:col>20</xdr:col>
      <xdr:colOff>495300</xdr:colOff>
      <xdr:row>15</xdr:row>
      <xdr:rowOff>57150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2582525" y="3724275"/>
          <a:ext cx="1000125" cy="123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3</xdr:row>
      <xdr:rowOff>0</xdr:rowOff>
    </xdr:from>
    <xdr:to>
      <xdr:col>22</xdr:col>
      <xdr:colOff>8620</xdr:colOff>
      <xdr:row>4</xdr:row>
      <xdr:rowOff>1058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173075" y="1498447"/>
          <a:ext cx="1142095" cy="38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150MG INJ (natalizumab s.c.)</a:t>
          </a:r>
        </a:p>
      </xdr:txBody>
    </xdr:sp>
    <xdr:clientData/>
  </xdr:twoCellAnchor>
  <xdr:twoCellAnchor>
    <xdr:from>
      <xdr:col>20</xdr:col>
      <xdr:colOff>504825</xdr:colOff>
      <xdr:row>3</xdr:row>
      <xdr:rowOff>123825</xdr:rowOff>
    </xdr:from>
    <xdr:to>
      <xdr:col>20</xdr:col>
      <xdr:colOff>581025</xdr:colOff>
      <xdr:row>10</xdr:row>
      <xdr:rowOff>57150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3592175" y="1809750"/>
          <a:ext cx="76200" cy="895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572559</xdr:colOff>
      <xdr:row>4</xdr:row>
      <xdr:rowOff>112183</xdr:rowOff>
    </xdr:from>
    <xdr:to>
      <xdr:col>19</xdr:col>
      <xdr:colOff>285750</xdr:colOff>
      <xdr:row>6</xdr:row>
      <xdr:rowOff>0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1831109" y="1998133"/>
          <a:ext cx="932391" cy="268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KESIMPTA 20MG</a:t>
          </a:r>
          <a:r>
            <a:rPr lang="cs-CZ" sz="800" baseline="0"/>
            <a:t> INJ (</a:t>
          </a:r>
          <a:r>
            <a:rPr lang="cs-CZ" sz="800"/>
            <a:t>ofatumumab)</a:t>
          </a:r>
        </a:p>
      </xdr:txBody>
    </xdr:sp>
    <xdr:clientData/>
  </xdr:twoCellAnchor>
  <xdr:twoCellAnchor>
    <xdr:from>
      <xdr:col>19</xdr:col>
      <xdr:colOff>38100</xdr:colOff>
      <xdr:row>5</xdr:row>
      <xdr:rowOff>257175</xdr:rowOff>
    </xdr:from>
    <xdr:to>
      <xdr:col>20</xdr:col>
      <xdr:colOff>533400</xdr:colOff>
      <xdr:row>14</xdr:row>
      <xdr:rowOff>0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2515850" y="2266950"/>
          <a:ext cx="1104900" cy="1133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322034</xdr:colOff>
      <xdr:row>8</xdr:row>
      <xdr:rowOff>126397</xdr:rowOff>
    </xdr:from>
    <xdr:to>
      <xdr:col>19</xdr:col>
      <xdr:colOff>238126</xdr:colOff>
      <xdr:row>11</xdr:row>
      <xdr:rowOff>164043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1580584" y="2583847"/>
          <a:ext cx="1135292" cy="418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300MG INF (natalizumab i.v. EID)</a:t>
          </a:r>
        </a:p>
      </xdr:txBody>
    </xdr:sp>
    <xdr:clientData/>
  </xdr:twoCellAnchor>
  <xdr:twoCellAnchor>
    <xdr:from>
      <xdr:col>18</xdr:col>
      <xdr:colOff>581025</xdr:colOff>
      <xdr:row>10</xdr:row>
      <xdr:rowOff>133350</xdr:rowOff>
    </xdr:from>
    <xdr:to>
      <xdr:col>20</xdr:col>
      <xdr:colOff>533400</xdr:colOff>
      <xdr:row>15</xdr:row>
      <xdr:rowOff>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2449175" y="2781300"/>
          <a:ext cx="1171575" cy="885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</xdr:row>
      <xdr:rowOff>247650</xdr:rowOff>
    </xdr:from>
    <xdr:to>
      <xdr:col>22</xdr:col>
      <xdr:colOff>190500</xdr:colOff>
      <xdr:row>11</xdr:row>
      <xdr:rowOff>76200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4306550" y="2457450"/>
          <a:ext cx="190500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3</xdr:row>
      <xdr:rowOff>0</xdr:rowOff>
    </xdr:from>
    <xdr:to>
      <xdr:col>24</xdr:col>
      <xdr:colOff>200025</xdr:colOff>
      <xdr:row>4</xdr:row>
      <xdr:rowOff>76200</xdr:rowOff>
    </xdr:to>
    <xdr:sp macro="" textlink="">
      <xdr:nvSpPr>
        <xdr:cNvPr id="27" name="TextovéPole 5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4678025" y="1581150"/>
          <a:ext cx="10477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MAYZENT 2 MG TBL (siponimod)</a:t>
          </a:r>
        </a:p>
      </xdr:txBody>
    </xdr:sp>
    <xdr:clientData/>
  </xdr:twoCellAnchor>
  <xdr:twoCellAnchor>
    <xdr:from>
      <xdr:col>22</xdr:col>
      <xdr:colOff>180975</xdr:colOff>
      <xdr:row>4</xdr:row>
      <xdr:rowOff>47625</xdr:rowOff>
    </xdr:from>
    <xdr:to>
      <xdr:col>23</xdr:col>
      <xdr:colOff>142876</xdr:colOff>
      <xdr:row>15</xdr:row>
      <xdr:rowOff>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14487525" y="1933575"/>
          <a:ext cx="571501" cy="17240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504825</xdr:colOff>
      <xdr:row>14</xdr:row>
      <xdr:rowOff>0</xdr:rowOff>
    </xdr:from>
    <xdr:to>
      <xdr:col>27</xdr:col>
      <xdr:colOff>342900</xdr:colOff>
      <xdr:row>15</xdr:row>
      <xdr:rowOff>0</xdr:rowOff>
    </xdr:to>
    <xdr:sp macro="" textlink="">
      <xdr:nvSpPr>
        <xdr:cNvPr id="29" name="TextovéPole 5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6640175" y="3305176"/>
          <a:ext cx="10572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PONVORY 20MG TBL (ponesimod)</a:t>
          </a:r>
        </a:p>
      </xdr:txBody>
    </xdr:sp>
    <xdr:clientData/>
  </xdr:twoCellAnchor>
  <xdr:twoCellAnchor>
    <xdr:from>
      <xdr:col>20</xdr:col>
      <xdr:colOff>400051</xdr:colOff>
      <xdr:row>23</xdr:row>
      <xdr:rowOff>114299</xdr:rowOff>
    </xdr:from>
    <xdr:to>
      <xdr:col>22</xdr:col>
      <xdr:colOff>323851</xdr:colOff>
      <xdr:row>25</xdr:row>
      <xdr:rowOff>161924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487401" y="5438774"/>
          <a:ext cx="11430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PLEGRIDY 125MCG INJ (pegIFN beta-1a)</a:t>
          </a:r>
        </a:p>
      </xdr:txBody>
    </xdr:sp>
    <xdr:clientData/>
  </xdr:twoCellAnchor>
  <xdr:twoCellAnchor>
    <xdr:from>
      <xdr:col>22</xdr:col>
      <xdr:colOff>180975</xdr:colOff>
      <xdr:row>19</xdr:row>
      <xdr:rowOff>171451</xdr:rowOff>
    </xdr:from>
    <xdr:to>
      <xdr:col>24</xdr:col>
      <xdr:colOff>419100</xdr:colOff>
      <xdr:row>23</xdr:row>
      <xdr:rowOff>123825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14487525" y="4724401"/>
          <a:ext cx="1457325" cy="7238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552449</xdr:colOff>
      <xdr:row>24</xdr:row>
      <xdr:rowOff>123825</xdr:rowOff>
    </xdr:from>
    <xdr:to>
      <xdr:col>27</xdr:col>
      <xdr:colOff>0</xdr:colOff>
      <xdr:row>26</xdr:row>
      <xdr:rowOff>123825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6078199" y="5638800"/>
          <a:ext cx="127635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COPAXONE 20MG/ML INJ (glatiramer acetát 20mg)</a:t>
          </a:r>
        </a:p>
      </xdr:txBody>
    </xdr:sp>
    <xdr:clientData/>
  </xdr:twoCellAnchor>
  <xdr:twoCellAnchor>
    <xdr:from>
      <xdr:col>25</xdr:col>
      <xdr:colOff>306916</xdr:colOff>
      <xdr:row>21</xdr:row>
      <xdr:rowOff>0</xdr:rowOff>
    </xdr:from>
    <xdr:to>
      <xdr:col>25</xdr:col>
      <xdr:colOff>361950</xdr:colOff>
      <xdr:row>24</xdr:row>
      <xdr:rowOff>142876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16442266" y="4902200"/>
          <a:ext cx="55034" cy="75565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15</xdr:row>
      <xdr:rowOff>0</xdr:rowOff>
    </xdr:from>
    <xdr:to>
      <xdr:col>29</xdr:col>
      <xdr:colOff>571500</xdr:colOff>
      <xdr:row>16</xdr:row>
      <xdr:rowOff>142875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7868900" y="3733800"/>
          <a:ext cx="12763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AVONEX 30MCG INJ (IFN beta-1a 30ug i.m.)</a:t>
          </a:r>
        </a:p>
      </xdr:txBody>
    </xdr:sp>
    <xdr:clientData/>
  </xdr:twoCellAnchor>
  <xdr:twoCellAnchor>
    <xdr:from>
      <xdr:col>27</xdr:col>
      <xdr:colOff>57150</xdr:colOff>
      <xdr:row>16</xdr:row>
      <xdr:rowOff>47625</xdr:rowOff>
    </xdr:from>
    <xdr:to>
      <xdr:col>28</xdr:col>
      <xdr:colOff>161925</xdr:colOff>
      <xdr:row>20</xdr:row>
      <xdr:rowOff>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H="1">
          <a:off x="17411700" y="4029075"/>
          <a:ext cx="714375" cy="714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15</xdr:row>
      <xdr:rowOff>9524</xdr:rowOff>
    </xdr:from>
    <xdr:to>
      <xdr:col>26</xdr:col>
      <xdr:colOff>323850</xdr:colOff>
      <xdr:row>18</xdr:row>
      <xdr:rowOff>28575</xdr:rowOff>
    </xdr:to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6449675" y="3800474"/>
          <a:ext cx="619125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44 MCG INJ (IFN beta-1a 44ug)</a:t>
          </a:r>
        </a:p>
      </xdr:txBody>
    </xdr:sp>
    <xdr:clientData/>
  </xdr:twoCellAnchor>
  <xdr:twoCellAnchor>
    <xdr:from>
      <xdr:col>25</xdr:col>
      <xdr:colOff>66675</xdr:colOff>
      <xdr:row>18</xdr:row>
      <xdr:rowOff>0</xdr:rowOff>
    </xdr:from>
    <xdr:to>
      <xdr:col>25</xdr:col>
      <xdr:colOff>371475</xdr:colOff>
      <xdr:row>19</xdr:row>
      <xdr:rowOff>142875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>
          <a:off x="16202025" y="4362450"/>
          <a:ext cx="304800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161926</xdr:colOff>
      <xdr:row>21</xdr:row>
      <xdr:rowOff>161926</xdr:rowOff>
    </xdr:from>
    <xdr:to>
      <xdr:col>27</xdr:col>
      <xdr:colOff>542926</xdr:colOff>
      <xdr:row>23</xdr:row>
      <xdr:rowOff>95251</xdr:rowOff>
    </xdr:to>
    <xdr:sp macro="" textlink="">
      <xdr:nvSpPr>
        <xdr:cNvPr id="38" name="TextovéPol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6906876" y="5095876"/>
          <a:ext cx="9906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AUBAGIO 14MG TBL (teriflunomid)</a:t>
          </a:r>
        </a:p>
      </xdr:txBody>
    </xdr:sp>
    <xdr:clientData/>
  </xdr:twoCellAnchor>
  <xdr:twoCellAnchor>
    <xdr:from>
      <xdr:col>25</xdr:col>
      <xdr:colOff>370416</xdr:colOff>
      <xdr:row>21</xdr:row>
      <xdr:rowOff>0</xdr:rowOff>
    </xdr:from>
    <xdr:to>
      <xdr:col>26</xdr:col>
      <xdr:colOff>438150</xdr:colOff>
      <xdr:row>21</xdr:row>
      <xdr:rowOff>152400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H="1" flipV="1">
          <a:off x="16505766" y="4754034"/>
          <a:ext cx="677334" cy="3323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3</xdr:row>
      <xdr:rowOff>0</xdr:rowOff>
    </xdr:from>
    <xdr:to>
      <xdr:col>24</xdr:col>
      <xdr:colOff>314325</xdr:colOff>
      <xdr:row>5</xdr:row>
      <xdr:rowOff>1</xdr:rowOff>
    </xdr:to>
    <xdr:sp macro="" textlink="">
      <xdr:nvSpPr>
        <xdr:cNvPr id="40" name="Ovál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 flipH="1">
          <a:off x="14506575" y="1228725"/>
          <a:ext cx="1333500" cy="847726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476250</xdr:colOff>
      <xdr:row>3</xdr:row>
      <xdr:rowOff>0</xdr:rowOff>
    </xdr:from>
    <xdr:to>
      <xdr:col>19</xdr:col>
      <xdr:colOff>438150</xdr:colOff>
      <xdr:row>3</xdr:row>
      <xdr:rowOff>66675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1734800" y="1514475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18</xdr:col>
      <xdr:colOff>161925</xdr:colOff>
      <xdr:row>21</xdr:row>
      <xdr:rowOff>66675</xdr:rowOff>
    </xdr:from>
    <xdr:to>
      <xdr:col>19</xdr:col>
      <xdr:colOff>390525</xdr:colOff>
      <xdr:row>22</xdr:row>
      <xdr:rowOff>104775</xdr:rowOff>
    </xdr:to>
    <xdr:sp macro="" textlink="">
      <xdr:nvSpPr>
        <xdr:cNvPr id="43" name="TextovéPole 11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2030075" y="5000625"/>
          <a:ext cx="8382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2. linii</a:t>
          </a:r>
        </a:p>
      </xdr:txBody>
    </xdr:sp>
    <xdr:clientData/>
  </xdr:twoCellAnchor>
  <xdr:twoCellAnchor>
    <xdr:from>
      <xdr:col>23</xdr:col>
      <xdr:colOff>190500</xdr:colOff>
      <xdr:row>5</xdr:row>
      <xdr:rowOff>121709</xdr:rowOff>
    </xdr:from>
    <xdr:to>
      <xdr:col>25</xdr:col>
      <xdr:colOff>600075</xdr:colOff>
      <xdr:row>6</xdr:row>
      <xdr:rowOff>100543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5106650" y="2198159"/>
          <a:ext cx="1628775" cy="169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ZEPOSIA 0,92MG CPS (ozanimod) </a:t>
          </a:r>
        </a:p>
      </xdr:txBody>
    </xdr:sp>
    <xdr:clientData/>
  </xdr:twoCellAnchor>
  <xdr:twoCellAnchor>
    <xdr:from>
      <xdr:col>22</xdr:col>
      <xdr:colOff>466725</xdr:colOff>
      <xdr:row>6</xdr:row>
      <xdr:rowOff>84667</xdr:rowOff>
    </xdr:from>
    <xdr:to>
      <xdr:col>24</xdr:col>
      <xdr:colOff>105834</xdr:colOff>
      <xdr:row>14</xdr:row>
      <xdr:rowOff>180975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H="1">
          <a:off x="14773275" y="2351617"/>
          <a:ext cx="858309" cy="123930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177272</xdr:colOff>
      <xdr:row>4</xdr:row>
      <xdr:rowOff>146843</xdr:rowOff>
    </xdr:from>
    <xdr:to>
      <xdr:col>27</xdr:col>
      <xdr:colOff>224896</xdr:colOff>
      <xdr:row>6</xdr:row>
      <xdr:rowOff>218767</xdr:rowOff>
    </xdr:to>
    <xdr:sp macro="" textlink="">
      <xdr:nvSpPr>
        <xdr:cNvPr id="46" name="Ovál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 flipH="1">
          <a:off x="15093422" y="2032793"/>
          <a:ext cx="2486024" cy="424349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25</xdr:col>
      <xdr:colOff>418042</xdr:colOff>
      <xdr:row>5</xdr:row>
      <xdr:rowOff>130969</xdr:rowOff>
    </xdr:from>
    <xdr:to>
      <xdr:col>26</xdr:col>
      <xdr:colOff>598521</xdr:colOff>
      <xdr:row>6</xdr:row>
      <xdr:rowOff>89930</xdr:rowOff>
    </xdr:to>
    <xdr:sp macro="" textlink="">
      <xdr:nvSpPr>
        <xdr:cNvPr id="47" name="TextovéPole 11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6553392" y="2207419"/>
          <a:ext cx="790079" cy="1494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1. linii</a:t>
          </a:r>
        </a:p>
      </xdr:txBody>
    </xdr:sp>
    <xdr:clientData/>
  </xdr:twoCellAnchor>
  <xdr:twoCellAnchor>
    <xdr:from>
      <xdr:col>27</xdr:col>
      <xdr:colOff>381000</xdr:colOff>
      <xdr:row>10</xdr:row>
      <xdr:rowOff>31751</xdr:rowOff>
    </xdr:from>
    <xdr:to>
      <xdr:col>29</xdr:col>
      <xdr:colOff>342900</xdr:colOff>
      <xdr:row>11</xdr:row>
      <xdr:rowOff>79376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7735550" y="2679701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52916</xdr:colOff>
      <xdr:row>8</xdr:row>
      <xdr:rowOff>84668</xdr:rowOff>
    </xdr:from>
    <xdr:to>
      <xdr:col>29</xdr:col>
      <xdr:colOff>423332</xdr:colOff>
      <xdr:row>13</xdr:row>
      <xdr:rowOff>72749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 flipH="1">
          <a:off x="15578666" y="2542118"/>
          <a:ext cx="3418416" cy="559581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232833</xdr:colOff>
      <xdr:row>0</xdr:row>
      <xdr:rowOff>95249</xdr:rowOff>
    </xdr:from>
    <xdr:to>
      <xdr:col>34</xdr:col>
      <xdr:colOff>0</xdr:colOff>
      <xdr:row>37</xdr:row>
      <xdr:rowOff>31749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591319</xdr:colOff>
      <xdr:row>13</xdr:row>
      <xdr:rowOff>169333</xdr:rowOff>
    </xdr:from>
    <xdr:to>
      <xdr:col>20</xdr:col>
      <xdr:colOff>592666</xdr:colOff>
      <xdr:row>28</xdr:row>
      <xdr:rowOff>63692</xdr:rowOff>
    </xdr:to>
    <xdr:cxnSp macro="">
      <xdr:nvCxnSpPr>
        <xdr:cNvPr id="3" name="Přímá spojovací čára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0994736" y="2762250"/>
          <a:ext cx="1347" cy="2762442"/>
        </a:xfrm>
        <a:prstGeom prst="line">
          <a:avLst/>
        </a:prstGeom>
        <a:ln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508000</xdr:colOff>
      <xdr:row>0</xdr:row>
      <xdr:rowOff>95250</xdr:rowOff>
    </xdr:from>
    <xdr:to>
      <xdr:col>33</xdr:col>
      <xdr:colOff>497417</xdr:colOff>
      <xdr:row>2</xdr:row>
      <xdr:rowOff>254000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228417" y="95250"/>
          <a:ext cx="11652250" cy="497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/>
            <a:t>Nepřímé srovnání</a:t>
          </a:r>
          <a:r>
            <a:rPr lang="cs-CZ" sz="1400" b="1" baseline="30000"/>
            <a:t>38</a:t>
          </a:r>
          <a:r>
            <a:rPr lang="cs-CZ" sz="1400" b="1"/>
            <a:t> ICER (v</a:t>
          </a:r>
          <a:r>
            <a:rPr lang="cs-CZ" sz="1400" b="1" baseline="0"/>
            <a:t> parametru EASI-50 - viz vysvětlení níže) jednotlivých intervencí </a:t>
          </a:r>
          <a:r>
            <a:rPr lang="cs-CZ" sz="1400" b="1"/>
            <a:t> vůči placebu vč</a:t>
          </a:r>
          <a:r>
            <a:rPr lang="cs-CZ" sz="1400" b="1" baseline="0"/>
            <a:t>etně CI 95% za prvních 16 týdnů léčby</a:t>
          </a:r>
          <a:r>
            <a:rPr lang="cs-CZ" sz="1400" b="1" baseline="30000"/>
            <a:t>42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(zeleným oválem je zvýrazněna nákladově nejefektivnější intervence</a:t>
          </a:r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červeným oválem je zvýrazněn LP EBGLYSS (monoterapie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čárkovaně jsou zvýrazněny hranice 95% CI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nákladově nejefekt.intervence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</a:t>
          </a:r>
          <a:endParaRPr lang="cs-CZ" sz="1400" b="1" baseline="30000"/>
        </a:p>
      </xdr:txBody>
    </xdr:sp>
    <xdr:clientData/>
  </xdr:twoCellAnchor>
  <xdr:twoCellAnchor>
    <xdr:from>
      <xdr:col>16</xdr:col>
      <xdr:colOff>605013</xdr:colOff>
      <xdr:row>16</xdr:row>
      <xdr:rowOff>178859</xdr:rowOff>
    </xdr:from>
    <xdr:to>
      <xdr:col>21</xdr:col>
      <xdr:colOff>282574</xdr:colOff>
      <xdr:row>17</xdr:row>
      <xdr:rowOff>180976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H="1">
          <a:off x="7272513" y="3331634"/>
          <a:ext cx="2725561" cy="202142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316442</xdr:colOff>
      <xdr:row>24</xdr:row>
      <xdr:rowOff>158751</xdr:rowOff>
    </xdr:from>
    <xdr:to>
      <xdr:col>19</xdr:col>
      <xdr:colOff>45506</xdr:colOff>
      <xdr:row>25</xdr:row>
      <xdr:rowOff>119945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>
          <a:off x="8878359" y="4889501"/>
          <a:ext cx="956730" cy="151694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21</xdr:col>
      <xdr:colOff>472014</xdr:colOff>
      <xdr:row>26</xdr:row>
      <xdr:rowOff>34925</xdr:rowOff>
    </xdr:from>
    <xdr:to>
      <xdr:col>24</xdr:col>
      <xdr:colOff>6350</xdr:colOff>
      <xdr:row>27</xdr:row>
      <xdr:rowOff>66675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>
          <a:off x="10187514" y="5273675"/>
          <a:ext cx="1363136" cy="222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27</xdr:col>
      <xdr:colOff>444498</xdr:colOff>
      <xdr:row>26</xdr:row>
      <xdr:rowOff>63501</xdr:rowOff>
    </xdr:from>
    <xdr:to>
      <xdr:col>33</xdr:col>
      <xdr:colOff>539750</xdr:colOff>
      <xdr:row>27</xdr:row>
      <xdr:rowOff>95251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flipH="1">
          <a:off x="15144748" y="5196418"/>
          <a:ext cx="3778252" cy="222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392906</xdr:colOff>
      <xdr:row>30</xdr:row>
      <xdr:rowOff>125677</xdr:rowOff>
    </xdr:from>
    <xdr:to>
      <xdr:col>29</xdr:col>
      <xdr:colOff>433915</xdr:colOff>
      <xdr:row>33</xdr:row>
      <xdr:rowOff>170655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621073" y="6031177"/>
          <a:ext cx="9248509" cy="61647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Výsledky léčby AD mohou být hodnoceny jako: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změna v odpovědi EASI (viz pozn. 15) od výchozí hodnoty a jsou kategorizovány jako % zlepšení –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např. EASI-50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znamená % zlepšení skóre EASI od výchozí hodnoty o ≥ 50 %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IGA skóre 0/1 (viz  pozn. 20) je pro FDA povinný jako primární cílový bod pro studie fáze III (jako výsledek léčby), v současné době ale není akceptován agenturou EMA jako primární cílový bod -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přísnější EASI-90 je téměř ekvivalentní IGA 0/1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endParaRPr lang="cs-CZ" sz="1200" b="1"/>
        </a:p>
      </xdr:txBody>
    </xdr:sp>
    <xdr:clientData/>
  </xdr:twoCellAnchor>
  <xdr:twoCellAnchor>
    <xdr:from>
      <xdr:col>14</xdr:col>
      <xdr:colOff>349250</xdr:colOff>
      <xdr:row>19</xdr:row>
      <xdr:rowOff>134056</xdr:rowOff>
    </xdr:from>
    <xdr:to>
      <xdr:col>17</xdr:col>
      <xdr:colOff>10584</xdr:colOff>
      <xdr:row>22</xdr:row>
      <xdr:rowOff>84667</xdr:rowOff>
    </xdr:to>
    <xdr:sp macro="" textlink="">
      <xdr:nvSpPr>
        <xdr:cNvPr id="13" name="TextovéPole 1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069667" y="3901723"/>
          <a:ext cx="1502834" cy="5538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800" b="1">
              <a:solidFill>
                <a:srgbClr val="FF0000"/>
              </a:solidFill>
            </a:rPr>
            <a:t>CAVE! ROZDÍLNÉ ŠÍŘE 95% CI U UPA 15/30 MG 1X DENNĚ DLE POUŽITÉ NMA !!! (viz pozn. 38)</a:t>
          </a:r>
        </a:p>
      </xdr:txBody>
    </xdr:sp>
    <xdr:clientData/>
  </xdr:twoCellAnchor>
  <xdr:twoCellAnchor>
    <xdr:from>
      <xdr:col>16</xdr:col>
      <xdr:colOff>285751</xdr:colOff>
      <xdr:row>17</xdr:row>
      <xdr:rowOff>31750</xdr:rowOff>
    </xdr:from>
    <xdr:to>
      <xdr:col>17</xdr:col>
      <xdr:colOff>296334</xdr:colOff>
      <xdr:row>19</xdr:row>
      <xdr:rowOff>127002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8233834" y="3397250"/>
          <a:ext cx="624417" cy="49741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56092</xdr:colOff>
      <xdr:row>21</xdr:row>
      <xdr:rowOff>179917</xdr:rowOff>
    </xdr:from>
    <xdr:to>
      <xdr:col>17</xdr:col>
      <xdr:colOff>543799</xdr:colOff>
      <xdr:row>25</xdr:row>
      <xdr:rowOff>52933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8004175" y="4360334"/>
          <a:ext cx="1101541" cy="6350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232832</xdr:colOff>
      <xdr:row>13</xdr:row>
      <xdr:rowOff>105833</xdr:rowOff>
    </xdr:from>
    <xdr:to>
      <xdr:col>33</xdr:col>
      <xdr:colOff>582083</xdr:colOff>
      <xdr:row>13</xdr:row>
      <xdr:rowOff>105833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6953249" y="2698750"/>
          <a:ext cx="120120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519904</xdr:colOff>
      <xdr:row>24</xdr:row>
      <xdr:rowOff>137583</xdr:rowOff>
    </xdr:from>
    <xdr:to>
      <xdr:col>33</xdr:col>
      <xdr:colOff>582081</xdr:colOff>
      <xdr:row>26</xdr:row>
      <xdr:rowOff>42333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 flipH="1">
          <a:off x="15220154" y="4889500"/>
          <a:ext cx="3745177" cy="285750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32</xdr:col>
      <xdr:colOff>211666</xdr:colOff>
      <xdr:row>20</xdr:row>
      <xdr:rowOff>2</xdr:rowOff>
    </xdr:from>
    <xdr:to>
      <xdr:col>32</xdr:col>
      <xdr:colOff>402166</xdr:colOff>
      <xdr:row>28</xdr:row>
      <xdr:rowOff>116418</xdr:rowOff>
    </xdr:to>
    <xdr:sp macro="" textlink="">
      <xdr:nvSpPr>
        <xdr:cNvPr id="32" name="Šipka dolů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17981083" y="3947585"/>
          <a:ext cx="190500" cy="1629833"/>
        </a:xfrm>
        <a:prstGeom prst="downArrow">
          <a:avLst/>
        </a:prstGeom>
        <a:gradFill>
          <a:gsLst>
            <a:gs pos="0">
              <a:schemeClr val="tx1">
                <a:lumMod val="50000"/>
                <a:lumOff val="50000"/>
              </a:schemeClr>
            </a:gs>
            <a:gs pos="1000">
              <a:schemeClr val="accent1">
                <a:tint val="44500"/>
                <a:satMod val="160000"/>
              </a:schemeClr>
            </a:gs>
            <a:gs pos="75000">
              <a:schemeClr val="accent1">
                <a:tint val="23500"/>
                <a:satMod val="160000"/>
                <a:alpha val="8000"/>
              </a:schemeClr>
            </a:gs>
          </a:gsLst>
          <a:lin ang="5400000" scaled="0"/>
        </a:gradFill>
        <a:ln>
          <a:solidFill>
            <a:schemeClr val="tx1"/>
          </a:solidFill>
        </a:ln>
        <a:effectLst>
          <a:outerShdw blurRad="50800" dist="50800" dir="5400000" algn="ctr" rotWithShape="0">
            <a:srgbClr val="000000">
              <a:alpha val="29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142871</xdr:colOff>
      <xdr:row>19</xdr:row>
      <xdr:rowOff>158751</xdr:rowOff>
    </xdr:from>
    <xdr:to>
      <xdr:col>19</xdr:col>
      <xdr:colOff>188590</xdr:colOff>
      <xdr:row>20</xdr:row>
      <xdr:rowOff>24554</xdr:rowOff>
    </xdr:to>
    <xdr:sp macro="" textlink="">
      <xdr:nvSpPr>
        <xdr:cNvPr id="37" name="Vývojový diagram: spojnic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 flipH="1">
          <a:off x="9932454" y="3926418"/>
          <a:ext cx="45719" cy="45719"/>
        </a:xfrm>
        <a:prstGeom prst="flowChart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306917</xdr:colOff>
      <xdr:row>19</xdr:row>
      <xdr:rowOff>177800</xdr:rowOff>
    </xdr:from>
    <xdr:to>
      <xdr:col>21</xdr:col>
      <xdr:colOff>207433</xdr:colOff>
      <xdr:row>20</xdr:row>
      <xdr:rowOff>1059</xdr:rowOff>
    </xdr:to>
    <xdr:cxnSp macro="">
      <xdr:nvCxnSpPr>
        <xdr:cNvPr id="44" name="Přímá spojnic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V="1">
          <a:off x="8868834" y="3945467"/>
          <a:ext cx="2355849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222251</xdr:colOff>
      <xdr:row>26</xdr:row>
      <xdr:rowOff>179916</xdr:rowOff>
    </xdr:from>
    <xdr:to>
      <xdr:col>22</xdr:col>
      <xdr:colOff>158750</xdr:colOff>
      <xdr:row>34</xdr:row>
      <xdr:rowOff>105833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11239501" y="5312833"/>
          <a:ext cx="550332" cy="1449917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0.14554</cdr:x>
      <cdr:y>0.37112</cdr:y>
    </cdr:from>
    <cdr:to>
      <cdr:x>0.14587</cdr:x>
      <cdr:y>0.77045</cdr:y>
    </cdr:to>
    <cdr:cxnSp macro="">
      <cdr:nvCxnSpPr>
        <cdr:cNvPr id="3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1752861" y="2607999"/>
          <a:ext cx="3974" cy="2806224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0.01318</cdr:x>
      <cdr:y>0.79917</cdr:y>
    </cdr:from>
    <cdr:to>
      <cdr:x>0.60726</cdr:x>
      <cdr:y>0.84507</cdr:y>
    </cdr:to>
    <cdr:sp macro="" textlink="">
      <cdr:nvSpPr>
        <cdr:cNvPr id="6" name="TextovéPole 1">
          <a:extLst xmlns:a="http://schemas.openxmlformats.org/drawingml/2006/main">
            <a:ext uri="{FF2B5EF4-FFF2-40B4-BE49-F238E27FC236}">
              <a16:creationId xmlns:a16="http://schemas.microsoft.com/office/drawing/2014/main" id="{DBB20B85-9A5C-4ED8-B9C1-EB3B01F84E9C}"/>
            </a:ext>
          </a:extLst>
        </cdr:cNvPr>
        <cdr:cNvSpPr txBox="1"/>
      </cdr:nvSpPr>
      <cdr:spPr>
        <a:xfrm xmlns:a="http://schemas.openxmlformats.org/drawingml/2006/main">
          <a:off x="158749" y="5683697"/>
          <a:ext cx="7154977" cy="326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i="0" baseline="0"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 kolik Kč vynaložím navíc při použití účinnější intervence pro dosažení EASI-50 u 1 pac. navíc vůči placebu (jeho bod.hodnotě) - log. stupnice</a:t>
          </a:r>
          <a:endParaRPr lang="cs-CZ" sz="900"/>
        </a:p>
      </cdr:txBody>
    </cdr:sp>
  </cdr:relSizeAnchor>
  <cdr:relSizeAnchor xmlns:cdr="http://schemas.openxmlformats.org/drawingml/2006/chartDrawing">
    <cdr:from>
      <cdr:x>0.5246</cdr:x>
      <cdr:y>0.0625</cdr:y>
    </cdr:from>
    <cdr:to>
      <cdr:x>0.69859</cdr:x>
      <cdr:y>0.77398</cdr:y>
    </cdr:to>
    <cdr:sp macro="" textlink="">
      <cdr:nvSpPr>
        <cdr:cNvPr id="7" name="TextovéPole 4">
          <a:extLst xmlns:a="http://schemas.openxmlformats.org/drawingml/2006/main">
            <a:ext uri="{FF2B5EF4-FFF2-40B4-BE49-F238E27FC236}">
              <a16:creationId xmlns:a16="http://schemas.microsoft.com/office/drawing/2014/main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6244168" y="432153"/>
          <a:ext cx="2070955" cy="49194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/>
            <a:t>     ICER              rozmezí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500" b="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/>
            <a:t>  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168.919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[146.693; 206.456]</a:t>
          </a:r>
          <a:endParaRPr lang="cs-CZ" sz="900">
            <a:effectLst/>
          </a:endParaRPr>
        </a:p>
        <a:p xmlns:a="http://schemas.openxmlformats.org/drawingml/2006/main"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158.057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[147.030; 180.636]</a:t>
          </a:r>
          <a:endParaRPr lang="cs-CZ" sz="900">
            <a:effectLst/>
          </a:endParaRPr>
        </a:p>
        <a:p xmlns:a="http://schemas.openxmlformats.org/drawingml/2006/main">
          <a:endParaRPr lang="cs-CZ" sz="9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137.675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[120.886; 165.211]</a:t>
          </a:r>
          <a:endParaRPr lang="cs-CZ" sz="900">
            <a:effectLst/>
          </a:endParaRPr>
        </a:p>
        <a:p xmlns:a="http://schemas.openxmlformats.org/drawingml/2006/main">
          <a:endParaRPr lang="cs-CZ" sz="11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225.287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[210.907; 247.816]</a:t>
          </a:r>
          <a:endParaRPr lang="cs-CZ" sz="900">
            <a:effectLst/>
          </a:endParaRPr>
        </a:p>
        <a:p xmlns:a="http://schemas.openxmlformats.org/drawingml/2006/main">
          <a:endParaRPr lang="cs-CZ" sz="9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194.563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[118.430; 544.777]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272.388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[194.563; 495.252]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252.004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[226.157; 275.629]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154.842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[123.874; 214.397]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117.079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[103.644; 140.495]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101.149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[72.887; 206.513]</a:t>
          </a:r>
          <a:endParaRPr lang="cs-CZ" sz="900">
            <a:effectLst/>
          </a:endParaRPr>
        </a:p>
        <a:p xmlns:a="http://schemas.openxmlformats.org/drawingml/2006/main">
          <a:endParaRPr lang="cs-CZ" sz="10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157.343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[133.955; 247.816]</a:t>
          </a:r>
          <a:endParaRPr lang="cs-CZ" sz="900">
            <a:effectLst/>
          </a:endParaRPr>
        </a:p>
        <a:p xmlns:a="http://schemas.openxmlformats.org/drawingml/2006/main">
          <a:endParaRPr lang="cs-CZ" sz="400" b="1"/>
        </a:p>
        <a:p xmlns:a="http://schemas.openxmlformats.org/drawingml/2006/main">
          <a:endParaRPr lang="cs-CZ" sz="4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151.327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[93.927; 340.486]</a:t>
          </a:r>
          <a:endParaRPr lang="cs-CZ" sz="900">
            <a:effectLst/>
          </a:endParaRPr>
        </a:p>
        <a:p xmlns:a="http://schemas.openxmlformats.org/drawingml/2006/main">
          <a:endParaRPr lang="cs-CZ" sz="800" b="1"/>
        </a:p>
        <a:p xmlns:a="http://schemas.openxmlformats.org/drawingml/2006/main">
          <a:endParaRPr lang="cs-CZ" sz="2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217.911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[155.651; 389.126]</a:t>
          </a:r>
          <a:endParaRPr lang="cs-CZ" sz="900">
            <a:effectLst/>
          </a:endParaRPr>
        </a:p>
        <a:p xmlns:a="http://schemas.openxmlformats.org/drawingml/2006/main">
          <a:endParaRPr lang="cs-CZ" sz="8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210.003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[180.003; 252.004]</a:t>
          </a:r>
        </a:p>
        <a:p xmlns:a="http://schemas.openxmlformats.org/drawingml/2006/main">
          <a:pPr eaLnBrk="1" fontAlgn="auto" latinLnBrk="0" hangingPunct="1"/>
          <a:endParaRPr lang="cs-CZ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168.011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[157.343; 183.567]</a:t>
          </a:r>
        </a:p>
        <a:p xmlns:a="http://schemas.openxmlformats.org/drawingml/2006/main">
          <a:pPr eaLnBrk="1" fontAlgn="auto" latinLnBrk="0" hangingPunct="1"/>
          <a:endParaRPr lang="cs-CZ" sz="8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101.149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[90.115; 115.263]</a:t>
          </a:r>
        </a:p>
        <a:p xmlns:a="http://schemas.openxmlformats.org/drawingml/2006/main">
          <a:pPr eaLnBrk="1" fontAlgn="auto" latinLnBrk="0" hangingPunct="1"/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331.895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[284.482; 4398.274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endParaRPr lang="cs-CZ" sz="200" b="1"/>
        </a:p>
        <a:p xmlns:a="http://schemas.openxmlformats.org/drawingml/2006/main">
          <a:endParaRPr lang="cs-CZ" sz="300">
            <a:effectLst/>
          </a:endParaRPr>
        </a:p>
        <a:p xmlns:a="http://schemas.openxmlformats.org/drawingml/2006/main">
          <a:endParaRPr lang="cs-CZ" sz="7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cs-CZ" sz="8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  </a:t>
          </a:r>
          <a:r>
            <a:rPr lang="cs-CZ" sz="900" baseline="0"/>
            <a:t>  </a:t>
          </a:r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>
            <a:effectLst/>
          </a:endParaRPr>
        </a:p>
        <a:p xmlns:a="http://schemas.openxmlformats.org/drawingml/2006/main">
          <a:endParaRPr lang="cs-CZ" sz="8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</a:t>
          </a:r>
          <a:endParaRPr lang="cs-CZ" sz="500"/>
        </a:p>
        <a:p xmlns:a="http://schemas.openxmlformats.org/drawingml/2006/main">
          <a:endParaRPr lang="cs-CZ" sz="1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900">
            <a:effectLst/>
          </a:endParaRPr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700"/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cdr:txBody>
    </cdr:sp>
  </cdr:relSizeAnchor>
  <cdr:relSizeAnchor xmlns:cdr="http://schemas.openxmlformats.org/drawingml/2006/chartDrawing">
    <cdr:from>
      <cdr:x>0.93321</cdr:x>
      <cdr:y>0.27524</cdr:y>
    </cdr:from>
    <cdr:to>
      <cdr:x>0.97276</cdr:x>
      <cdr:y>0.27524</cdr:y>
    </cdr:to>
    <cdr:cxnSp macro="">
      <cdr:nvCxnSpPr>
        <cdr:cNvPr id="4" name="Přímá spojnice 3">
          <a:extLst xmlns:a="http://schemas.openxmlformats.org/drawingml/2006/main">
            <a:ext uri="{FF2B5EF4-FFF2-40B4-BE49-F238E27FC236}">
              <a16:creationId xmlns:a16="http://schemas.microsoft.com/office/drawing/2014/main" id="{8CEBFB9B-A1C5-4F90-89CB-DB309269A638}"/>
            </a:ext>
          </a:extLst>
        </cdr:cNvPr>
        <cdr:cNvCxnSpPr/>
      </cdr:nvCxnSpPr>
      <cdr:spPr>
        <a:xfrm xmlns:a="http://schemas.openxmlformats.org/drawingml/2006/main">
          <a:off x="11239440" y="1954614"/>
          <a:ext cx="476334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0.95325</cdr:x>
      <cdr:y>0.55024</cdr:y>
    </cdr:from>
    <cdr:to>
      <cdr:x>0.99279</cdr:x>
      <cdr:y>0.55024</cdr:y>
    </cdr:to>
    <cdr:cxnSp macro="">
      <cdr:nvCxnSpPr>
        <cdr:cNvPr id="9" name="Přímá spojnice 8">
          <a:extLst xmlns:a="http://schemas.openxmlformats.org/drawingml/2006/main">
            <a:ext uri="{FF2B5EF4-FFF2-40B4-BE49-F238E27FC236}">
              <a16:creationId xmlns:a16="http://schemas.microsoft.com/office/drawing/2014/main" id="{DDCEE08B-6D33-4F4A-ADF6-E30097349D83}"/>
            </a:ext>
          </a:extLst>
        </cdr:cNvPr>
        <cdr:cNvCxnSpPr/>
      </cdr:nvCxnSpPr>
      <cdr:spPr>
        <a:xfrm xmlns:a="http://schemas.openxmlformats.org/drawingml/2006/main">
          <a:off x="11480828" y="3907504"/>
          <a:ext cx="476214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0.22902</cdr:x>
      <cdr:y>0.37114</cdr:y>
    </cdr:from>
    <cdr:to>
      <cdr:x>0.23023</cdr:x>
      <cdr:y>0.77194</cdr:y>
    </cdr:to>
    <cdr:cxnSp macro="">
      <cdr:nvCxnSpPr>
        <cdr:cNvPr id="10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758295" y="2608111"/>
          <a:ext cx="14573" cy="281655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0.18579</cdr:x>
      <cdr:y>0.37409</cdr:y>
    </cdr:from>
    <cdr:to>
      <cdr:x>0.18629</cdr:x>
      <cdr:y>0.7673</cdr:y>
    </cdr:to>
    <cdr:cxnSp macro="">
      <cdr:nvCxnSpPr>
        <cdr:cNvPr id="11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237595" y="2628827"/>
          <a:ext cx="6022" cy="276321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0.95747</cdr:x>
      <cdr:y>0.66744</cdr:y>
    </cdr:from>
    <cdr:to>
      <cdr:x>0.99701</cdr:x>
      <cdr:y>0.66744</cdr:y>
    </cdr:to>
    <cdr:cxnSp macro="">
      <cdr:nvCxnSpPr>
        <cdr:cNvPr id="12" name="Přímá spojnice 11">
          <a:extLst xmlns:a="http://schemas.openxmlformats.org/drawingml/2006/main">
            <a:ext uri="{FF2B5EF4-FFF2-40B4-BE49-F238E27FC236}">
              <a16:creationId xmlns:a16="http://schemas.microsoft.com/office/drawing/2014/main" id="{5E8E0F27-06C5-4738-AD99-75ABD2BA8FB6}"/>
            </a:ext>
          </a:extLst>
        </cdr:cNvPr>
        <cdr:cNvCxnSpPr/>
      </cdr:nvCxnSpPr>
      <cdr:spPr>
        <a:xfrm xmlns:a="http://schemas.openxmlformats.org/drawingml/2006/main">
          <a:off x="11531638" y="4739800"/>
          <a:ext cx="476213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0.95571</cdr:x>
      <cdr:y>0.70179</cdr:y>
    </cdr:from>
    <cdr:to>
      <cdr:x>0.99525</cdr:x>
      <cdr:y>0.70179</cdr:y>
    </cdr:to>
    <cdr:cxnSp macro="">
      <cdr:nvCxnSpPr>
        <cdr:cNvPr id="13" name="Přímá spojnice 12">
          <a:extLst xmlns:a="http://schemas.openxmlformats.org/drawingml/2006/main">
            <a:ext uri="{FF2B5EF4-FFF2-40B4-BE49-F238E27FC236}">
              <a16:creationId xmlns:a16="http://schemas.microsoft.com/office/drawing/2014/main" id="{96900004-A05E-458B-BB13-D0DC9FABEF1C}"/>
            </a:ext>
          </a:extLst>
        </cdr:cNvPr>
        <cdr:cNvCxnSpPr/>
      </cdr:nvCxnSpPr>
      <cdr:spPr>
        <a:xfrm xmlns:a="http://schemas.openxmlformats.org/drawingml/2006/main">
          <a:off x="11510432" y="4991101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0.02179</cdr:x>
      <cdr:y>0.08155</cdr:y>
    </cdr:from>
    <cdr:to>
      <cdr:x>0.13163</cdr:x>
      <cdr:y>0.14107</cdr:y>
    </cdr:to>
    <cdr:sp macro="" textlink="">
      <cdr:nvSpPr>
        <cdr:cNvPr id="17" name="TextovéPole 11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262467" y="579966"/>
          <a:ext cx="1322917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KOMBINACE S TCS</a:t>
          </a:r>
        </a:p>
      </cdr:txBody>
    </cdr:sp>
  </cdr:relSizeAnchor>
  <cdr:relSizeAnchor xmlns:cdr="http://schemas.openxmlformats.org/drawingml/2006/chartDrawing">
    <cdr:from>
      <cdr:x>0.41195</cdr:x>
      <cdr:y>0.38656</cdr:y>
    </cdr:from>
    <cdr:to>
      <cdr:x>0.52179</cdr:x>
      <cdr:y>0.44608</cdr:y>
    </cdr:to>
    <cdr:sp macro="" textlink="">
      <cdr:nvSpPr>
        <cdr:cNvPr id="18" name="TextovéPole 11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4961503" y="2745148"/>
          <a:ext cx="1322894" cy="4226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MONOTERAPIE</a:t>
          </a:r>
        </a:p>
      </cdr:txBody>
    </cdr:sp>
  </cdr:relSizeAnchor>
  <cdr:relSizeAnchor xmlns:cdr="http://schemas.openxmlformats.org/drawingml/2006/chartDrawing">
    <cdr:from>
      <cdr:x>0.68454</cdr:x>
      <cdr:y>0.44589</cdr:y>
    </cdr:from>
    <cdr:to>
      <cdr:x>0.9877</cdr:x>
      <cdr:y>0.47465</cdr:y>
    </cdr:to>
    <cdr:sp macro="" textlink="">
      <cdr:nvSpPr>
        <cdr:cNvPr id="20" name="Ovál 19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244454" y="3166470"/>
          <a:ext cx="3651209" cy="20423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0.80053</cdr:x>
      <cdr:y>0.77679</cdr:y>
    </cdr:from>
    <cdr:to>
      <cdr:x>0.99348</cdr:x>
      <cdr:y>0.925</cdr:y>
    </cdr:to>
    <cdr:sp macro="" textlink="">
      <cdr:nvSpPr>
        <cdr:cNvPr id="23" name="TextovéPole 10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F000000}"/>
            </a:ext>
          </a:extLst>
        </cdr:cNvPr>
        <cdr:cNvSpPr txBox="1"/>
      </cdr:nvSpPr>
      <cdr:spPr>
        <a:xfrm xmlns:a="http://schemas.openxmlformats.org/drawingml/2006/main">
          <a:off x="9528485" y="5371070"/>
          <a:ext cx="2296625" cy="1024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bari 2mg 1x denně byl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mezi oběma NMA (pozn. 17 a 37) </a:t>
          </a:r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něco větší rozdíl (cca 13%) mezi bod. hodnotami a 95%CI  (viz pozn. 38) - </a:t>
          </a:r>
          <a:r>
            <a:rPr lang="cs-CZ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ICER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bodová hodnota dle NMA</a:t>
          </a:r>
          <a:r>
            <a:rPr lang="cs-CZ" sz="105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činila cca 123.000 Kč, tj o cca 38 tisíc Kč méně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  <a:endParaRPr lang="cs-CZ" sz="1050" b="1"/>
        </a:p>
      </cdr:txBody>
    </cdr:sp>
  </cdr:relSizeAnchor>
  <cdr:relSizeAnchor xmlns:cdr="http://schemas.openxmlformats.org/drawingml/2006/chartDrawing">
    <cdr:from>
      <cdr:x>0.2377</cdr:x>
      <cdr:y>0.07086</cdr:y>
    </cdr:from>
    <cdr:to>
      <cdr:x>0.23814</cdr:x>
      <cdr:y>0.36813</cdr:y>
    </cdr:to>
    <cdr:cxnSp macro="">
      <cdr:nvCxnSpPr>
        <cdr:cNvPr id="25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2862836" y="497929"/>
          <a:ext cx="5299" cy="208901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0.29256</cdr:x>
      <cdr:y>0.07144</cdr:y>
    </cdr:from>
    <cdr:to>
      <cdr:x>0.2935</cdr:x>
      <cdr:y>0.37112</cdr:y>
    </cdr:to>
    <cdr:cxnSp macro="">
      <cdr:nvCxnSpPr>
        <cdr:cNvPr id="29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3523485" y="502046"/>
          <a:ext cx="11321" cy="210595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0.22385</cdr:x>
      <cdr:y>0.17541</cdr:y>
    </cdr:from>
    <cdr:to>
      <cdr:x>0.30792</cdr:x>
      <cdr:y>0.20723</cdr:y>
    </cdr:to>
    <cdr:sp macro="" textlink="">
      <cdr:nvSpPr>
        <cdr:cNvPr id="31" name="Ovál 30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2695954" y="1232637"/>
          <a:ext cx="1012525" cy="22361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0.6819</cdr:x>
      <cdr:y>0.17288</cdr:y>
    </cdr:from>
    <cdr:to>
      <cdr:x>0.98682</cdr:x>
      <cdr:y>0.20382</cdr:y>
    </cdr:to>
    <cdr:sp macro="" textlink="">
      <cdr:nvSpPr>
        <cdr:cNvPr id="33" name="Ovál 32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212675" y="1227668"/>
          <a:ext cx="3672406" cy="21976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0.13339</cdr:x>
      <cdr:y>0.5934</cdr:y>
    </cdr:from>
    <cdr:to>
      <cdr:x>0.27768</cdr:x>
      <cdr:y>0.64978</cdr:y>
    </cdr:to>
    <cdr:cxnSp macro="">
      <cdr:nvCxnSpPr>
        <cdr:cNvPr id="34" name="Přímá spojnice se šipkou 33">
          <a:extLst xmlns:a="http://schemas.openxmlformats.org/drawingml/2006/main">
            <a:ext uri="{FF2B5EF4-FFF2-40B4-BE49-F238E27FC236}">
              <a16:creationId xmlns:a16="http://schemas.microsoft.com/office/drawing/2014/main" id="{9546E772-9E13-42BC-9098-AFAE39513E78}"/>
            </a:ext>
          </a:extLst>
        </cdr:cNvPr>
        <cdr:cNvCxnSpPr/>
      </cdr:nvCxnSpPr>
      <cdr:spPr>
        <a:xfrm xmlns:a="http://schemas.openxmlformats.org/drawingml/2006/main">
          <a:off x="1606498" y="4214005"/>
          <a:ext cx="1737835" cy="4003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0.1362</cdr:x>
      <cdr:y>0.50441</cdr:y>
    </cdr:from>
    <cdr:to>
      <cdr:x>0.25659</cdr:x>
      <cdr:y>0.56036</cdr:y>
    </cdr:to>
    <cdr:cxnSp macro="">
      <cdr:nvCxnSpPr>
        <cdr:cNvPr id="35" name="Přímá spojnice se šipkou 34">
          <a:extLst xmlns:a="http://schemas.openxmlformats.org/drawingml/2006/main">
            <a:ext uri="{FF2B5EF4-FFF2-40B4-BE49-F238E27FC236}">
              <a16:creationId xmlns:a16="http://schemas.microsoft.com/office/drawing/2014/main" id="{8690BB43-FF35-413E-8AB4-9D21BF3627FE}"/>
            </a:ext>
          </a:extLst>
        </cdr:cNvPr>
        <cdr:cNvCxnSpPr/>
      </cdr:nvCxnSpPr>
      <cdr:spPr>
        <a:xfrm xmlns:a="http://schemas.openxmlformats.org/drawingml/2006/main" flipV="1">
          <a:off x="1640417" y="3582047"/>
          <a:ext cx="1449954" cy="3972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0.28295</cdr:x>
      <cdr:y>0.7079</cdr:y>
    </cdr:from>
    <cdr:to>
      <cdr:x>0.36907</cdr:x>
      <cdr:y>0.74963</cdr:y>
    </cdr:to>
    <cdr:sp macro="" textlink="">
      <cdr:nvSpPr>
        <cdr:cNvPr id="28" name="TextovéPole 27"/>
        <cdr:cNvSpPr txBox="1"/>
      </cdr:nvSpPr>
      <cdr:spPr>
        <a:xfrm xmlns:a="http://schemas.openxmlformats.org/drawingml/2006/main">
          <a:off x="3407833" y="5027084"/>
          <a:ext cx="1037167" cy="296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0.05536</cdr:x>
      <cdr:y>0.93115</cdr:y>
    </cdr:from>
    <cdr:to>
      <cdr:x>0.74956</cdr:x>
      <cdr:y>0.99255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66750" y="6612467"/>
          <a:ext cx="8360833" cy="4360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/>
            <a:t>* CAVE! dle hodnocení SUKLu</a:t>
          </a:r>
          <a:r>
            <a:rPr lang="cs-CZ" sz="1100" b="1" baseline="30000"/>
            <a:t>55</a:t>
          </a:r>
          <a:r>
            <a:rPr lang="cs-CZ" sz="1100" b="1"/>
            <a:t> je účinnost LP EBGLYSS považována za cca stejnou jako má LP DUPIXENT,</a:t>
          </a:r>
          <a:r>
            <a:rPr lang="cs-CZ" sz="1100" b="1" baseline="0"/>
            <a:t> u kombinace s TCS vychází bodová</a:t>
          </a:r>
        </a:p>
        <a:p xmlns:a="http://schemas.openxmlformats.org/drawingml/2006/main">
          <a:r>
            <a:rPr lang="cs-CZ" sz="1100" b="1" baseline="0"/>
            <a:t>   hodnota  ICER oproti DUPIXENTu + TCS ještě o cca 190.000 Kč vyšší, konkrétně  442.527 Kč</a:t>
          </a:r>
          <a:r>
            <a:rPr lang="cs-CZ" sz="1100" b="1"/>
            <a:t>!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153456</xdr:colOff>
      <xdr:row>0</xdr:row>
      <xdr:rowOff>74084</xdr:rowOff>
    </xdr:from>
    <xdr:to>
      <xdr:col>17</xdr:col>
      <xdr:colOff>571499</xdr:colOff>
      <xdr:row>16</xdr:row>
      <xdr:rowOff>349251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518581</xdr:colOff>
      <xdr:row>12</xdr:row>
      <xdr:rowOff>211663</xdr:rowOff>
    </xdr:from>
    <xdr:to>
      <xdr:col>5</xdr:col>
      <xdr:colOff>137582</xdr:colOff>
      <xdr:row>13</xdr:row>
      <xdr:rowOff>126996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863164" y="4921246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12</xdr:col>
      <xdr:colOff>391583</xdr:colOff>
      <xdr:row>7</xdr:row>
      <xdr:rowOff>35278</xdr:rowOff>
    </xdr:from>
    <xdr:to>
      <xdr:col>13</xdr:col>
      <xdr:colOff>338666</xdr:colOff>
      <xdr:row>7</xdr:row>
      <xdr:rowOff>264587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11137194" y="2885722"/>
          <a:ext cx="589139" cy="229309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21166</xdr:colOff>
      <xdr:row>3</xdr:row>
      <xdr:rowOff>162280</xdr:rowOff>
    </xdr:from>
    <xdr:to>
      <xdr:col>7</xdr:col>
      <xdr:colOff>275166</xdr:colOff>
      <xdr:row>4</xdr:row>
      <xdr:rowOff>105835</xdr:rowOff>
    </xdr:to>
    <xdr:sp macro="" textlink="">
      <xdr:nvSpPr>
        <xdr:cNvPr id="7" name="Šipka: dolů 6">
          <a:extLst>
            <a:ext uri="{FF2B5EF4-FFF2-40B4-BE49-F238E27FC236}">
              <a16:creationId xmlns:a16="http://schemas.microsoft.com/office/drawing/2014/main" id="{2BD61F9C-D6BA-47F1-A8E8-DD837E9E4775}"/>
            </a:ext>
          </a:extLst>
        </xdr:cNvPr>
        <xdr:cNvSpPr/>
      </xdr:nvSpPr>
      <xdr:spPr>
        <a:xfrm rot="259940">
          <a:off x="7521222" y="1552224"/>
          <a:ext cx="254000" cy="30338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247648</xdr:colOff>
      <xdr:row>4</xdr:row>
      <xdr:rowOff>71265</xdr:rowOff>
    </xdr:from>
    <xdr:to>
      <xdr:col>8</xdr:col>
      <xdr:colOff>551037</xdr:colOff>
      <xdr:row>4</xdr:row>
      <xdr:rowOff>325265</xdr:rowOff>
    </xdr:to>
    <xdr:sp macro="" textlink="">
      <xdr:nvSpPr>
        <xdr:cNvPr id="8" name="Šipka: dolů 7">
          <a:extLst>
            <a:ext uri="{FF2B5EF4-FFF2-40B4-BE49-F238E27FC236}">
              <a16:creationId xmlns:a16="http://schemas.microsoft.com/office/drawing/2014/main" id="{95AE1917-083C-4498-8731-08ECEA30BF6B}"/>
            </a:ext>
          </a:extLst>
        </xdr:cNvPr>
        <xdr:cNvSpPr/>
      </xdr:nvSpPr>
      <xdr:spPr>
        <a:xfrm rot="3531583">
          <a:off x="8407399" y="1796348"/>
          <a:ext cx="254000" cy="30338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0.71228</cdr:x>
      <cdr:y>0.6146</cdr:y>
    </cdr:from>
    <cdr:to>
      <cdr:x>0.92716</cdr:x>
      <cdr:y>0.67732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418828" y="3948257"/>
          <a:ext cx="1936436" cy="40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0.27684</cdr:x>
      <cdr:y>0.75128</cdr:y>
    </cdr:from>
    <cdr:to>
      <cdr:x>0.31885</cdr:x>
      <cdr:y>0.77057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94777" y="4826274"/>
          <a:ext cx="378582" cy="1239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0.76395</cdr:x>
      <cdr:y>0.12074</cdr:y>
    </cdr:from>
    <cdr:to>
      <cdr:x>0.82749</cdr:x>
      <cdr:y>0.13784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7186341" y="787996"/>
          <a:ext cx="597703" cy="1115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 rok éčby </a:t>
          </a:r>
        </a:p>
      </cdr:txBody>
    </cdr:sp>
  </cdr:relSizeAnchor>
  <cdr:relSizeAnchor xmlns:cdr="http://schemas.openxmlformats.org/drawingml/2006/chartDrawing">
    <cdr:from>
      <cdr:x>0.25543</cdr:x>
      <cdr:y>0.81414</cdr:y>
    </cdr:from>
    <cdr:to>
      <cdr:x>0.86426</cdr:x>
      <cdr:y>0.85247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301855" y="5230118"/>
          <a:ext cx="5486599" cy="2462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EASI-75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0.01153</cdr:x>
      <cdr:y>0.82615</cdr:y>
    </cdr:from>
    <cdr:to>
      <cdr:x>0.9892</cdr:x>
      <cdr:y>0.89723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03916" y="5307252"/>
          <a:ext cx="8810478" cy="4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0.81297</cdr:x>
      <cdr:y>0.50471</cdr:y>
    </cdr:from>
    <cdr:to>
      <cdr:x>0.82207</cdr:x>
      <cdr:y>0.60637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245616" y="3259667"/>
          <a:ext cx="81076" cy="6565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0.38227</cdr:x>
      <cdr:y>0.24559</cdr:y>
    </cdr:from>
    <cdr:to>
      <cdr:x>0.5791</cdr:x>
      <cdr:y>0.29616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444944" y="1608878"/>
          <a:ext cx="1773774" cy="331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DUPIXENT 300MG INJ SOL 2X2ML - 300mg ā 2 týdny + TCS</a:t>
          </a:r>
        </a:p>
      </cdr:txBody>
    </cdr:sp>
  </cdr:relSizeAnchor>
  <cdr:relSizeAnchor xmlns:cdr="http://schemas.openxmlformats.org/drawingml/2006/chartDrawing">
    <cdr:from>
      <cdr:x>0.54316</cdr:x>
      <cdr:y>0.28433</cdr:y>
    </cdr:from>
    <cdr:to>
      <cdr:x>0.66998</cdr:x>
      <cdr:y>0.29351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109409" y="1855648"/>
          <a:ext cx="1192968" cy="599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0.13212</cdr:x>
      <cdr:y>0.00824</cdr:y>
    </cdr:from>
    <cdr:to>
      <cdr:x>0.9495</cdr:x>
      <cdr:y>0.07578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1190627" y="52916"/>
          <a:ext cx="7365992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EASI-75 v % pacientů (jen bodové hodnoty) oproti ceně intervence za první rok léčby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cs-CZ" sz="1100">
              <a:effectLst/>
              <a:latin typeface="+mn-lt"/>
              <a:ea typeface="+mn-ea"/>
              <a:cs typeface="+mn-cs"/>
            </a:rPr>
            <a:t>(podtržena je nákladově nejefektivnější intervence</a:t>
          </a:r>
          <a:r>
            <a:rPr lang="cs-CZ" sz="1100" u="sng">
              <a:effectLst/>
              <a:latin typeface="+mn-lt"/>
              <a:ea typeface="+mn-ea"/>
              <a:cs typeface="+mn-cs"/>
            </a:rPr>
            <a:t>, 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červeným oválem je zvýrazněn LP EBGLYSS</a:t>
          </a:r>
          <a:r>
            <a:rPr lang="cs-CZ" sz="1100">
              <a:effectLst/>
              <a:latin typeface="+mn-lt"/>
              <a:ea typeface="+mn-ea"/>
              <a:cs typeface="+mn-cs"/>
            </a:rPr>
            <a:t>)</a:t>
          </a:r>
          <a:endParaRPr lang="cs-CZ" sz="1200"/>
        </a:p>
      </cdr:txBody>
    </cdr:sp>
  </cdr:relSizeAnchor>
  <cdr:relSizeAnchor xmlns:cdr="http://schemas.openxmlformats.org/drawingml/2006/chartDrawing">
    <cdr:from>
      <cdr:x>0.51967</cdr:x>
      <cdr:y>0.31633</cdr:y>
    </cdr:from>
    <cdr:to>
      <cdr:x>0.62889</cdr:x>
      <cdr:y>0.45068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4683106" y="1968498"/>
          <a:ext cx="984258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+/- TCS</a:t>
          </a:r>
        </a:p>
      </cdr:txBody>
    </cdr:sp>
  </cdr:relSizeAnchor>
  <cdr:relSizeAnchor xmlns:cdr="http://schemas.openxmlformats.org/drawingml/2006/chartDrawing">
    <cdr:from>
      <cdr:x>0.61598</cdr:x>
      <cdr:y>0.36703</cdr:y>
    </cdr:from>
    <cdr:to>
      <cdr:x>0.72167</cdr:x>
      <cdr:y>0.37253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794377" y="2395360"/>
          <a:ext cx="994244" cy="3593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0.3422</cdr:x>
      <cdr:y>0.46973</cdr:y>
    </cdr:from>
    <cdr:to>
      <cdr:x>0.80124</cdr:x>
      <cdr:y>0.76942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3219014" y="3065638"/>
          <a:ext cx="4318086" cy="195589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0.21233</cdr:x>
      <cdr:y>0.70566</cdr:y>
    </cdr:from>
    <cdr:to>
      <cdr:x>0.32825</cdr:x>
      <cdr:y>0.75224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1913442" y="4533197"/>
          <a:ext cx="1044637" cy="29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0.8152</cdr:x>
      <cdr:y>0.15622</cdr:y>
    </cdr:from>
    <cdr:to>
      <cdr:x>0.84249</cdr:x>
      <cdr:y>0.44476</cdr:y>
    </cdr:to>
    <cdr:cxnSp macro="">
      <cdr:nvCxnSpPr>
        <cdr:cNvPr id="67" name="Přímá spojnice 66">
          <a:extLst xmlns:a="http://schemas.openxmlformats.org/drawingml/2006/main">
            <a:ext uri="{FF2B5EF4-FFF2-40B4-BE49-F238E27FC236}">
              <a16:creationId xmlns:a16="http://schemas.microsoft.com/office/drawing/2014/main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7668440" y="1019527"/>
          <a:ext cx="256715" cy="188314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0.5212</cdr:x>
      <cdr:y>0.44864</cdr:y>
    </cdr:from>
    <cdr:to>
      <cdr:x>0.63041</cdr:x>
      <cdr:y>0.58299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4696941" y="2791912"/>
          <a:ext cx="984169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+/- TCS</a:t>
          </a:r>
        </a:p>
      </cdr:txBody>
    </cdr:sp>
  </cdr:relSizeAnchor>
  <cdr:relSizeAnchor xmlns:cdr="http://schemas.openxmlformats.org/drawingml/2006/chartDrawing">
    <cdr:from>
      <cdr:x>0.55995</cdr:x>
      <cdr:y>0.09149</cdr:y>
    </cdr:from>
    <cdr:to>
      <cdr:x>0.76629</cdr:x>
      <cdr:y>0.15421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5046113" y="569361"/>
          <a:ext cx="1859477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0.44016</cdr:x>
      <cdr:y>0.68355</cdr:y>
    </cdr:from>
    <cdr:to>
      <cdr:x>0.59365</cdr:x>
      <cdr:y>0.74439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3966633" y="4391195"/>
          <a:ext cx="1383207" cy="39084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 rok kombinace  s  TCS</a:t>
          </a:r>
          <a:endParaRPr lang="cs-CZ" sz="900"/>
        </a:p>
      </cdr:txBody>
    </cdr:sp>
  </cdr:relSizeAnchor>
  <cdr:relSizeAnchor xmlns:cdr="http://schemas.openxmlformats.org/drawingml/2006/chartDrawing">
    <cdr:from>
      <cdr:x>0.20493</cdr:x>
      <cdr:y>0.10501</cdr:y>
    </cdr:from>
    <cdr:to>
      <cdr:x>0.49618</cdr:x>
      <cdr:y>0.22456</cdr:y>
    </cdr:to>
    <cdr:sp macro="" textlink="">
      <cdr:nvSpPr>
        <cdr:cNvPr id="91" name="Ovál 90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1C000000}"/>
            </a:ext>
          </a:extLst>
        </cdr:cNvPr>
        <cdr:cNvSpPr/>
      </cdr:nvSpPr>
      <cdr:spPr>
        <a:xfrm xmlns:a="http://schemas.openxmlformats.org/drawingml/2006/main">
          <a:off x="1846792" y="687915"/>
          <a:ext cx="2624667" cy="78316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0.0734</cdr:x>
      <cdr:y>0.86634</cdr:y>
    </cdr:from>
    <cdr:to>
      <cdr:x>0.93776</cdr:x>
      <cdr:y>0.98223</cdr:y>
    </cdr:to>
    <cdr:sp macro="" textlink="">
      <cdr:nvSpPr>
        <cdr:cNvPr id="53" name="TextovéPole 10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B000000}"/>
            </a:ext>
          </a:extLst>
        </cdr:cNvPr>
        <cdr:cNvSpPr txBox="1"/>
      </cdr:nvSpPr>
      <cdr:spPr>
        <a:xfrm xmlns:a="http://schemas.openxmlformats.org/drawingml/2006/main">
          <a:off x="661460" y="5675465"/>
          <a:ext cx="7789361" cy="759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</a:t>
          </a:r>
          <a:r>
            <a:rPr lang="cs-CZ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JEDNÁ SE JEN O "NAIVNÍ" NEPŘÍMÉ POROVNÁNÍ RŮZNÝCH STUDI</a:t>
          </a:r>
          <a:r>
            <a:rPr lang="cs-CZ" sz="14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Í47</a:t>
          </a:r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pPr algn="ctr"/>
          <a:endParaRPr lang="cs-CZ" sz="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 dle hodnocení SUKLu</a:t>
          </a:r>
          <a:r>
            <a:rPr lang="cs-CZ" sz="12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</a:t>
          </a: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účinnost LP EBGLYSS považována za cca stejnou jako má LP DUPIXENT!</a:t>
          </a:r>
          <a:endParaRPr lang="cs-CZ" sz="1200" b="1"/>
        </a:p>
      </cdr:txBody>
    </cdr:sp>
  </cdr:relSizeAnchor>
  <cdr:relSizeAnchor xmlns:cdr="http://schemas.openxmlformats.org/drawingml/2006/chartDrawing">
    <cdr:from>
      <cdr:x>0.23782</cdr:x>
      <cdr:y>0.11922</cdr:y>
    </cdr:from>
    <cdr:to>
      <cdr:x>0.47974</cdr:x>
      <cdr:y>0.22779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2143127" y="781049"/>
          <a:ext cx="2180167" cy="71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7030A0"/>
              </a:solidFill>
            </a:rPr>
            <a:t>EBGLYSS 250MG INJ SOL 1X2ML - indukce  jen 16 týdnů   + TCS</a:t>
          </a:r>
          <a:r>
            <a:rPr lang="cs-CZ" sz="900" b="1">
              <a:solidFill>
                <a:sysClr val="windowText" lastClr="000000"/>
              </a:solidFill>
            </a:rPr>
            <a:t>,  </a:t>
          </a:r>
          <a:r>
            <a:rPr lang="cs-CZ" sz="900" b="1" u="sng">
              <a:solidFill>
                <a:sysClr val="windowText" lastClr="000000"/>
              </a:solidFill>
            </a:rPr>
            <a:t>CAVE! měsíční náklady (oproti jiným LP) po</a:t>
          </a:r>
          <a:r>
            <a:rPr lang="cs-CZ" sz="900" b="1" u="sng" baseline="0">
              <a:solidFill>
                <a:sysClr val="windowText" lastClr="000000"/>
              </a:solidFill>
            </a:rPr>
            <a:t> indukční době výrazně klesnou - viz list BIA</a:t>
          </a:r>
          <a:r>
            <a:rPr lang="cs-CZ" sz="900" b="1" baseline="0">
              <a:solidFill>
                <a:sysClr val="windowText" lastClr="000000"/>
              </a:solidFill>
            </a:rPr>
            <a:t>!!!</a:t>
          </a:r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0.44921</cdr:x>
      <cdr:y>0.18417</cdr:y>
    </cdr:from>
    <cdr:to>
      <cdr:x>0.66999</cdr:x>
      <cdr:y>0.2811</cdr:y>
    </cdr:to>
    <cdr:cxnSp macro="">
      <cdr:nvCxnSpPr>
        <cdr:cNvPr id="26" name="Přímá spojnice se šipkou 25">
          <a:extLst xmlns:a="http://schemas.openxmlformats.org/drawingml/2006/main">
            <a:ext uri="{FF2B5EF4-FFF2-40B4-BE49-F238E27FC236}">
              <a16:creationId xmlns:a16="http://schemas.microsoft.com/office/drawing/2014/main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048150" y="1206513"/>
          <a:ext cx="1989644" cy="6349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0.19951</cdr:x>
      <cdr:y>0.27805</cdr:y>
    </cdr:from>
    <cdr:to>
      <cdr:x>0.34584</cdr:x>
      <cdr:y>0.47173</cdr:y>
    </cdr:to>
    <cdr:sp macro="" textlink="">
      <cdr:nvSpPr>
        <cdr:cNvPr id="27" name="TextovéPole 5">
          <a:extLst xmlns:a="http://schemas.openxmlformats.org/drawingml/2006/main">
            <a:ext uri="{FF2B5EF4-FFF2-40B4-BE49-F238E27FC236}">
              <a16:creationId xmlns:a16="http://schemas.microsoft.com/office/drawing/2014/main" id="{CB35C902-8DC7-4142-AB91-A3F1A39A9120}"/>
            </a:ext>
          </a:extLst>
        </cdr:cNvPr>
        <cdr:cNvSpPr txBox="1"/>
      </cdr:nvSpPr>
      <cdr:spPr>
        <a:xfrm xmlns:a="http://schemas.openxmlformats.org/drawingml/2006/main">
          <a:off x="1797926" y="1821529"/>
          <a:ext cx="1318684" cy="12688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/>
            <a:t>EBGLYSS</a:t>
          </a:r>
          <a:r>
            <a:rPr lang="cs-CZ" sz="900" b="1" baseline="0"/>
            <a:t> se po indukční době podává ā 4 týdny, narozdíl od DUPIXENTU, který je 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ā</a:t>
          </a:r>
          <a:r>
            <a:rPr lang="cs-CZ" sz="900" b="1" baseline="0"/>
            <a:t> 2 týdny - pro další odlišnosti viz list "</a:t>
          </a:r>
          <a:r>
            <a:rPr lang="cs-CZ" sz="900" b="1" i="1" baseline="0"/>
            <a:t>Seznam přípravků</a:t>
          </a:r>
          <a:r>
            <a:rPr lang="cs-CZ" sz="900" b="1" baseline="0"/>
            <a:t>" a list "</a:t>
          </a:r>
          <a:r>
            <a:rPr lang="cs-CZ" sz="900" b="1" i="1" baseline="0"/>
            <a:t>BIA</a:t>
          </a:r>
          <a:r>
            <a:rPr lang="cs-CZ" sz="900" b="1" baseline="0"/>
            <a:t>"</a:t>
          </a:r>
          <a:endParaRPr lang="cs-CZ" sz="9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63500</xdr:rowOff>
    </xdr:from>
    <xdr:to>
      <xdr:col>27</xdr:col>
      <xdr:colOff>84667</xdr:colOff>
      <xdr:row>28</xdr:row>
      <xdr:rowOff>166688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55599" y="63500"/>
          <a:ext cx="16112068" cy="5239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98777</xdr:colOff>
      <xdr:row>1</xdr:row>
      <xdr:rowOff>21168</xdr:rowOff>
    </xdr:from>
    <xdr:to>
      <xdr:col>4</xdr:col>
      <xdr:colOff>238477</xdr:colOff>
      <xdr:row>2</xdr:row>
      <xdr:rowOff>65617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55" y="204612"/>
          <a:ext cx="1960033" cy="22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2</xdr:row>
      <xdr:rowOff>70556</xdr:rowOff>
    </xdr:from>
    <xdr:to>
      <xdr:col>11</xdr:col>
      <xdr:colOff>373944</xdr:colOff>
      <xdr:row>14</xdr:row>
      <xdr:rowOff>106997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437445"/>
          <a:ext cx="6427611" cy="223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198437</xdr:colOff>
      <xdr:row>16</xdr:row>
      <xdr:rowOff>15876</xdr:rowOff>
    </xdr:from>
    <xdr:to>
      <xdr:col>3</xdr:col>
      <xdr:colOff>555625</xdr:colOff>
      <xdr:row>16</xdr:row>
      <xdr:rowOff>157588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36876"/>
          <a:ext cx="1579563" cy="141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17</xdr:row>
      <xdr:rowOff>23812</xdr:rowOff>
    </xdr:from>
    <xdr:to>
      <xdr:col>5</xdr:col>
      <xdr:colOff>492125</xdr:colOff>
      <xdr:row>18</xdr:row>
      <xdr:rowOff>3361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127375"/>
          <a:ext cx="2976563" cy="16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0</xdr:rowOff>
    </xdr:from>
    <xdr:to>
      <xdr:col>8</xdr:col>
      <xdr:colOff>333375</xdr:colOff>
      <xdr:row>18</xdr:row>
      <xdr:rowOff>130912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86125"/>
          <a:ext cx="4603750" cy="13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134939</xdr:rowOff>
    </xdr:from>
    <xdr:to>
      <xdr:col>11</xdr:col>
      <xdr:colOff>515937</xdr:colOff>
      <xdr:row>20</xdr:row>
      <xdr:rowOff>71564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21064"/>
          <a:ext cx="6619875" cy="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20</xdr:row>
      <xdr:rowOff>95251</xdr:rowOff>
    </xdr:from>
    <xdr:to>
      <xdr:col>11</xdr:col>
      <xdr:colOff>452437</xdr:colOff>
      <xdr:row>21</xdr:row>
      <xdr:rowOff>166687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46501"/>
          <a:ext cx="6556375" cy="25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21</xdr:row>
      <xdr:rowOff>174626</xdr:rowOff>
    </xdr:from>
    <xdr:to>
      <xdr:col>11</xdr:col>
      <xdr:colOff>436562</xdr:colOff>
      <xdr:row>23</xdr:row>
      <xdr:rowOff>101589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4008439"/>
          <a:ext cx="6524625" cy="2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23</xdr:row>
      <xdr:rowOff>87311</xdr:rowOff>
    </xdr:from>
    <xdr:to>
      <xdr:col>5</xdr:col>
      <xdr:colOff>171820</xdr:colOff>
      <xdr:row>24</xdr:row>
      <xdr:rowOff>55562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4286249"/>
          <a:ext cx="2584820" cy="15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603250</xdr:colOff>
      <xdr:row>24</xdr:row>
      <xdr:rowOff>79375</xdr:rowOff>
    </xdr:from>
    <xdr:to>
      <xdr:col>11</xdr:col>
      <xdr:colOff>500062</xdr:colOff>
      <xdr:row>25</xdr:row>
      <xdr:rowOff>166687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4460875"/>
          <a:ext cx="6619875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25</xdr:row>
      <xdr:rowOff>174624</xdr:rowOff>
    </xdr:from>
    <xdr:to>
      <xdr:col>9</xdr:col>
      <xdr:colOff>500062</xdr:colOff>
      <xdr:row>26</xdr:row>
      <xdr:rowOff>145588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38687"/>
          <a:ext cx="5381625" cy="153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395112</xdr:colOff>
      <xdr:row>13</xdr:row>
      <xdr:rowOff>162277</xdr:rowOff>
    </xdr:from>
    <xdr:to>
      <xdr:col>12</xdr:col>
      <xdr:colOff>432506</xdr:colOff>
      <xdr:row>18</xdr:row>
      <xdr:rowOff>77610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4" y="2547055"/>
          <a:ext cx="2464505" cy="83255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94543</xdr:colOff>
      <xdr:row>0</xdr:row>
      <xdr:rowOff>84667</xdr:rowOff>
    </xdr:from>
    <xdr:to>
      <xdr:col>25</xdr:col>
      <xdr:colOff>257033</xdr:colOff>
      <xdr:row>22</xdr:row>
      <xdr:rowOff>135749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9432" y="84667"/>
          <a:ext cx="6837045" cy="4086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451556</xdr:colOff>
      <xdr:row>2</xdr:row>
      <xdr:rowOff>49389</xdr:rowOff>
    </xdr:from>
    <xdr:to>
      <xdr:col>19</xdr:col>
      <xdr:colOff>7055</xdr:colOff>
      <xdr:row>4</xdr:row>
      <xdr:rowOff>56029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0766778" y="416278"/>
          <a:ext cx="769055" cy="373529"/>
        </a:xfrm>
        <a:prstGeom prst="ellipse">
          <a:avLst/>
        </a:pr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273050</xdr:colOff>
      <xdr:row>18</xdr:row>
      <xdr:rowOff>63500</xdr:rowOff>
    </xdr:from>
    <xdr:to>
      <xdr:col>23</xdr:col>
      <xdr:colOff>431800</xdr:colOff>
      <xdr:row>19</xdr:row>
      <xdr:rowOff>120650</xdr:rowOff>
    </xdr:to>
    <xdr:sp macro="" textlink="">
      <xdr:nvSpPr>
        <xdr:cNvPr id="18" name="Obdélník: se zakulacenými rohy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807450" y="3378200"/>
          <a:ext cx="5645150" cy="241300"/>
        </a:xfrm>
        <a:prstGeom prst="roundRect">
          <a:avLst/>
        </a:prstGeom>
        <a:noFill/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98778</xdr:colOff>
      <xdr:row>6</xdr:row>
      <xdr:rowOff>14110</xdr:rowOff>
    </xdr:from>
    <xdr:to>
      <xdr:col>17</xdr:col>
      <xdr:colOff>14111</xdr:colOff>
      <xdr:row>9</xdr:row>
      <xdr:rowOff>91723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8593667" y="1114777"/>
          <a:ext cx="1735666" cy="6279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8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pacientů, kteří užívají systémová imunosupresiva, zejména CyA a AZA, se fototerapie nedoporučuje vzhledem k riziku ko-karcinogenity!</a:t>
          </a:r>
          <a:endParaRPr lang="cs-CZ" sz="850"/>
        </a:p>
      </xdr:txBody>
    </xdr:sp>
    <xdr:clientData/>
  </xdr:twoCellAnchor>
  <xdr:twoCellAnchor>
    <xdr:from>
      <xdr:col>16</xdr:col>
      <xdr:colOff>472724</xdr:colOff>
      <xdr:row>6</xdr:row>
      <xdr:rowOff>0</xdr:rowOff>
    </xdr:from>
    <xdr:to>
      <xdr:col>18</xdr:col>
      <xdr:colOff>0</xdr:colOff>
      <xdr:row>7</xdr:row>
      <xdr:rowOff>56445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H="1">
          <a:off x="10181168" y="1100667"/>
          <a:ext cx="740832" cy="23988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25400</xdr:rowOff>
    </xdr:from>
    <xdr:to>
      <xdr:col>22</xdr:col>
      <xdr:colOff>373063</xdr:colOff>
      <xdr:row>31</xdr:row>
      <xdr:rowOff>28222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71450" y="25400"/>
          <a:ext cx="13647738" cy="566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204611</xdr:colOff>
      <xdr:row>6</xdr:row>
      <xdr:rowOff>169333</xdr:rowOff>
    </xdr:from>
    <xdr:to>
      <xdr:col>12</xdr:col>
      <xdr:colOff>131234</xdr:colOff>
      <xdr:row>30</xdr:row>
      <xdr:rowOff>36689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99" y="1289921"/>
          <a:ext cx="6665094" cy="434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358588</xdr:colOff>
      <xdr:row>20</xdr:row>
      <xdr:rowOff>7471</xdr:rowOff>
    </xdr:from>
    <xdr:to>
      <xdr:col>9</xdr:col>
      <xdr:colOff>216647</xdr:colOff>
      <xdr:row>23</xdr:row>
      <xdr:rowOff>37354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71176" y="374276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7</xdr:col>
      <xdr:colOff>410883</xdr:colOff>
      <xdr:row>21</xdr:row>
      <xdr:rowOff>49803</xdr:rowOff>
    </xdr:from>
    <xdr:to>
      <xdr:col>9</xdr:col>
      <xdr:colOff>97119</xdr:colOff>
      <xdr:row>30</xdr:row>
      <xdr:rowOff>37353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699001" y="3971862"/>
          <a:ext cx="911412" cy="1668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212082</xdr:colOff>
      <xdr:row>28</xdr:row>
      <xdr:rowOff>42333</xdr:rowOff>
    </xdr:from>
    <xdr:to>
      <xdr:col>8</xdr:col>
      <xdr:colOff>70141</xdr:colOff>
      <xdr:row>31</xdr:row>
      <xdr:rowOff>72216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2082" y="527174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82176</xdr:colOff>
      <xdr:row>26</xdr:row>
      <xdr:rowOff>104589</xdr:rowOff>
    </xdr:from>
    <xdr:to>
      <xdr:col>7</xdr:col>
      <xdr:colOff>552823</xdr:colOff>
      <xdr:row>28</xdr:row>
      <xdr:rowOff>104588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694764" y="4960471"/>
          <a:ext cx="4146177" cy="373529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12</xdr:col>
      <xdr:colOff>493059</xdr:colOff>
      <xdr:row>1</xdr:row>
      <xdr:rowOff>141941</xdr:rowOff>
    </xdr:from>
    <xdr:to>
      <xdr:col>22</xdr:col>
      <xdr:colOff>39221</xdr:colOff>
      <xdr:row>9</xdr:row>
      <xdr:rowOff>167342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8" y="328706"/>
          <a:ext cx="5672044" cy="151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485589</xdr:colOff>
      <xdr:row>9</xdr:row>
      <xdr:rowOff>164353</xdr:rowOff>
    </xdr:from>
    <xdr:to>
      <xdr:col>22</xdr:col>
      <xdr:colOff>57151</xdr:colOff>
      <xdr:row>14</xdr:row>
      <xdr:rowOff>85538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48" y="1845235"/>
          <a:ext cx="5697444" cy="85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500530</xdr:colOff>
      <xdr:row>14</xdr:row>
      <xdr:rowOff>52294</xdr:rowOff>
    </xdr:from>
    <xdr:to>
      <xdr:col>22</xdr:col>
      <xdr:colOff>46692</xdr:colOff>
      <xdr:row>17</xdr:row>
      <xdr:rowOff>147544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589" y="2667000"/>
          <a:ext cx="5672044" cy="65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156883</xdr:colOff>
      <xdr:row>3</xdr:row>
      <xdr:rowOff>14941</xdr:rowOff>
    </xdr:from>
    <xdr:to>
      <xdr:col>20</xdr:col>
      <xdr:colOff>321235</xdr:colOff>
      <xdr:row>3</xdr:row>
      <xdr:rowOff>164354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183471" y="575235"/>
          <a:ext cx="1389529" cy="1494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13</xdr:col>
      <xdr:colOff>14942</xdr:colOff>
      <xdr:row>8</xdr:row>
      <xdr:rowOff>164352</xdr:rowOff>
    </xdr:from>
    <xdr:to>
      <xdr:col>14</xdr:col>
      <xdr:colOff>463178</xdr:colOff>
      <xdr:row>11</xdr:row>
      <xdr:rowOff>0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7978589" y="1658470"/>
          <a:ext cx="1060824" cy="395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with topical therapy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0</xdr:row>
      <xdr:rowOff>50800</xdr:rowOff>
    </xdr:from>
    <xdr:to>
      <xdr:col>27</xdr:col>
      <xdr:colOff>317500</xdr:colOff>
      <xdr:row>37</xdr:row>
      <xdr:rowOff>79375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0350" y="50800"/>
          <a:ext cx="16559213" cy="6783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451555</xdr:colOff>
      <xdr:row>1</xdr:row>
      <xdr:rowOff>35278</xdr:rowOff>
    </xdr:from>
    <xdr:to>
      <xdr:col>11</xdr:col>
      <xdr:colOff>591255</xdr:colOff>
      <xdr:row>4</xdr:row>
      <xdr:rowOff>136877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218722"/>
          <a:ext cx="6814256" cy="65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451555</xdr:colOff>
      <xdr:row>5</xdr:row>
      <xdr:rowOff>6173</xdr:rowOff>
    </xdr:from>
    <xdr:to>
      <xdr:col>11</xdr:col>
      <xdr:colOff>572205</xdr:colOff>
      <xdr:row>25</xdr:row>
      <xdr:rowOff>87842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918986"/>
          <a:ext cx="6843713" cy="3732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410482</xdr:colOff>
      <xdr:row>25</xdr:row>
      <xdr:rowOff>40822</xdr:rowOff>
    </xdr:from>
    <xdr:to>
      <xdr:col>11</xdr:col>
      <xdr:colOff>562882</xdr:colOff>
      <xdr:row>28</xdr:row>
      <xdr:rowOff>104322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82" y="4604885"/>
          <a:ext cx="6875463" cy="61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45357</xdr:colOff>
      <xdr:row>1</xdr:row>
      <xdr:rowOff>99785</xdr:rowOff>
    </xdr:from>
    <xdr:to>
      <xdr:col>18</xdr:col>
      <xdr:colOff>102507</xdr:colOff>
      <xdr:row>2</xdr:row>
      <xdr:rowOff>144236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1" y="281214"/>
          <a:ext cx="3096079" cy="2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103188</xdr:colOff>
      <xdr:row>1</xdr:row>
      <xdr:rowOff>103187</xdr:rowOff>
    </xdr:from>
    <xdr:to>
      <xdr:col>21</xdr:col>
      <xdr:colOff>160338</xdr:colOff>
      <xdr:row>2</xdr:row>
      <xdr:rowOff>160338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4563" y="285750"/>
          <a:ext cx="1890713" cy="23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63500</xdr:colOff>
      <xdr:row>2</xdr:row>
      <xdr:rowOff>134937</xdr:rowOff>
    </xdr:from>
    <xdr:to>
      <xdr:col>21</xdr:col>
      <xdr:colOff>111125</xdr:colOff>
      <xdr:row>3</xdr:row>
      <xdr:rowOff>129360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938" y="500062"/>
          <a:ext cx="4937125" cy="17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3</xdr:row>
      <xdr:rowOff>103187</xdr:rowOff>
    </xdr:from>
    <xdr:to>
      <xdr:col>18</xdr:col>
      <xdr:colOff>122238</xdr:colOff>
      <xdr:row>6</xdr:row>
      <xdr:rowOff>79375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650875"/>
          <a:ext cx="3106738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119063</xdr:colOff>
      <xdr:row>3</xdr:row>
      <xdr:rowOff>103187</xdr:rowOff>
    </xdr:from>
    <xdr:to>
      <xdr:col>21</xdr:col>
      <xdr:colOff>182563</xdr:colOff>
      <xdr:row>6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0438" y="650875"/>
          <a:ext cx="1897063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6</xdr:row>
      <xdr:rowOff>63500</xdr:rowOff>
    </xdr:from>
    <xdr:to>
      <xdr:col>18</xdr:col>
      <xdr:colOff>115888</xdr:colOff>
      <xdr:row>20</xdr:row>
      <xdr:rowOff>39688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1158875"/>
          <a:ext cx="3100388" cy="253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127000</xdr:colOff>
      <xdr:row>6</xdr:row>
      <xdr:rowOff>63500</xdr:rowOff>
    </xdr:from>
    <xdr:to>
      <xdr:col>21</xdr:col>
      <xdr:colOff>139700</xdr:colOff>
      <xdr:row>20</xdr:row>
      <xdr:rowOff>46038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375" y="1158875"/>
          <a:ext cx="1846263" cy="2538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71436</xdr:colOff>
      <xdr:row>20</xdr:row>
      <xdr:rowOff>31750</xdr:rowOff>
    </xdr:from>
    <xdr:to>
      <xdr:col>15</xdr:col>
      <xdr:colOff>71436</xdr:colOff>
      <xdr:row>26</xdr:row>
      <xdr:rowOff>26988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4" y="3683000"/>
          <a:ext cx="1222375" cy="1090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63499</xdr:colOff>
      <xdr:row>20</xdr:row>
      <xdr:rowOff>31750</xdr:rowOff>
    </xdr:from>
    <xdr:to>
      <xdr:col>21</xdr:col>
      <xdr:colOff>150812</xdr:colOff>
      <xdr:row>25</xdr:row>
      <xdr:rowOff>38100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1312" y="3683000"/>
          <a:ext cx="3754438" cy="91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47626</xdr:colOff>
      <xdr:row>25</xdr:row>
      <xdr:rowOff>31749</xdr:rowOff>
    </xdr:from>
    <xdr:to>
      <xdr:col>21</xdr:col>
      <xdr:colOff>182562</xdr:colOff>
      <xdr:row>26</xdr:row>
      <xdr:rowOff>26154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1" y="4595812"/>
          <a:ext cx="4413249" cy="17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87312</xdr:colOff>
      <xdr:row>26</xdr:row>
      <xdr:rowOff>15875</xdr:rowOff>
    </xdr:from>
    <xdr:to>
      <xdr:col>18</xdr:col>
      <xdr:colOff>138113</xdr:colOff>
      <xdr:row>30</xdr:row>
      <xdr:rowOff>98425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0" y="4762500"/>
          <a:ext cx="3106738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134938</xdr:colOff>
      <xdr:row>26</xdr:row>
      <xdr:rowOff>7937</xdr:rowOff>
    </xdr:from>
    <xdr:to>
      <xdr:col>21</xdr:col>
      <xdr:colOff>179388</xdr:colOff>
      <xdr:row>30</xdr:row>
      <xdr:rowOff>90487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313" y="4754562"/>
          <a:ext cx="1878013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111125</xdr:colOff>
      <xdr:row>30</xdr:row>
      <xdr:rowOff>79375</xdr:rowOff>
    </xdr:from>
    <xdr:to>
      <xdr:col>14</xdr:col>
      <xdr:colOff>269876</xdr:colOff>
      <xdr:row>31</xdr:row>
      <xdr:rowOff>85725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6563" y="5556250"/>
          <a:ext cx="769938" cy="188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587374</xdr:colOff>
      <xdr:row>30</xdr:row>
      <xdr:rowOff>71438</xdr:rowOff>
    </xdr:from>
    <xdr:to>
      <xdr:col>21</xdr:col>
      <xdr:colOff>179387</xdr:colOff>
      <xdr:row>31</xdr:row>
      <xdr:rowOff>79375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2812" y="5548313"/>
          <a:ext cx="4481513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79375</xdr:colOff>
      <xdr:row>31</xdr:row>
      <xdr:rowOff>55562</xdr:rowOff>
    </xdr:from>
    <xdr:to>
      <xdr:col>18</xdr:col>
      <xdr:colOff>155576</xdr:colOff>
      <xdr:row>33</xdr:row>
      <xdr:rowOff>106362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813" y="5715000"/>
          <a:ext cx="3132138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150812</xdr:colOff>
      <xdr:row>31</xdr:row>
      <xdr:rowOff>63500</xdr:rowOff>
    </xdr:from>
    <xdr:to>
      <xdr:col>21</xdr:col>
      <xdr:colOff>195262</xdr:colOff>
      <xdr:row>33</xdr:row>
      <xdr:rowOff>114300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187" y="5722938"/>
          <a:ext cx="1878013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310444</xdr:colOff>
      <xdr:row>0</xdr:row>
      <xdr:rowOff>42332</xdr:rowOff>
    </xdr:from>
    <xdr:to>
      <xdr:col>34</xdr:col>
      <xdr:colOff>0</xdr:colOff>
      <xdr:row>43</xdr:row>
      <xdr:rowOff>63500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10444" y="42332"/>
          <a:ext cx="20320000" cy="7909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547687</xdr:colOff>
      <xdr:row>1</xdr:row>
      <xdr:rowOff>79375</xdr:rowOff>
    </xdr:from>
    <xdr:to>
      <xdr:col>12</xdr:col>
      <xdr:colOff>44450</xdr:colOff>
      <xdr:row>5</xdr:row>
      <xdr:rowOff>130175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261938"/>
          <a:ext cx="6831013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547688</xdr:colOff>
      <xdr:row>5</xdr:row>
      <xdr:rowOff>111124</xdr:rowOff>
    </xdr:from>
    <xdr:to>
      <xdr:col>12</xdr:col>
      <xdr:colOff>63501</xdr:colOff>
      <xdr:row>15</xdr:row>
      <xdr:rowOff>61912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023937"/>
          <a:ext cx="6850063" cy="177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532946</xdr:colOff>
      <xdr:row>15</xdr:row>
      <xdr:rowOff>29481</xdr:rowOff>
    </xdr:from>
    <xdr:to>
      <xdr:col>12</xdr:col>
      <xdr:colOff>52160</xdr:colOff>
      <xdr:row>30</xdr:row>
      <xdr:rowOff>150133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946" y="2750910"/>
          <a:ext cx="6812643" cy="284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560917</xdr:colOff>
      <xdr:row>30</xdr:row>
      <xdr:rowOff>137583</xdr:rowOff>
    </xdr:from>
    <xdr:to>
      <xdr:col>12</xdr:col>
      <xdr:colOff>74084</xdr:colOff>
      <xdr:row>33</xdr:row>
      <xdr:rowOff>162983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5535083"/>
          <a:ext cx="6879167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371929</xdr:colOff>
      <xdr:row>1</xdr:row>
      <xdr:rowOff>90714</xdr:rowOff>
    </xdr:from>
    <xdr:to>
      <xdr:col>22</xdr:col>
      <xdr:colOff>132443</xdr:colOff>
      <xdr:row>16</xdr:row>
      <xdr:rowOff>68036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143" y="272143"/>
          <a:ext cx="5230586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272143</xdr:colOff>
      <xdr:row>1</xdr:row>
      <xdr:rowOff>36285</xdr:rowOff>
    </xdr:from>
    <xdr:to>
      <xdr:col>15</xdr:col>
      <xdr:colOff>27214</xdr:colOff>
      <xdr:row>2</xdr:row>
      <xdr:rowOff>145143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173357" y="217714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13</xdr:col>
      <xdr:colOff>399143</xdr:colOff>
      <xdr:row>17</xdr:row>
      <xdr:rowOff>27214</xdr:rowOff>
    </xdr:from>
    <xdr:to>
      <xdr:col>22</xdr:col>
      <xdr:colOff>134257</xdr:colOff>
      <xdr:row>31</xdr:row>
      <xdr:rowOff>135164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57" y="3111500"/>
          <a:ext cx="5205186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290286</xdr:colOff>
      <xdr:row>16</xdr:row>
      <xdr:rowOff>136072</xdr:rowOff>
    </xdr:from>
    <xdr:to>
      <xdr:col>15</xdr:col>
      <xdr:colOff>45357</xdr:colOff>
      <xdr:row>18</xdr:row>
      <xdr:rowOff>63501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8191500" y="3038929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289278</xdr:colOff>
      <xdr:row>2</xdr:row>
      <xdr:rowOff>42334</xdr:rowOff>
    </xdr:from>
    <xdr:to>
      <xdr:col>32</xdr:col>
      <xdr:colOff>12700</xdr:colOff>
      <xdr:row>19</xdr:row>
      <xdr:rowOff>112185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5167" y="409223"/>
          <a:ext cx="5184422" cy="318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141111</xdr:colOff>
      <xdr:row>1</xdr:row>
      <xdr:rowOff>169335</xdr:rowOff>
    </xdr:from>
    <xdr:to>
      <xdr:col>24</xdr:col>
      <xdr:colOff>502960</xdr:colOff>
      <xdr:row>3</xdr:row>
      <xdr:rowOff>94749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4097000" y="352779"/>
          <a:ext cx="968627" cy="292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98777</xdr:colOff>
      <xdr:row>21</xdr:row>
      <xdr:rowOff>2</xdr:rowOff>
    </xdr:from>
    <xdr:to>
      <xdr:col>31</xdr:col>
      <xdr:colOff>82549</xdr:colOff>
      <xdr:row>42</xdr:row>
      <xdr:rowOff>44451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666" y="3852335"/>
          <a:ext cx="4837994" cy="389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451555</xdr:colOff>
      <xdr:row>21</xdr:row>
      <xdr:rowOff>176391</xdr:rowOff>
    </xdr:from>
    <xdr:to>
      <xdr:col>28</xdr:col>
      <xdr:colOff>134055</xdr:colOff>
      <xdr:row>23</xdr:row>
      <xdr:rowOff>49389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5620999" y="4028724"/>
          <a:ext cx="1502834" cy="239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>
              <a:solidFill>
                <a:srgbClr val="7030A0"/>
              </a:solidFill>
            </a:rPr>
            <a:t>in  JADE REGIMEN</a:t>
          </a:r>
        </a:p>
      </xdr:txBody>
    </xdr:sp>
    <xdr:clientData/>
  </xdr:twoCellAnchor>
  <xdr:twoCellAnchor>
    <xdr:from>
      <xdr:col>23</xdr:col>
      <xdr:colOff>7055</xdr:colOff>
      <xdr:row>20</xdr:row>
      <xdr:rowOff>91724</xdr:rowOff>
    </xdr:from>
    <xdr:to>
      <xdr:col>24</xdr:col>
      <xdr:colOff>368904</xdr:colOff>
      <xdr:row>22</xdr:row>
      <xdr:rowOff>19153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13962944" y="3760613"/>
          <a:ext cx="968627" cy="29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104322</xdr:colOff>
      <xdr:row>0</xdr:row>
      <xdr:rowOff>51027</xdr:rowOff>
    </xdr:from>
    <xdr:to>
      <xdr:col>32</xdr:col>
      <xdr:colOff>402167</xdr:colOff>
      <xdr:row>29</xdr:row>
      <xdr:rowOff>176892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4322" y="51027"/>
          <a:ext cx="19714734" cy="54457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523875</xdr:colOff>
      <xdr:row>1</xdr:row>
      <xdr:rowOff>-1</xdr:rowOff>
    </xdr:from>
    <xdr:to>
      <xdr:col>5</xdr:col>
      <xdr:colOff>141287</xdr:colOff>
      <xdr:row>2</xdr:row>
      <xdr:rowOff>63500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2562"/>
          <a:ext cx="2673350" cy="246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111125</xdr:colOff>
      <xdr:row>0</xdr:row>
      <xdr:rowOff>174625</xdr:rowOff>
    </xdr:from>
    <xdr:to>
      <xdr:col>11</xdr:col>
      <xdr:colOff>466725</xdr:colOff>
      <xdr:row>2</xdr:row>
      <xdr:rowOff>61913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174625"/>
          <a:ext cx="40227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500062</xdr:colOff>
      <xdr:row>2</xdr:row>
      <xdr:rowOff>47625</xdr:rowOff>
    </xdr:from>
    <xdr:to>
      <xdr:col>5</xdr:col>
      <xdr:colOff>225424</xdr:colOff>
      <xdr:row>24</xdr:row>
      <xdr:rowOff>23813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412750"/>
          <a:ext cx="2781300" cy="399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222249</xdr:colOff>
      <xdr:row>2</xdr:row>
      <xdr:rowOff>47624</xdr:rowOff>
    </xdr:from>
    <xdr:to>
      <xdr:col>11</xdr:col>
      <xdr:colOff>444499</xdr:colOff>
      <xdr:row>24</xdr:row>
      <xdr:rowOff>36285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178" y="410481"/>
          <a:ext cx="3868964" cy="398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526143</xdr:colOff>
      <xdr:row>24</xdr:row>
      <xdr:rowOff>0</xdr:rowOff>
    </xdr:from>
    <xdr:to>
      <xdr:col>5</xdr:col>
      <xdr:colOff>254907</xdr:colOff>
      <xdr:row>29</xdr:row>
      <xdr:rowOff>120650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43" y="4354286"/>
          <a:ext cx="2767693" cy="102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244928</xdr:colOff>
      <xdr:row>24</xdr:row>
      <xdr:rowOff>9071</xdr:rowOff>
    </xdr:from>
    <xdr:to>
      <xdr:col>11</xdr:col>
      <xdr:colOff>441778</xdr:colOff>
      <xdr:row>29</xdr:row>
      <xdr:rowOff>110671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857" y="4363357"/>
          <a:ext cx="3843564" cy="100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269875</xdr:colOff>
      <xdr:row>1</xdr:row>
      <xdr:rowOff>174625</xdr:rowOff>
    </xdr:from>
    <xdr:to>
      <xdr:col>22</xdr:col>
      <xdr:colOff>46038</xdr:colOff>
      <xdr:row>16</xdr:row>
      <xdr:rowOff>17463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5" y="357188"/>
          <a:ext cx="5888038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557389</xdr:colOff>
      <xdr:row>2</xdr:row>
      <xdr:rowOff>63501</xdr:rowOff>
    </xdr:from>
    <xdr:to>
      <xdr:col>21</xdr:col>
      <xdr:colOff>398848</xdr:colOff>
      <xdr:row>3</xdr:row>
      <xdr:rowOff>7057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2086167" y="430390"/>
          <a:ext cx="1055014" cy="127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16</xdr:col>
      <xdr:colOff>289277</xdr:colOff>
      <xdr:row>3</xdr:row>
      <xdr:rowOff>49389</xdr:rowOff>
    </xdr:from>
    <xdr:to>
      <xdr:col>17</xdr:col>
      <xdr:colOff>363569</xdr:colOff>
      <xdr:row>3</xdr:row>
      <xdr:rowOff>169334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9997721" y="599722"/>
          <a:ext cx="681070" cy="11994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13</xdr:col>
      <xdr:colOff>486834</xdr:colOff>
      <xdr:row>2</xdr:row>
      <xdr:rowOff>77611</xdr:rowOff>
    </xdr:from>
    <xdr:to>
      <xdr:col>14</xdr:col>
      <xdr:colOff>508000</xdr:colOff>
      <xdr:row>3</xdr:row>
      <xdr:rowOff>7054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8374945" y="444500"/>
          <a:ext cx="627944" cy="11288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20</xdr:col>
      <xdr:colOff>289277</xdr:colOff>
      <xdr:row>3</xdr:row>
      <xdr:rowOff>70556</xdr:rowOff>
    </xdr:from>
    <xdr:to>
      <xdr:col>21</xdr:col>
      <xdr:colOff>352778</xdr:colOff>
      <xdr:row>4</xdr:row>
      <xdr:rowOff>7055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12424833" y="620889"/>
          <a:ext cx="670278" cy="11994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 editAs="oneCell">
    <xdr:from>
      <xdr:col>22</xdr:col>
      <xdr:colOff>328084</xdr:colOff>
      <xdr:row>0</xdr:row>
      <xdr:rowOff>152576</xdr:rowOff>
    </xdr:from>
    <xdr:to>
      <xdr:col>31</xdr:col>
      <xdr:colOff>503943</xdr:colOff>
      <xdr:row>17</xdr:row>
      <xdr:rowOff>134232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4209" y="152576"/>
          <a:ext cx="5676547" cy="3085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468312</xdr:colOff>
      <xdr:row>1</xdr:row>
      <xdr:rowOff>47625</xdr:rowOff>
    </xdr:from>
    <xdr:to>
      <xdr:col>24</xdr:col>
      <xdr:colOff>489478</xdr:colOff>
      <xdr:row>1</xdr:row>
      <xdr:rowOff>159631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4525625" y="230188"/>
          <a:ext cx="632353" cy="11200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28</xdr:col>
      <xdr:colOff>452438</xdr:colOff>
      <xdr:row>1</xdr:row>
      <xdr:rowOff>158749</xdr:rowOff>
    </xdr:from>
    <xdr:to>
      <xdr:col>30</xdr:col>
      <xdr:colOff>404813</xdr:colOff>
      <xdr:row>2</xdr:row>
      <xdr:rowOff>166689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17565688" y="341312"/>
          <a:ext cx="1174750" cy="19050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000" b="1"/>
            <a:t>   JADE COMPARE</a:t>
          </a:r>
        </a:p>
      </xdr:txBody>
    </xdr:sp>
    <xdr:clientData/>
  </xdr:twoCellAnchor>
  <xdr:twoCellAnchor editAs="oneCell">
    <xdr:from>
      <xdr:col>22</xdr:col>
      <xdr:colOff>325438</xdr:colOff>
      <xdr:row>17</xdr:row>
      <xdr:rowOff>119061</xdr:rowOff>
    </xdr:from>
    <xdr:to>
      <xdr:col>31</xdr:col>
      <xdr:colOff>490538</xdr:colOff>
      <xdr:row>25</xdr:row>
      <xdr:rowOff>114299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563" y="3222624"/>
          <a:ext cx="5665788" cy="145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277813</xdr:colOff>
      <xdr:row>0</xdr:row>
      <xdr:rowOff>95250</xdr:rowOff>
    </xdr:from>
    <xdr:to>
      <xdr:col>23</xdr:col>
      <xdr:colOff>301625</xdr:colOff>
      <xdr:row>32</xdr:row>
      <xdr:rowOff>127000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7813" y="95250"/>
          <a:ext cx="13979701" cy="5901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31750</xdr:colOff>
      <xdr:row>1</xdr:row>
      <xdr:rowOff>86429</xdr:rowOff>
    </xdr:from>
    <xdr:to>
      <xdr:col>6</xdr:col>
      <xdr:colOff>490890</xdr:colOff>
      <xdr:row>4</xdr:row>
      <xdr:rowOff>157161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8" y="269873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35278</xdr:colOff>
      <xdr:row>4</xdr:row>
      <xdr:rowOff>141111</xdr:rowOff>
    </xdr:from>
    <xdr:to>
      <xdr:col>6</xdr:col>
      <xdr:colOff>472723</xdr:colOff>
      <xdr:row>5</xdr:row>
      <xdr:rowOff>79302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056" y="874889"/>
          <a:ext cx="3471334" cy="121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5</xdr:row>
      <xdr:rowOff>70556</xdr:rowOff>
    </xdr:from>
    <xdr:to>
      <xdr:col>6</xdr:col>
      <xdr:colOff>484011</xdr:colOff>
      <xdr:row>11</xdr:row>
      <xdr:rowOff>165806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987778"/>
          <a:ext cx="3503789" cy="119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592666</xdr:colOff>
      <xdr:row>11</xdr:row>
      <xdr:rowOff>141111</xdr:rowOff>
    </xdr:from>
    <xdr:to>
      <xdr:col>6</xdr:col>
      <xdr:colOff>487538</xdr:colOff>
      <xdr:row>15</xdr:row>
      <xdr:rowOff>91016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" y="2159000"/>
          <a:ext cx="3535539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14111</xdr:colOff>
      <xdr:row>4</xdr:row>
      <xdr:rowOff>162277</xdr:rowOff>
    </xdr:from>
    <xdr:to>
      <xdr:col>12</xdr:col>
      <xdr:colOff>477661</xdr:colOff>
      <xdr:row>5</xdr:row>
      <xdr:rowOff>131233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5" y="896055"/>
          <a:ext cx="349743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7057</xdr:colOff>
      <xdr:row>5</xdr:row>
      <xdr:rowOff>127001</xdr:rowOff>
    </xdr:from>
    <xdr:to>
      <xdr:col>12</xdr:col>
      <xdr:colOff>496007</xdr:colOff>
      <xdr:row>15</xdr:row>
      <xdr:rowOff>26106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1" y="1044223"/>
          <a:ext cx="3522839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23814</xdr:colOff>
      <xdr:row>1</xdr:row>
      <xdr:rowOff>88195</xdr:rowOff>
    </xdr:from>
    <xdr:to>
      <xdr:col>12</xdr:col>
      <xdr:colOff>482954</xdr:colOff>
      <xdr:row>4</xdr:row>
      <xdr:rowOff>158927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58" y="271639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14112</xdr:colOff>
      <xdr:row>15</xdr:row>
      <xdr:rowOff>21165</xdr:rowOff>
    </xdr:from>
    <xdr:to>
      <xdr:col>12</xdr:col>
      <xdr:colOff>486834</xdr:colOff>
      <xdr:row>16</xdr:row>
      <xdr:rowOff>2392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6" y="2772832"/>
          <a:ext cx="3506611" cy="16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592667</xdr:colOff>
      <xdr:row>16</xdr:row>
      <xdr:rowOff>2</xdr:rowOff>
    </xdr:from>
    <xdr:to>
      <xdr:col>12</xdr:col>
      <xdr:colOff>479778</xdr:colOff>
      <xdr:row>19</xdr:row>
      <xdr:rowOff>99671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4" y="2935113"/>
          <a:ext cx="3527777" cy="650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579438</xdr:colOff>
      <xdr:row>19</xdr:row>
      <xdr:rowOff>87313</xdr:rowOff>
    </xdr:from>
    <xdr:to>
      <xdr:col>12</xdr:col>
      <xdr:colOff>484189</xdr:colOff>
      <xdr:row>24</xdr:row>
      <xdr:rowOff>51183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6563" y="3556001"/>
          <a:ext cx="3571876" cy="876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16</xdr:row>
      <xdr:rowOff>39687</xdr:rowOff>
    </xdr:from>
    <xdr:to>
      <xdr:col>6</xdr:col>
      <xdr:colOff>515939</xdr:colOff>
      <xdr:row>21</xdr:row>
      <xdr:rowOff>55561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960687"/>
          <a:ext cx="3540126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15875</xdr:colOff>
      <xdr:row>1</xdr:row>
      <xdr:rowOff>103187</xdr:rowOff>
    </xdr:from>
    <xdr:to>
      <xdr:col>23</xdr:col>
      <xdr:colOff>73025</xdr:colOff>
      <xdr:row>5</xdr:row>
      <xdr:rowOff>66675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1313" y="285750"/>
          <a:ext cx="6169025" cy="6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28222</xdr:colOff>
      <xdr:row>5</xdr:row>
      <xdr:rowOff>56444</xdr:rowOff>
    </xdr:from>
    <xdr:to>
      <xdr:col>23</xdr:col>
      <xdr:colOff>72672</xdr:colOff>
      <xdr:row>15</xdr:row>
      <xdr:rowOff>6349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6333" y="973666"/>
          <a:ext cx="611222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599722</xdr:colOff>
      <xdr:row>15</xdr:row>
      <xdr:rowOff>134055</xdr:rowOff>
    </xdr:from>
    <xdr:to>
      <xdr:col>23</xdr:col>
      <xdr:colOff>56444</xdr:colOff>
      <xdr:row>19</xdr:row>
      <xdr:rowOff>109361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5" y="2885722"/>
          <a:ext cx="6131278" cy="70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599723</xdr:colOff>
      <xdr:row>19</xdr:row>
      <xdr:rowOff>91723</xdr:rowOff>
    </xdr:from>
    <xdr:to>
      <xdr:col>23</xdr:col>
      <xdr:colOff>50095</xdr:colOff>
      <xdr:row>20</xdr:row>
      <xdr:rowOff>123472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6" y="3577167"/>
          <a:ext cx="6124928" cy="21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112888</xdr:rowOff>
    </xdr:from>
    <xdr:to>
      <xdr:col>23</xdr:col>
      <xdr:colOff>38100</xdr:colOff>
      <xdr:row>30</xdr:row>
      <xdr:rowOff>62794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111" y="3781777"/>
          <a:ext cx="610587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77611</xdr:colOff>
      <xdr:row>24</xdr:row>
      <xdr:rowOff>176389</xdr:rowOff>
    </xdr:from>
    <xdr:to>
      <xdr:col>15</xdr:col>
      <xdr:colOff>155222</xdr:colOff>
      <xdr:row>25</xdr:row>
      <xdr:rowOff>148169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7965722" y="4579056"/>
          <a:ext cx="1291167" cy="155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900" b="1"/>
            <a:t>Corticosteroids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95249</xdr:rowOff>
    </xdr:from>
    <xdr:to>
      <xdr:col>31</xdr:col>
      <xdr:colOff>381000</xdr:colOff>
      <xdr:row>64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57199" y="95249"/>
          <a:ext cx="18952634" cy="1215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338667</xdr:colOff>
      <xdr:row>3</xdr:row>
      <xdr:rowOff>105834</xdr:rowOff>
    </xdr:from>
    <xdr:to>
      <xdr:col>13</xdr:col>
      <xdr:colOff>134409</xdr:colOff>
      <xdr:row>13</xdr:row>
      <xdr:rowOff>182034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77334"/>
          <a:ext cx="716174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486832</xdr:colOff>
      <xdr:row>2</xdr:row>
      <xdr:rowOff>21165</xdr:rowOff>
    </xdr:from>
    <xdr:to>
      <xdr:col>6</xdr:col>
      <xdr:colOff>137582</xdr:colOff>
      <xdr:row>3</xdr:row>
      <xdr:rowOff>95248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14499" y="402165"/>
          <a:ext cx="2106083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monoterapie po 12-16 týdnech</a:t>
          </a:r>
        </a:p>
      </xdr:txBody>
    </xdr:sp>
    <xdr:clientData/>
  </xdr:twoCellAnchor>
  <xdr:twoCellAnchor>
    <xdr:from>
      <xdr:col>8</xdr:col>
      <xdr:colOff>338666</xdr:colOff>
      <xdr:row>1</xdr:row>
      <xdr:rowOff>179918</xdr:rowOff>
    </xdr:from>
    <xdr:to>
      <xdr:col>12</xdr:col>
      <xdr:colOff>232833</xdr:colOff>
      <xdr:row>3</xdr:row>
      <xdr:rowOff>63501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5249333" y="370418"/>
          <a:ext cx="2349500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kombinace s TCS po 12-16 týdnech</a:t>
          </a:r>
        </a:p>
      </xdr:txBody>
    </xdr:sp>
    <xdr:clientData/>
  </xdr:twoCellAnchor>
  <xdr:twoCellAnchor>
    <xdr:from>
      <xdr:col>1</xdr:col>
      <xdr:colOff>180976</xdr:colOff>
      <xdr:row>8</xdr:row>
      <xdr:rowOff>123825</xdr:rowOff>
    </xdr:from>
    <xdr:to>
      <xdr:col>5</xdr:col>
      <xdr:colOff>342900</xdr:colOff>
      <xdr:row>9</xdr:row>
      <xdr:rowOff>66675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90576" y="1647825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152400</xdr:colOff>
      <xdr:row>11</xdr:row>
      <xdr:rowOff>48684</xdr:rowOff>
    </xdr:from>
    <xdr:to>
      <xdr:col>5</xdr:col>
      <xdr:colOff>314324</xdr:colOff>
      <xdr:row>11</xdr:row>
      <xdr:rowOff>182034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62000" y="2144184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123825</xdr:colOff>
      <xdr:row>10</xdr:row>
      <xdr:rowOff>142874</xdr:rowOff>
    </xdr:from>
    <xdr:to>
      <xdr:col>11</xdr:col>
      <xdr:colOff>295274</xdr:colOff>
      <xdr:row>11</xdr:row>
      <xdr:rowOff>133349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391025" y="2047874"/>
          <a:ext cx="2609849" cy="1809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600074</xdr:colOff>
      <xdr:row>8</xdr:row>
      <xdr:rowOff>142876</xdr:rowOff>
    </xdr:from>
    <xdr:to>
      <xdr:col>11</xdr:col>
      <xdr:colOff>285749</xdr:colOff>
      <xdr:row>9</xdr:row>
      <xdr:rowOff>104776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4257674" y="1666876"/>
          <a:ext cx="2733675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390525</xdr:colOff>
      <xdr:row>15</xdr:row>
      <xdr:rowOff>47625</xdr:rowOff>
    </xdr:from>
    <xdr:to>
      <xdr:col>7</xdr:col>
      <xdr:colOff>47625</xdr:colOff>
      <xdr:row>25</xdr:row>
      <xdr:rowOff>47625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905125"/>
          <a:ext cx="33147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15</xdr:row>
      <xdr:rowOff>95250</xdr:rowOff>
    </xdr:from>
    <xdr:to>
      <xdr:col>13</xdr:col>
      <xdr:colOff>114300</xdr:colOff>
      <xdr:row>24</xdr:row>
      <xdr:rowOff>161925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952750"/>
          <a:ext cx="34385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20</xdr:row>
      <xdr:rowOff>19049</xdr:rowOff>
    </xdr:from>
    <xdr:to>
      <xdr:col>5</xdr:col>
      <xdr:colOff>304798</xdr:colOff>
      <xdr:row>20</xdr:row>
      <xdr:rowOff>161924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76299" y="3829049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257175</xdr:colOff>
      <xdr:row>21</xdr:row>
      <xdr:rowOff>180974</xdr:rowOff>
    </xdr:from>
    <xdr:to>
      <xdr:col>5</xdr:col>
      <xdr:colOff>314325</xdr:colOff>
      <xdr:row>22</xdr:row>
      <xdr:rowOff>123825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66775" y="4181474"/>
          <a:ext cx="2495550" cy="13335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20</xdr:row>
      <xdr:rowOff>47625</xdr:rowOff>
    </xdr:from>
    <xdr:to>
      <xdr:col>11</xdr:col>
      <xdr:colOff>381000</xdr:colOff>
      <xdr:row>21</xdr:row>
      <xdr:rowOff>9525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4514850" y="3857625"/>
          <a:ext cx="2571750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22</xdr:row>
      <xdr:rowOff>19049</xdr:rowOff>
    </xdr:from>
    <xdr:to>
      <xdr:col>11</xdr:col>
      <xdr:colOff>361950</xdr:colOff>
      <xdr:row>22</xdr:row>
      <xdr:rowOff>180974</xdr:rowOff>
    </xdr:to>
    <xdr:sp macro="" textlink="">
      <xdr:nvSpPr>
        <xdr:cNvPr id="19" name="Ovál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4514850" y="4210049"/>
          <a:ext cx="2552700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495300</xdr:colOff>
      <xdr:row>26</xdr:row>
      <xdr:rowOff>152401</xdr:rowOff>
    </xdr:from>
    <xdr:to>
      <xdr:col>7</xdr:col>
      <xdr:colOff>114300</xdr:colOff>
      <xdr:row>37</xdr:row>
      <xdr:rowOff>1319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105401"/>
          <a:ext cx="3276600" cy="194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459048</xdr:colOff>
      <xdr:row>27</xdr:row>
      <xdr:rowOff>76201</xdr:rowOff>
    </xdr:from>
    <xdr:to>
      <xdr:col>13</xdr:col>
      <xdr:colOff>133350</xdr:colOff>
      <xdr:row>34</xdr:row>
      <xdr:rowOff>161925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248" y="5219701"/>
          <a:ext cx="3331902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533399</xdr:colOff>
      <xdr:row>38</xdr:row>
      <xdr:rowOff>66675</xdr:rowOff>
    </xdr:from>
    <xdr:to>
      <xdr:col>13</xdr:col>
      <xdr:colOff>314324</xdr:colOff>
      <xdr:row>48</xdr:row>
      <xdr:rowOff>159738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7305675"/>
          <a:ext cx="7096125" cy="1998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552449</xdr:colOff>
      <xdr:row>50</xdr:row>
      <xdr:rowOff>104775</xdr:rowOff>
    </xdr:from>
    <xdr:to>
      <xdr:col>13</xdr:col>
      <xdr:colOff>422760</xdr:colOff>
      <xdr:row>60</xdr:row>
      <xdr:rowOff>154065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9629775"/>
          <a:ext cx="7185511" cy="195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33</xdr:row>
      <xdr:rowOff>123826</xdr:rowOff>
    </xdr:from>
    <xdr:to>
      <xdr:col>5</xdr:col>
      <xdr:colOff>419099</xdr:colOff>
      <xdr:row>34</xdr:row>
      <xdr:rowOff>76201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990600" y="6410326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323850</xdr:colOff>
      <xdr:row>30</xdr:row>
      <xdr:rowOff>95251</xdr:rowOff>
    </xdr:from>
    <xdr:to>
      <xdr:col>5</xdr:col>
      <xdr:colOff>361949</xdr:colOff>
      <xdr:row>31</xdr:row>
      <xdr:rowOff>47626</xdr:rowOff>
    </xdr:to>
    <xdr:sp macro="" textlink="">
      <xdr:nvSpPr>
        <xdr:cNvPr id="25" name="Ovál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933450" y="5810251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400050</xdr:colOff>
      <xdr:row>46</xdr:row>
      <xdr:rowOff>133350</xdr:rowOff>
    </xdr:from>
    <xdr:to>
      <xdr:col>5</xdr:col>
      <xdr:colOff>390526</xdr:colOff>
      <xdr:row>47</xdr:row>
      <xdr:rowOff>104775</xdr:rowOff>
    </xdr:to>
    <xdr:sp macro="" textlink="">
      <xdr:nvSpPr>
        <xdr:cNvPr id="26" name="Ovál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1009650" y="8896350"/>
          <a:ext cx="2428876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352424</xdr:colOff>
      <xdr:row>44</xdr:row>
      <xdr:rowOff>152400</xdr:rowOff>
    </xdr:from>
    <xdr:to>
      <xdr:col>5</xdr:col>
      <xdr:colOff>390523</xdr:colOff>
      <xdr:row>45</xdr:row>
      <xdr:rowOff>104775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>
          <a:off x="962024" y="85344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485774</xdr:colOff>
      <xdr:row>44</xdr:row>
      <xdr:rowOff>152400</xdr:rowOff>
    </xdr:from>
    <xdr:to>
      <xdr:col>11</xdr:col>
      <xdr:colOff>523873</xdr:colOff>
      <xdr:row>45</xdr:row>
      <xdr:rowOff>123825</xdr:rowOff>
    </xdr:to>
    <xdr:sp macro="" textlink="">
      <xdr:nvSpPr>
        <xdr:cNvPr id="28" name="Ovál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752974" y="853440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41</xdr:row>
      <xdr:rowOff>114300</xdr:rowOff>
    </xdr:from>
    <xdr:to>
      <xdr:col>11</xdr:col>
      <xdr:colOff>485773</xdr:colOff>
      <xdr:row>42</xdr:row>
      <xdr:rowOff>66675</xdr:rowOff>
    </xdr:to>
    <xdr:sp macro="" textlink="">
      <xdr:nvSpPr>
        <xdr:cNvPr id="29" name="Ovál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>
        <a:xfrm>
          <a:off x="4714874" y="79248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333374</xdr:colOff>
      <xdr:row>56</xdr:row>
      <xdr:rowOff>47625</xdr:rowOff>
    </xdr:from>
    <xdr:to>
      <xdr:col>5</xdr:col>
      <xdr:colOff>371473</xdr:colOff>
      <xdr:row>57</xdr:row>
      <xdr:rowOff>0</xdr:rowOff>
    </xdr:to>
    <xdr:sp macro="" textlink="">
      <xdr:nvSpPr>
        <xdr:cNvPr id="30" name="Ovál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942974" y="1071562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314324</xdr:colOff>
      <xdr:row>58</xdr:row>
      <xdr:rowOff>28575</xdr:rowOff>
    </xdr:from>
    <xdr:to>
      <xdr:col>5</xdr:col>
      <xdr:colOff>352423</xdr:colOff>
      <xdr:row>58</xdr:row>
      <xdr:rowOff>171450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>
        <a:xfrm>
          <a:off x="923924" y="110775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466724</xdr:colOff>
      <xdr:row>56</xdr:row>
      <xdr:rowOff>133350</xdr:rowOff>
    </xdr:from>
    <xdr:to>
      <xdr:col>11</xdr:col>
      <xdr:colOff>504823</xdr:colOff>
      <xdr:row>57</xdr:row>
      <xdr:rowOff>104775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>
        <a:xfrm>
          <a:off x="4733924" y="1080135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52</xdr:row>
      <xdr:rowOff>180975</xdr:rowOff>
    </xdr:from>
    <xdr:to>
      <xdr:col>11</xdr:col>
      <xdr:colOff>485773</xdr:colOff>
      <xdr:row>53</xdr:row>
      <xdr:rowOff>133350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>
        <a:xfrm>
          <a:off x="4714874" y="100869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455084</xdr:colOff>
      <xdr:row>4</xdr:row>
      <xdr:rowOff>74083</xdr:rowOff>
    </xdr:from>
    <xdr:to>
      <xdr:col>25</xdr:col>
      <xdr:colOff>279401</xdr:colOff>
      <xdr:row>18</xdr:row>
      <xdr:rowOff>83608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836083"/>
          <a:ext cx="6576483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317501</xdr:colOff>
      <xdr:row>8</xdr:row>
      <xdr:rowOff>1</xdr:rowOff>
    </xdr:from>
    <xdr:to>
      <xdr:col>25</xdr:col>
      <xdr:colOff>232834</xdr:colOff>
      <xdr:row>9</xdr:row>
      <xdr:rowOff>31751</xdr:rowOff>
    </xdr:to>
    <xdr:sp macro="" textlink="">
      <xdr:nvSpPr>
        <xdr:cNvPr id="35" name="Ovál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14435668" y="1524001"/>
          <a:ext cx="1142999" cy="222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21166</xdr:colOff>
      <xdr:row>22</xdr:row>
      <xdr:rowOff>21167</xdr:rowOff>
    </xdr:from>
    <xdr:to>
      <xdr:col>30</xdr:col>
      <xdr:colOff>108778</xdr:colOff>
      <xdr:row>42</xdr:row>
      <xdr:rowOff>42334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8666" y="4212167"/>
          <a:ext cx="9295112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42333</xdr:colOff>
      <xdr:row>28</xdr:row>
      <xdr:rowOff>116417</xdr:rowOff>
    </xdr:from>
    <xdr:to>
      <xdr:col>30</xdr:col>
      <xdr:colOff>74083</xdr:colOff>
      <xdr:row>30</xdr:row>
      <xdr:rowOff>31750</xdr:rowOff>
    </xdr:to>
    <xdr:sp macro="" textlink="">
      <xdr:nvSpPr>
        <xdr:cNvPr id="37" name="Ovál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9863666" y="54504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84666</xdr:colOff>
      <xdr:row>37</xdr:row>
      <xdr:rowOff>116417</xdr:rowOff>
    </xdr:from>
    <xdr:to>
      <xdr:col>30</xdr:col>
      <xdr:colOff>116416</xdr:colOff>
      <xdr:row>39</xdr:row>
      <xdr:rowOff>31750</xdr:rowOff>
    </xdr:to>
    <xdr:sp macro="" textlink="">
      <xdr:nvSpPr>
        <xdr:cNvPr id="38" name="Ovál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>
        <a:xfrm>
          <a:off x="9905999" y="71649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340518</xdr:colOff>
      <xdr:row>0</xdr:row>
      <xdr:rowOff>116680</xdr:rowOff>
    </xdr:from>
    <xdr:to>
      <xdr:col>28</xdr:col>
      <xdr:colOff>309563</xdr:colOff>
      <xdr:row>61</xdr:row>
      <xdr:rowOff>83344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40518" y="116680"/>
          <a:ext cx="16971170" cy="11587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444500</xdr:colOff>
      <xdr:row>1</xdr:row>
      <xdr:rowOff>63500</xdr:rowOff>
    </xdr:from>
    <xdr:to>
      <xdr:col>7</xdr:col>
      <xdr:colOff>309563</xdr:colOff>
      <xdr:row>5</xdr:row>
      <xdr:rowOff>183157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19" y="254000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297656</xdr:colOff>
      <xdr:row>1</xdr:row>
      <xdr:rowOff>83345</xdr:rowOff>
    </xdr:from>
    <xdr:to>
      <xdr:col>14</xdr:col>
      <xdr:colOff>248782</xdr:colOff>
      <xdr:row>5</xdr:row>
      <xdr:rowOff>179591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73845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488156</xdr:colOff>
      <xdr:row>5</xdr:row>
      <xdr:rowOff>166688</xdr:rowOff>
    </xdr:from>
    <xdr:to>
      <xdr:col>14</xdr:col>
      <xdr:colOff>226218</xdr:colOff>
      <xdr:row>8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095375" y="111918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464344</xdr:colOff>
      <xdr:row>8</xdr:row>
      <xdr:rowOff>59532</xdr:rowOff>
    </xdr:from>
    <xdr:to>
      <xdr:col>7</xdr:col>
      <xdr:colOff>309563</xdr:colOff>
      <xdr:row>10</xdr:row>
      <xdr:rowOff>34420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1583532"/>
          <a:ext cx="3488531" cy="35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285749</xdr:colOff>
      <xdr:row>8</xdr:row>
      <xdr:rowOff>83344</xdr:rowOff>
    </xdr:from>
    <xdr:to>
      <xdr:col>14</xdr:col>
      <xdr:colOff>261936</xdr:colOff>
      <xdr:row>10</xdr:row>
      <xdr:rowOff>38298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0" y="1607344"/>
          <a:ext cx="4226719" cy="33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10</xdr:row>
      <xdr:rowOff>23813</xdr:rowOff>
    </xdr:from>
    <xdr:to>
      <xdr:col>7</xdr:col>
      <xdr:colOff>321470</xdr:colOff>
      <xdr:row>13</xdr:row>
      <xdr:rowOff>117372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1928813"/>
          <a:ext cx="3512344" cy="66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10</xdr:row>
      <xdr:rowOff>23813</xdr:rowOff>
    </xdr:from>
    <xdr:to>
      <xdr:col>14</xdr:col>
      <xdr:colOff>261937</xdr:colOff>
      <xdr:row>13</xdr:row>
      <xdr:rowOff>103180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928813"/>
          <a:ext cx="4191000" cy="65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13</xdr:row>
      <xdr:rowOff>130969</xdr:rowOff>
    </xdr:from>
    <xdr:to>
      <xdr:col>7</xdr:col>
      <xdr:colOff>309564</xdr:colOff>
      <xdr:row>15</xdr:row>
      <xdr:rowOff>73086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2607469"/>
          <a:ext cx="3500438" cy="323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13</xdr:row>
      <xdr:rowOff>107155</xdr:rowOff>
    </xdr:from>
    <xdr:to>
      <xdr:col>14</xdr:col>
      <xdr:colOff>250031</xdr:colOff>
      <xdr:row>15</xdr:row>
      <xdr:rowOff>61442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83655"/>
          <a:ext cx="4179094" cy="33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15</xdr:row>
      <xdr:rowOff>86041</xdr:rowOff>
    </xdr:from>
    <xdr:to>
      <xdr:col>7</xdr:col>
      <xdr:colOff>321469</xdr:colOff>
      <xdr:row>16</xdr:row>
      <xdr:rowOff>93913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2943541"/>
          <a:ext cx="3500437" cy="198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309564</xdr:colOff>
      <xdr:row>15</xdr:row>
      <xdr:rowOff>83344</xdr:rowOff>
    </xdr:from>
    <xdr:to>
      <xdr:col>14</xdr:col>
      <xdr:colOff>261938</xdr:colOff>
      <xdr:row>16</xdr:row>
      <xdr:rowOff>67879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5" y="2940844"/>
          <a:ext cx="4202906" cy="17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452437</xdr:colOff>
      <xdr:row>16</xdr:row>
      <xdr:rowOff>95250</xdr:rowOff>
    </xdr:from>
    <xdr:to>
      <xdr:col>7</xdr:col>
      <xdr:colOff>321469</xdr:colOff>
      <xdr:row>19</xdr:row>
      <xdr:rowOff>190387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6" y="3143250"/>
          <a:ext cx="3512344" cy="666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321470</xdr:colOff>
      <xdr:row>16</xdr:row>
      <xdr:rowOff>71438</xdr:rowOff>
    </xdr:from>
    <xdr:to>
      <xdr:col>14</xdr:col>
      <xdr:colOff>261938</xdr:colOff>
      <xdr:row>19</xdr:row>
      <xdr:rowOff>167494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1" y="3119438"/>
          <a:ext cx="4191000" cy="66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19</xdr:row>
      <xdr:rowOff>178593</xdr:rowOff>
    </xdr:from>
    <xdr:to>
      <xdr:col>7</xdr:col>
      <xdr:colOff>345282</xdr:colOff>
      <xdr:row>21</xdr:row>
      <xdr:rowOff>158698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798093"/>
          <a:ext cx="3548063" cy="36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19</xdr:row>
      <xdr:rowOff>178593</xdr:rowOff>
    </xdr:from>
    <xdr:to>
      <xdr:col>14</xdr:col>
      <xdr:colOff>250031</xdr:colOff>
      <xdr:row>21</xdr:row>
      <xdr:rowOff>142875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798093"/>
          <a:ext cx="4179094" cy="34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11908</xdr:colOff>
      <xdr:row>55</xdr:row>
      <xdr:rowOff>47624</xdr:rowOff>
    </xdr:from>
    <xdr:to>
      <xdr:col>11</xdr:col>
      <xdr:colOff>333376</xdr:colOff>
      <xdr:row>57</xdr:row>
      <xdr:rowOff>76199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4" y="10525124"/>
          <a:ext cx="5179218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459581</xdr:colOff>
      <xdr:row>21</xdr:row>
      <xdr:rowOff>92869</xdr:rowOff>
    </xdr:from>
    <xdr:to>
      <xdr:col>14</xdr:col>
      <xdr:colOff>197643</xdr:colOff>
      <xdr:row>23</xdr:row>
      <xdr:rowOff>164306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1066800" y="4093369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kvality života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428625</xdr:colOff>
      <xdr:row>23</xdr:row>
      <xdr:rowOff>178594</xdr:rowOff>
    </xdr:from>
    <xdr:to>
      <xdr:col>7</xdr:col>
      <xdr:colOff>345282</xdr:colOff>
      <xdr:row>25</xdr:row>
      <xdr:rowOff>134632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4560094"/>
          <a:ext cx="3559969" cy="33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333378</xdr:colOff>
      <xdr:row>24</xdr:row>
      <xdr:rowOff>0</xdr:rowOff>
    </xdr:from>
    <xdr:to>
      <xdr:col>14</xdr:col>
      <xdr:colOff>226220</xdr:colOff>
      <xdr:row>25</xdr:row>
      <xdr:rowOff>138176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9" y="4572000"/>
          <a:ext cx="4143374" cy="3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25</xdr:row>
      <xdr:rowOff>119063</xdr:rowOff>
    </xdr:from>
    <xdr:to>
      <xdr:col>7</xdr:col>
      <xdr:colOff>333375</xdr:colOff>
      <xdr:row>29</xdr:row>
      <xdr:rowOff>34999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4881563"/>
          <a:ext cx="3548063" cy="677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333377</xdr:colOff>
      <xdr:row>25</xdr:row>
      <xdr:rowOff>142876</xdr:rowOff>
    </xdr:from>
    <xdr:to>
      <xdr:col>14</xdr:col>
      <xdr:colOff>202406</xdr:colOff>
      <xdr:row>29</xdr:row>
      <xdr:rowOff>35719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8" y="4905376"/>
          <a:ext cx="4119561" cy="65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29</xdr:row>
      <xdr:rowOff>23814</xdr:rowOff>
    </xdr:from>
    <xdr:to>
      <xdr:col>7</xdr:col>
      <xdr:colOff>333375</xdr:colOff>
      <xdr:row>30</xdr:row>
      <xdr:rowOff>177282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548314"/>
          <a:ext cx="3536156" cy="34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321468</xdr:colOff>
      <xdr:row>29</xdr:row>
      <xdr:rowOff>35719</xdr:rowOff>
    </xdr:from>
    <xdr:to>
      <xdr:col>14</xdr:col>
      <xdr:colOff>190499</xdr:colOff>
      <xdr:row>30</xdr:row>
      <xdr:rowOff>172006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9" y="5560219"/>
          <a:ext cx="4119563" cy="32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31</xdr:row>
      <xdr:rowOff>0</xdr:rowOff>
    </xdr:from>
    <xdr:to>
      <xdr:col>7</xdr:col>
      <xdr:colOff>333376</xdr:colOff>
      <xdr:row>32</xdr:row>
      <xdr:rowOff>163390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5905500"/>
          <a:ext cx="3559968" cy="35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31</xdr:row>
      <xdr:rowOff>11907</xdr:rowOff>
    </xdr:from>
    <xdr:to>
      <xdr:col>14</xdr:col>
      <xdr:colOff>202406</xdr:colOff>
      <xdr:row>32</xdr:row>
      <xdr:rowOff>141580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917407"/>
          <a:ext cx="4131469" cy="32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32</xdr:row>
      <xdr:rowOff>154782</xdr:rowOff>
    </xdr:from>
    <xdr:to>
      <xdr:col>7</xdr:col>
      <xdr:colOff>321469</xdr:colOff>
      <xdr:row>36</xdr:row>
      <xdr:rowOff>82354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6250782"/>
          <a:ext cx="3536157" cy="68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32</xdr:row>
      <xdr:rowOff>166688</xdr:rowOff>
    </xdr:from>
    <xdr:to>
      <xdr:col>14</xdr:col>
      <xdr:colOff>202406</xdr:colOff>
      <xdr:row>36</xdr:row>
      <xdr:rowOff>58854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262688"/>
          <a:ext cx="4131469" cy="654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428626</xdr:colOff>
      <xdr:row>36</xdr:row>
      <xdr:rowOff>71439</xdr:rowOff>
    </xdr:from>
    <xdr:to>
      <xdr:col>7</xdr:col>
      <xdr:colOff>321470</xdr:colOff>
      <xdr:row>38</xdr:row>
      <xdr:rowOff>35225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5" y="6929439"/>
          <a:ext cx="3536156" cy="34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333374</xdr:colOff>
      <xdr:row>36</xdr:row>
      <xdr:rowOff>71437</xdr:rowOff>
    </xdr:from>
    <xdr:to>
      <xdr:col>14</xdr:col>
      <xdr:colOff>226218</xdr:colOff>
      <xdr:row>38</xdr:row>
      <xdr:rowOff>18463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5" y="6929437"/>
          <a:ext cx="4143376" cy="328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445294</xdr:colOff>
      <xdr:row>38</xdr:row>
      <xdr:rowOff>30956</xdr:rowOff>
    </xdr:from>
    <xdr:to>
      <xdr:col>14</xdr:col>
      <xdr:colOff>183356</xdr:colOff>
      <xdr:row>40</xdr:row>
      <xdr:rowOff>102393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/>
      </xdr:nvSpPr>
      <xdr:spPr>
        <a:xfrm>
          <a:off x="1052513" y="7269956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392906</xdr:colOff>
      <xdr:row>40</xdr:row>
      <xdr:rowOff>130968</xdr:rowOff>
    </xdr:from>
    <xdr:to>
      <xdr:col>7</xdr:col>
      <xdr:colOff>291714</xdr:colOff>
      <xdr:row>42</xdr:row>
      <xdr:rowOff>83344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750968"/>
          <a:ext cx="354212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273846</xdr:colOff>
      <xdr:row>40</xdr:row>
      <xdr:rowOff>142876</xdr:rowOff>
    </xdr:from>
    <xdr:to>
      <xdr:col>14</xdr:col>
      <xdr:colOff>238126</xdr:colOff>
      <xdr:row>42</xdr:row>
      <xdr:rowOff>89159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7762876"/>
          <a:ext cx="4214812" cy="327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428625</xdr:colOff>
      <xdr:row>62</xdr:row>
      <xdr:rowOff>23812</xdr:rowOff>
    </xdr:from>
    <xdr:to>
      <xdr:col>24</xdr:col>
      <xdr:colOff>11906</xdr:colOff>
      <xdr:row>70</xdr:row>
      <xdr:rowOff>142875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7108031" y="11834812"/>
          <a:ext cx="7477125" cy="1643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404813</xdr:colOff>
      <xdr:row>42</xdr:row>
      <xdr:rowOff>83344</xdr:rowOff>
    </xdr:from>
    <xdr:to>
      <xdr:col>7</xdr:col>
      <xdr:colOff>285750</xdr:colOff>
      <xdr:row>45</xdr:row>
      <xdr:rowOff>187520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8084344"/>
          <a:ext cx="3524249" cy="675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273845</xdr:colOff>
      <xdr:row>42</xdr:row>
      <xdr:rowOff>95251</xdr:rowOff>
    </xdr:from>
    <xdr:to>
      <xdr:col>14</xdr:col>
      <xdr:colOff>202406</xdr:colOff>
      <xdr:row>45</xdr:row>
      <xdr:rowOff>177187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8096251"/>
          <a:ext cx="4179093" cy="65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416719</xdr:colOff>
      <xdr:row>45</xdr:row>
      <xdr:rowOff>190499</xdr:rowOff>
    </xdr:from>
    <xdr:to>
      <xdr:col>7</xdr:col>
      <xdr:colOff>273844</xdr:colOff>
      <xdr:row>47</xdr:row>
      <xdr:rowOff>144069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8" y="8762999"/>
          <a:ext cx="3500437" cy="33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309563</xdr:colOff>
      <xdr:row>46</xdr:row>
      <xdr:rowOff>1</xdr:rowOff>
    </xdr:from>
    <xdr:to>
      <xdr:col>14</xdr:col>
      <xdr:colOff>214312</xdr:colOff>
      <xdr:row>47</xdr:row>
      <xdr:rowOff>137820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8763001"/>
          <a:ext cx="4155281" cy="32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47</xdr:row>
      <xdr:rowOff>142876</xdr:rowOff>
    </xdr:from>
    <xdr:to>
      <xdr:col>7</xdr:col>
      <xdr:colOff>285750</xdr:colOff>
      <xdr:row>49</xdr:row>
      <xdr:rowOff>103993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096376"/>
          <a:ext cx="3500437" cy="34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273843</xdr:colOff>
      <xdr:row>47</xdr:row>
      <xdr:rowOff>142875</xdr:rowOff>
    </xdr:from>
    <xdr:to>
      <xdr:col>14</xdr:col>
      <xdr:colOff>214312</xdr:colOff>
      <xdr:row>49</xdr:row>
      <xdr:rowOff>85376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9096375"/>
          <a:ext cx="4191001" cy="32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49</xdr:row>
      <xdr:rowOff>130969</xdr:rowOff>
    </xdr:from>
    <xdr:to>
      <xdr:col>7</xdr:col>
      <xdr:colOff>261940</xdr:colOff>
      <xdr:row>51</xdr:row>
      <xdr:rowOff>100073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9465469"/>
          <a:ext cx="3488532" cy="35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273842</xdr:colOff>
      <xdr:row>49</xdr:row>
      <xdr:rowOff>142875</xdr:rowOff>
    </xdr:from>
    <xdr:to>
      <xdr:col>14</xdr:col>
      <xdr:colOff>214312</xdr:colOff>
      <xdr:row>51</xdr:row>
      <xdr:rowOff>110261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3" y="9477375"/>
          <a:ext cx="4191002" cy="34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51</xdr:row>
      <xdr:rowOff>83344</xdr:rowOff>
    </xdr:from>
    <xdr:to>
      <xdr:col>7</xdr:col>
      <xdr:colOff>250032</xdr:colOff>
      <xdr:row>53</xdr:row>
      <xdr:rowOff>58260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798844"/>
          <a:ext cx="3464719" cy="35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261938</xdr:colOff>
      <xdr:row>51</xdr:row>
      <xdr:rowOff>83345</xdr:rowOff>
    </xdr:from>
    <xdr:to>
      <xdr:col>14</xdr:col>
      <xdr:colOff>250031</xdr:colOff>
      <xdr:row>53</xdr:row>
      <xdr:rowOff>21133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69" y="9798845"/>
          <a:ext cx="4238625" cy="31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53</xdr:row>
      <xdr:rowOff>35721</xdr:rowOff>
    </xdr:from>
    <xdr:to>
      <xdr:col>7</xdr:col>
      <xdr:colOff>250032</xdr:colOff>
      <xdr:row>55</xdr:row>
      <xdr:rowOff>9767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10132221"/>
          <a:ext cx="3488531" cy="355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250031</xdr:colOff>
      <xdr:row>53</xdr:row>
      <xdr:rowOff>47627</xdr:rowOff>
    </xdr:from>
    <xdr:to>
      <xdr:col>14</xdr:col>
      <xdr:colOff>226218</xdr:colOff>
      <xdr:row>55</xdr:row>
      <xdr:rowOff>11665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10144127"/>
          <a:ext cx="4226719" cy="345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535780</xdr:colOff>
      <xdr:row>14</xdr:row>
      <xdr:rowOff>178595</xdr:rowOff>
    </xdr:from>
    <xdr:to>
      <xdr:col>14</xdr:col>
      <xdr:colOff>321467</xdr:colOff>
      <xdr:row>16</xdr:row>
      <xdr:rowOff>95251</xdr:rowOff>
    </xdr:to>
    <xdr:sp macro="" textlink="">
      <xdr:nvSpPr>
        <xdr:cNvPr id="48" name="Ovál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6000749" y="2845595"/>
          <a:ext cx="2821781" cy="297656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485774</xdr:colOff>
      <xdr:row>30</xdr:row>
      <xdr:rowOff>152401</xdr:rowOff>
    </xdr:from>
    <xdr:to>
      <xdr:col>14</xdr:col>
      <xdr:colOff>271461</xdr:colOff>
      <xdr:row>32</xdr:row>
      <xdr:rowOff>154781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5950743" y="5867401"/>
          <a:ext cx="2821781" cy="38338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561181</xdr:colOff>
      <xdr:row>1</xdr:row>
      <xdr:rowOff>73025</xdr:rowOff>
    </xdr:from>
    <xdr:to>
      <xdr:col>20</xdr:col>
      <xdr:colOff>426244</xdr:colOff>
      <xdr:row>6</xdr:row>
      <xdr:rowOff>2182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244" y="263525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414337</xdr:colOff>
      <xdr:row>1</xdr:row>
      <xdr:rowOff>92870</xdr:rowOff>
    </xdr:from>
    <xdr:to>
      <xdr:col>27</xdr:col>
      <xdr:colOff>365464</xdr:colOff>
      <xdr:row>5</xdr:row>
      <xdr:rowOff>189116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712" y="283370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604837</xdr:colOff>
      <xdr:row>5</xdr:row>
      <xdr:rowOff>164307</xdr:rowOff>
    </xdr:from>
    <xdr:to>
      <xdr:col>27</xdr:col>
      <xdr:colOff>342900</xdr:colOff>
      <xdr:row>8</xdr:row>
      <xdr:rowOff>45244</xdr:rowOff>
    </xdr:to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/>
      </xdr:nvSpPr>
      <xdr:spPr>
        <a:xfrm>
          <a:off x="9105900" y="1116807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EASI (viz pozn. 15)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8</xdr:row>
      <xdr:rowOff>59532</xdr:rowOff>
    </xdr:from>
    <xdr:to>
      <xdr:col>20</xdr:col>
      <xdr:colOff>488157</xdr:colOff>
      <xdr:row>10</xdr:row>
      <xdr:rowOff>12643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1583532"/>
          <a:ext cx="3512344" cy="33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464343</xdr:colOff>
      <xdr:row>8</xdr:row>
      <xdr:rowOff>83343</xdr:rowOff>
    </xdr:from>
    <xdr:to>
      <xdr:col>27</xdr:col>
      <xdr:colOff>392907</xdr:colOff>
      <xdr:row>10</xdr:row>
      <xdr:rowOff>11906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18" y="1607343"/>
          <a:ext cx="4179095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7144</xdr:colOff>
      <xdr:row>9</xdr:row>
      <xdr:rowOff>185738</xdr:rowOff>
    </xdr:from>
    <xdr:to>
      <xdr:col>27</xdr:col>
      <xdr:colOff>352425</xdr:colOff>
      <xdr:row>12</xdr:row>
      <xdr:rowOff>66675</xdr:rowOff>
    </xdr:to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/>
      </xdr:nvSpPr>
      <xdr:spPr>
        <a:xfrm>
          <a:off x="9115425" y="190023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POEM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14</xdr:col>
      <xdr:colOff>571501</xdr:colOff>
      <xdr:row>12</xdr:row>
      <xdr:rowOff>95251</xdr:rowOff>
    </xdr:from>
    <xdr:to>
      <xdr:col>20</xdr:col>
      <xdr:colOff>511969</xdr:colOff>
      <xdr:row>14</xdr:row>
      <xdr:rowOff>71439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4" y="238125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535781</xdr:colOff>
      <xdr:row>12</xdr:row>
      <xdr:rowOff>107156</xdr:rowOff>
    </xdr:from>
    <xdr:to>
      <xdr:col>27</xdr:col>
      <xdr:colOff>428625</xdr:colOff>
      <xdr:row>14</xdr:row>
      <xdr:rowOff>59531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2393156"/>
          <a:ext cx="414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11907</xdr:colOff>
      <xdr:row>14</xdr:row>
      <xdr:rowOff>45243</xdr:rowOff>
    </xdr:from>
    <xdr:to>
      <xdr:col>27</xdr:col>
      <xdr:colOff>376237</xdr:colOff>
      <xdr:row>16</xdr:row>
      <xdr:rowOff>116680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/>
      </xdr:nvSpPr>
      <xdr:spPr>
        <a:xfrm>
          <a:off x="9120188" y="2712243"/>
          <a:ext cx="7650955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PP-NRS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16</xdr:row>
      <xdr:rowOff>142874</xdr:rowOff>
    </xdr:from>
    <xdr:to>
      <xdr:col>20</xdr:col>
      <xdr:colOff>543441</xdr:colOff>
      <xdr:row>17</xdr:row>
      <xdr:rowOff>166687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3190874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547688</xdr:colOff>
      <xdr:row>16</xdr:row>
      <xdr:rowOff>130967</xdr:rowOff>
    </xdr:from>
    <xdr:to>
      <xdr:col>27</xdr:col>
      <xdr:colOff>416719</xdr:colOff>
      <xdr:row>17</xdr:row>
      <xdr:rowOff>166687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3" y="3178967"/>
          <a:ext cx="4119562" cy="22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17</xdr:row>
      <xdr:rowOff>152401</xdr:rowOff>
    </xdr:from>
    <xdr:to>
      <xdr:col>27</xdr:col>
      <xdr:colOff>380999</xdr:colOff>
      <xdr:row>20</xdr:row>
      <xdr:rowOff>33338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/>
      </xdr:nvSpPr>
      <xdr:spPr>
        <a:xfrm>
          <a:off x="9117806" y="3390901"/>
          <a:ext cx="7658099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20</xdr:col>
      <xdr:colOff>535781</xdr:colOff>
      <xdr:row>20</xdr:row>
      <xdr:rowOff>59532</xdr:rowOff>
    </xdr:from>
    <xdr:to>
      <xdr:col>27</xdr:col>
      <xdr:colOff>416719</xdr:colOff>
      <xdr:row>21</xdr:row>
      <xdr:rowOff>107155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3869532"/>
          <a:ext cx="4131469" cy="23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9526</xdr:colOff>
      <xdr:row>20</xdr:row>
      <xdr:rowOff>45243</xdr:rowOff>
    </xdr:from>
    <xdr:to>
      <xdr:col>20</xdr:col>
      <xdr:colOff>541060</xdr:colOff>
      <xdr:row>21</xdr:row>
      <xdr:rowOff>69056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7807" y="3855243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21</xdr:row>
      <xdr:rowOff>64293</xdr:rowOff>
    </xdr:from>
    <xdr:to>
      <xdr:col>27</xdr:col>
      <xdr:colOff>383381</xdr:colOff>
      <xdr:row>23</xdr:row>
      <xdr:rowOff>135730</xdr:rowOff>
    </xdr:to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>
          <a:off x="9146381" y="40647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19049</xdr:colOff>
      <xdr:row>23</xdr:row>
      <xdr:rowOff>152398</xdr:rowOff>
    </xdr:from>
    <xdr:to>
      <xdr:col>20</xdr:col>
      <xdr:colOff>550583</xdr:colOff>
      <xdr:row>24</xdr:row>
      <xdr:rowOff>176211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330" y="4533898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547687</xdr:colOff>
      <xdr:row>23</xdr:row>
      <xdr:rowOff>154780</xdr:rowOff>
    </xdr:from>
    <xdr:to>
      <xdr:col>27</xdr:col>
      <xdr:colOff>416719</xdr:colOff>
      <xdr:row>24</xdr:row>
      <xdr:rowOff>190499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4536280"/>
          <a:ext cx="4119563" cy="22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23813</xdr:colOff>
      <xdr:row>24</xdr:row>
      <xdr:rowOff>157162</xdr:rowOff>
    </xdr:from>
    <xdr:to>
      <xdr:col>27</xdr:col>
      <xdr:colOff>369094</xdr:colOff>
      <xdr:row>27</xdr:row>
      <xdr:rowOff>38099</xdr:rowOff>
    </xdr:to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/>
      </xdr:nvSpPr>
      <xdr:spPr>
        <a:xfrm>
          <a:off x="9132094" y="4729162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ukončení léčby </a:t>
          </a:r>
          <a:r>
            <a:rPr lang="cs-CZ" sz="1200" b="1" baseline="0"/>
            <a:t> kvůli NÚ</a:t>
          </a:r>
          <a:r>
            <a:rPr lang="cs-CZ" sz="1200" b="1"/>
            <a:t>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(poměry šancí (OR) nad 1 indikujíí</a:t>
          </a:r>
          <a:r>
            <a:rPr lang="cs-CZ" sz="1000" b="1" u="sng" baseline="0"/>
            <a:t> </a:t>
          </a:r>
          <a:r>
            <a:rPr lang="cs-CZ" sz="1000" b="1" u="sng"/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535781</xdr:colOff>
      <xdr:row>27</xdr:row>
      <xdr:rowOff>71437</xdr:rowOff>
    </xdr:from>
    <xdr:to>
      <xdr:col>27</xdr:col>
      <xdr:colOff>392907</xdr:colOff>
      <xdr:row>29</xdr:row>
      <xdr:rowOff>11906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5214937"/>
          <a:ext cx="410765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601134</xdr:colOff>
      <xdr:row>27</xdr:row>
      <xdr:rowOff>66410</xdr:rowOff>
    </xdr:from>
    <xdr:to>
      <xdr:col>20</xdr:col>
      <xdr:colOff>541602</xdr:colOff>
      <xdr:row>29</xdr:row>
      <xdr:rowOff>42598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1" y="5209910"/>
          <a:ext cx="3623468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33338</xdr:colOff>
      <xdr:row>28</xdr:row>
      <xdr:rowOff>178593</xdr:rowOff>
    </xdr:from>
    <xdr:to>
      <xdr:col>27</xdr:col>
      <xdr:colOff>378619</xdr:colOff>
      <xdr:row>31</xdr:row>
      <xdr:rowOff>59530</xdr:rowOff>
    </xdr:to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/>
      </xdr:nvSpPr>
      <xdr:spPr>
        <a:xfrm>
          <a:off x="9141619" y="55125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výskyt vážných NÚ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(poměry šancí (OR) nad 1 indikujíí</a:t>
          </a:r>
          <a:r>
            <a:rPr lang="cs-CZ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547687</xdr:colOff>
      <xdr:row>31</xdr:row>
      <xdr:rowOff>71438</xdr:rowOff>
    </xdr:from>
    <xdr:to>
      <xdr:col>27</xdr:col>
      <xdr:colOff>416719</xdr:colOff>
      <xdr:row>33</xdr:row>
      <xdr:rowOff>61913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5976938"/>
          <a:ext cx="411956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590549</xdr:colOff>
      <xdr:row>31</xdr:row>
      <xdr:rowOff>80961</xdr:rowOff>
    </xdr:from>
    <xdr:to>
      <xdr:col>20</xdr:col>
      <xdr:colOff>531017</xdr:colOff>
      <xdr:row>33</xdr:row>
      <xdr:rowOff>57149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612" y="598646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130969</xdr:colOff>
      <xdr:row>33</xdr:row>
      <xdr:rowOff>83344</xdr:rowOff>
    </xdr:from>
    <xdr:to>
      <xdr:col>18</xdr:col>
      <xdr:colOff>226218</xdr:colOff>
      <xdr:row>34</xdr:row>
      <xdr:rowOff>88577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6369844"/>
          <a:ext cx="1916906" cy="19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119062</xdr:colOff>
      <xdr:row>35</xdr:row>
      <xdr:rowOff>71437</xdr:rowOff>
    </xdr:from>
    <xdr:to>
      <xdr:col>27</xdr:col>
      <xdr:colOff>464344</xdr:colOff>
      <xdr:row>37</xdr:row>
      <xdr:rowOff>185892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3" y="6738937"/>
          <a:ext cx="7631907" cy="49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83345</xdr:colOff>
      <xdr:row>34</xdr:row>
      <xdr:rowOff>71437</xdr:rowOff>
    </xdr:from>
    <xdr:to>
      <xdr:col>18</xdr:col>
      <xdr:colOff>59532</xdr:colOff>
      <xdr:row>35</xdr:row>
      <xdr:rowOff>72991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6548437"/>
          <a:ext cx="1797844" cy="1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285749</xdr:colOff>
      <xdr:row>39</xdr:row>
      <xdr:rowOff>83343</xdr:rowOff>
    </xdr:from>
    <xdr:to>
      <xdr:col>25</xdr:col>
      <xdr:colOff>295274</xdr:colOff>
      <xdr:row>48</xdr:row>
      <xdr:rowOff>54768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7512843"/>
          <a:ext cx="5474494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285750</xdr:colOff>
      <xdr:row>48</xdr:row>
      <xdr:rowOff>35719</xdr:rowOff>
    </xdr:from>
    <xdr:to>
      <xdr:col>25</xdr:col>
      <xdr:colOff>295275</xdr:colOff>
      <xdr:row>52</xdr:row>
      <xdr:rowOff>7144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9179719"/>
          <a:ext cx="547449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273843</xdr:colOff>
      <xdr:row>52</xdr:row>
      <xdr:rowOff>1</xdr:rowOff>
    </xdr:from>
    <xdr:to>
      <xdr:col>25</xdr:col>
      <xdr:colOff>292893</xdr:colOff>
      <xdr:row>53</xdr:row>
      <xdr:rowOff>66676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343" y="9906001"/>
          <a:ext cx="5484019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18.85546875" customWidth="1"/>
    <col min="2" max="3" width="12.5703125" customWidth="1"/>
    <col min="4" max="4" width="13.140625" customWidth="1"/>
    <col min="5" max="5" width="47.85546875" customWidth="1"/>
    <col min="6" max="6" width="44.85546875" customWidth="1"/>
    <col min="7" max="7" width="24.42578125" customWidth="1"/>
    <col min="8" max="8" width="29" customWidth="1"/>
    <col min="9" max="9" width="14.5703125" hidden="1" customWidth="1"/>
    <col min="10" max="10" width="12" hidden="1" customWidth="1"/>
  </cols>
  <sheetData>
    <row r="1" spans="1:10" ht="8.25" customHeight="1" thickBot="1" x14ac:dyDescent="0.3"/>
    <row r="2" spans="1:10" ht="36" customHeight="1" thickTop="1" thickBot="1" x14ac:dyDescent="0.3">
      <c r="A2" s="1" t="s">
        <v>36</v>
      </c>
      <c r="B2" s="2" t="s">
        <v>0</v>
      </c>
      <c r="C2" s="3" t="s">
        <v>1</v>
      </c>
      <c r="D2" s="3" t="s">
        <v>7</v>
      </c>
      <c r="E2" s="4" t="s">
        <v>156</v>
      </c>
      <c r="F2" s="22" t="s">
        <v>17</v>
      </c>
      <c r="G2" s="22" t="s">
        <v>18</v>
      </c>
      <c r="H2" s="5" t="s">
        <v>9</v>
      </c>
      <c r="I2" s="6" t="s">
        <v>2</v>
      </c>
      <c r="J2" s="7" t="s">
        <v>3</v>
      </c>
    </row>
    <row r="3" spans="1:10" ht="79.5" customHeight="1" thickTop="1" x14ac:dyDescent="0.25">
      <c r="A3" s="10" t="s">
        <v>10</v>
      </c>
      <c r="B3" s="11" t="s">
        <v>6</v>
      </c>
      <c r="C3" s="11" t="s">
        <v>32</v>
      </c>
      <c r="D3" s="21" t="s">
        <v>8</v>
      </c>
      <c r="E3" s="24" t="s">
        <v>159</v>
      </c>
      <c r="F3" s="25" t="s">
        <v>38</v>
      </c>
      <c r="G3" s="141" t="s">
        <v>20</v>
      </c>
      <c r="H3" s="27" t="s">
        <v>16</v>
      </c>
      <c r="I3" s="8" t="s">
        <v>4</v>
      </c>
      <c r="J3" s="9" t="s">
        <v>5</v>
      </c>
    </row>
    <row r="4" spans="1:10" ht="58.5" customHeight="1" x14ac:dyDescent="0.25">
      <c r="A4" s="182" t="s">
        <v>146</v>
      </c>
      <c r="B4" s="183" t="s">
        <v>140</v>
      </c>
      <c r="C4" s="183" t="s">
        <v>141</v>
      </c>
      <c r="D4" s="184" t="s">
        <v>8</v>
      </c>
      <c r="E4" s="185" t="s">
        <v>142</v>
      </c>
      <c r="F4" s="186" t="s">
        <v>143</v>
      </c>
      <c r="G4" s="187" t="s">
        <v>20</v>
      </c>
      <c r="H4" s="188"/>
      <c r="I4" s="8"/>
      <c r="J4" s="9"/>
    </row>
    <row r="5" spans="1:10" ht="106.5" customHeight="1" x14ac:dyDescent="0.25">
      <c r="A5" s="10" t="s">
        <v>11</v>
      </c>
      <c r="B5" s="11" t="s">
        <v>12</v>
      </c>
      <c r="C5" s="11" t="s">
        <v>33</v>
      </c>
      <c r="D5" s="12" t="s">
        <v>14</v>
      </c>
      <c r="E5" s="23" t="s">
        <v>25</v>
      </c>
      <c r="F5" s="26" t="s">
        <v>29</v>
      </c>
      <c r="G5" s="29" t="s">
        <v>19</v>
      </c>
      <c r="H5" s="28" t="s">
        <v>15</v>
      </c>
      <c r="I5" s="13" t="e">
        <f>#REF! /#REF!</f>
        <v>#REF!</v>
      </c>
      <c r="J5" s="14" t="e">
        <f>PRODUCT(#REF!/#REF!,#REF! /#REF!)</f>
        <v>#REF!</v>
      </c>
    </row>
    <row r="6" spans="1:10" ht="108" customHeight="1" x14ac:dyDescent="0.25">
      <c r="A6" s="10" t="s">
        <v>37</v>
      </c>
      <c r="B6" s="11" t="s">
        <v>13</v>
      </c>
      <c r="C6" s="11" t="s">
        <v>34</v>
      </c>
      <c r="D6" s="12" t="s">
        <v>14</v>
      </c>
      <c r="E6" s="23" t="s">
        <v>26</v>
      </c>
      <c r="F6" s="26" t="s">
        <v>21</v>
      </c>
      <c r="G6" s="29" t="s">
        <v>30</v>
      </c>
      <c r="H6" s="28" t="s">
        <v>15</v>
      </c>
      <c r="I6" s="13" t="e">
        <f>#REF! /#REF!</f>
        <v>#REF!</v>
      </c>
      <c r="J6" s="14" t="e">
        <f>PRODUCT(#REF!/#REF!,#REF! /#REF!)</f>
        <v>#REF!</v>
      </c>
    </row>
    <row r="7" spans="1:10" ht="132.75" customHeight="1" thickBot="1" x14ac:dyDescent="0.3">
      <c r="A7" s="176" t="s">
        <v>22</v>
      </c>
      <c r="B7" s="177" t="s">
        <v>23</v>
      </c>
      <c r="C7" s="177" t="s">
        <v>35</v>
      </c>
      <c r="D7" s="178" t="s">
        <v>14</v>
      </c>
      <c r="E7" s="179" t="s">
        <v>24</v>
      </c>
      <c r="F7" s="179" t="s">
        <v>27</v>
      </c>
      <c r="G7" s="180" t="s">
        <v>31</v>
      </c>
      <c r="H7" s="181" t="s">
        <v>28</v>
      </c>
      <c r="I7" s="13" t="e">
        <f>#REF! /#REF!</f>
        <v>#REF!</v>
      </c>
      <c r="J7" s="14" t="e">
        <f>PRODUCT(#REF!/#REF!,#REF! /#REF!)</f>
        <v>#REF!</v>
      </c>
    </row>
    <row r="8" spans="1:10" ht="3.75" customHeight="1" thickTop="1" x14ac:dyDescent="0.25">
      <c r="A8" s="17"/>
      <c r="B8" s="17"/>
      <c r="C8" s="17"/>
      <c r="D8" s="17"/>
      <c r="E8" s="17"/>
      <c r="F8" s="17"/>
      <c r="G8" s="17"/>
      <c r="H8" s="17"/>
      <c r="I8" s="17"/>
      <c r="J8" s="18"/>
    </row>
    <row r="9" spans="1:10" ht="9.6" customHeight="1" x14ac:dyDescent="0.25">
      <c r="A9" s="19"/>
      <c r="B9" s="17"/>
      <c r="C9" s="17"/>
      <c r="D9" s="17"/>
      <c r="E9" s="17"/>
      <c r="F9" s="17"/>
      <c r="G9" s="17"/>
      <c r="H9" s="17"/>
      <c r="I9" s="17"/>
      <c r="J9" s="17"/>
    </row>
    <row r="10" spans="1:10" ht="9.9499999999999993" customHeight="1" x14ac:dyDescent="0.25">
      <c r="A10" s="19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9.9499999999999993" customHeight="1" x14ac:dyDescent="0.25">
      <c r="A11" s="19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20"/>
      <c r="B12" s="17"/>
      <c r="C12" s="17"/>
      <c r="D12" s="17"/>
      <c r="E12" s="17"/>
      <c r="F12" s="17"/>
      <c r="G12" s="17"/>
      <c r="H12" s="17"/>
      <c r="I12" s="17"/>
      <c r="J12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tabSelected="1" zoomScale="90" zoomScaleNormal="9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O7" sqref="O7"/>
    </sheetView>
  </sheetViews>
  <sheetFormatPr defaultRowHeight="15" x14ac:dyDescent="0.25"/>
  <cols>
    <col min="1" max="1" width="27.5703125" customWidth="1"/>
    <col min="2" max="2" width="12.5703125" customWidth="1"/>
    <col min="3" max="3" width="16" customWidth="1"/>
    <col min="4" max="4" width="13.140625" customWidth="1"/>
    <col min="5" max="5" width="13.85546875" customWidth="1"/>
    <col min="6" max="6" width="22.140625" customWidth="1"/>
    <col min="7" max="7" width="21.140625" customWidth="1"/>
    <col min="8" max="8" width="0.42578125" hidden="1" customWidth="1"/>
    <col min="9" max="9" width="0.140625" hidden="1" customWidth="1"/>
    <col min="10" max="10" width="17.85546875" hidden="1" customWidth="1"/>
    <col min="11" max="11" width="19.140625" hidden="1" customWidth="1"/>
    <col min="12" max="13" width="18.5703125" hidden="1" customWidth="1"/>
    <col min="14" max="14" width="5.5703125" hidden="1" customWidth="1"/>
    <col min="15" max="15" width="18.5703125" customWidth="1"/>
    <col min="16" max="16" width="22.85546875" customWidth="1"/>
    <col min="17" max="17" width="23.28515625" customWidth="1"/>
    <col min="18" max="18" width="23.7109375" customWidth="1"/>
    <col min="19" max="19" width="9" customWidth="1"/>
    <col min="20" max="20" width="12" customWidth="1"/>
    <col min="21" max="21" width="31" customWidth="1"/>
    <col min="22" max="22" width="10.5703125" bestFit="1" customWidth="1"/>
    <col min="23" max="23" width="11.5703125" customWidth="1"/>
    <col min="24" max="24" width="17.85546875" customWidth="1"/>
    <col min="25" max="25" width="11" customWidth="1"/>
  </cols>
  <sheetData>
    <row r="1" spans="1:25" ht="5.0999999999999996" customHeight="1" thickBot="1" x14ac:dyDescent="0.3"/>
    <row r="2" spans="1:25" ht="76.5" customHeight="1" thickTop="1" thickBot="1" x14ac:dyDescent="0.3">
      <c r="A2" s="1" t="s">
        <v>36</v>
      </c>
      <c r="B2" s="2" t="s">
        <v>0</v>
      </c>
      <c r="C2" s="2" t="s">
        <v>1</v>
      </c>
      <c r="D2" s="3" t="s">
        <v>147</v>
      </c>
      <c r="E2" s="3" t="s">
        <v>148</v>
      </c>
      <c r="F2" s="55" t="s">
        <v>161</v>
      </c>
      <c r="G2" s="54" t="s">
        <v>162</v>
      </c>
      <c r="H2" s="56" t="s">
        <v>104</v>
      </c>
      <c r="I2" s="126" t="s">
        <v>133</v>
      </c>
      <c r="J2" s="120" t="s">
        <v>134</v>
      </c>
      <c r="K2" s="119" t="s">
        <v>120</v>
      </c>
      <c r="L2" s="126" t="s">
        <v>135</v>
      </c>
      <c r="M2" s="135" t="s">
        <v>136</v>
      </c>
      <c r="N2" s="140" t="s">
        <v>137</v>
      </c>
      <c r="O2" s="210" t="s">
        <v>154</v>
      </c>
      <c r="P2" s="212" t="s">
        <v>157</v>
      </c>
      <c r="Q2" s="216" t="s">
        <v>158</v>
      </c>
      <c r="R2" s="212" t="s">
        <v>155</v>
      </c>
      <c r="S2" s="213" t="s">
        <v>160</v>
      </c>
      <c r="T2" s="124"/>
      <c r="U2" s="125" t="s">
        <v>129</v>
      </c>
      <c r="V2" s="125" t="s">
        <v>130</v>
      </c>
      <c r="W2" s="125" t="s">
        <v>127</v>
      </c>
      <c r="X2" s="125" t="s">
        <v>128</v>
      </c>
      <c r="Y2" s="125" t="s">
        <v>132</v>
      </c>
    </row>
    <row r="3" spans="1:25" ht="44.45" customHeight="1" thickTop="1" thickBot="1" x14ac:dyDescent="0.3">
      <c r="A3" s="110" t="s">
        <v>113</v>
      </c>
      <c r="B3" s="112" t="s">
        <v>111</v>
      </c>
      <c r="C3" s="112" t="s">
        <v>110</v>
      </c>
      <c r="D3" s="109">
        <v>1198.06</v>
      </c>
      <c r="E3" s="113">
        <f t="shared" ref="E3:E10" si="0">D3-T3</f>
        <v>1198.06</v>
      </c>
      <c r="F3" s="122">
        <f>(((E3/50)*2)*112)</f>
        <v>5367.3087999999998</v>
      </c>
      <c r="G3" s="122">
        <f>(((E3/50)*2)*365)</f>
        <v>17491.675999999999</v>
      </c>
      <c r="H3" s="123"/>
      <c r="I3" s="127"/>
      <c r="J3" s="108"/>
      <c r="K3" s="107"/>
      <c r="L3" s="127"/>
      <c r="M3" s="127"/>
      <c r="N3" s="108"/>
      <c r="O3" s="108"/>
      <c r="P3" s="108"/>
      <c r="Q3" s="214"/>
      <c r="R3" s="214"/>
      <c r="S3" s="195">
        <v>0</v>
      </c>
      <c r="T3" s="33">
        <f t="shared" ref="T3:T10" si="1">D3*S3</f>
        <v>0</v>
      </c>
      <c r="U3" s="59"/>
      <c r="V3" s="59"/>
      <c r="W3" s="59"/>
      <c r="X3" s="59"/>
      <c r="Y3" s="58"/>
    </row>
    <row r="4" spans="1:25" ht="45.6" customHeight="1" thickTop="1" x14ac:dyDescent="0.25">
      <c r="A4" s="110" t="s">
        <v>114</v>
      </c>
      <c r="B4" s="112" t="s">
        <v>111</v>
      </c>
      <c r="C4" s="112" t="s">
        <v>110</v>
      </c>
      <c r="D4" s="109">
        <v>1198.06</v>
      </c>
      <c r="E4" s="113">
        <f t="shared" si="0"/>
        <v>1198.06</v>
      </c>
      <c r="F4" s="114">
        <f>(((E4/50)*2)*112)*2</f>
        <v>10734.6176</v>
      </c>
      <c r="G4" s="114">
        <f>(((E4/50)*2)*365)*2</f>
        <v>34983.351999999999</v>
      </c>
      <c r="H4" s="116"/>
      <c r="I4" s="127"/>
      <c r="J4" s="108"/>
      <c r="K4" s="107"/>
      <c r="L4" s="127"/>
      <c r="M4" s="127"/>
      <c r="N4" s="108"/>
      <c r="O4" s="108"/>
      <c r="P4" s="108"/>
      <c r="Q4" s="214"/>
      <c r="R4" s="214"/>
      <c r="S4" s="195">
        <v>0</v>
      </c>
      <c r="T4" s="33">
        <f t="shared" si="1"/>
        <v>0</v>
      </c>
      <c r="U4" s="59"/>
      <c r="V4" s="59"/>
      <c r="W4" s="59"/>
      <c r="X4" s="59"/>
      <c r="Y4" s="58"/>
    </row>
    <row r="5" spans="1:25" ht="43.5" customHeight="1" x14ac:dyDescent="0.25">
      <c r="A5" s="110" t="s">
        <v>138</v>
      </c>
      <c r="B5" s="112" t="s">
        <v>109</v>
      </c>
      <c r="C5" s="112" t="s">
        <v>108</v>
      </c>
      <c r="D5" s="109">
        <v>1227.08</v>
      </c>
      <c r="E5" s="113">
        <f t="shared" si="0"/>
        <v>1227.08</v>
      </c>
      <c r="F5" s="115">
        <f>((E5/100)*16)*2</f>
        <v>392.66559999999998</v>
      </c>
      <c r="G5" s="115">
        <f>((E5/100)*52)*2</f>
        <v>1276.1632</v>
      </c>
      <c r="H5" s="107"/>
      <c r="I5" s="127"/>
      <c r="J5" s="108"/>
      <c r="K5" s="107"/>
      <c r="L5" s="127"/>
      <c r="M5" s="127"/>
      <c r="N5" s="108"/>
      <c r="O5" s="108"/>
      <c r="P5" s="108"/>
      <c r="Q5" s="214"/>
      <c r="R5" s="214"/>
      <c r="S5" s="195">
        <v>0</v>
      </c>
      <c r="T5" s="33">
        <f t="shared" si="1"/>
        <v>0</v>
      </c>
      <c r="U5" s="59"/>
      <c r="V5" s="59"/>
      <c r="W5" s="59"/>
      <c r="X5" s="59"/>
      <c r="Y5" s="58"/>
    </row>
    <row r="6" spans="1:25" ht="42.95" customHeight="1" x14ac:dyDescent="0.25">
      <c r="A6" s="111" t="s">
        <v>139</v>
      </c>
      <c r="B6" s="112" t="s">
        <v>107</v>
      </c>
      <c r="C6" s="112" t="s">
        <v>106</v>
      </c>
      <c r="D6" s="109">
        <v>243.15</v>
      </c>
      <c r="E6" s="113">
        <f t="shared" si="0"/>
        <v>243.15</v>
      </c>
      <c r="F6" s="114">
        <f>(((E6/100)*3)*112)</f>
        <v>816.98400000000015</v>
      </c>
      <c r="G6" s="114">
        <f>(((E6/100)*3)*365)</f>
        <v>2662.4925000000003</v>
      </c>
      <c r="H6" s="107"/>
      <c r="I6" s="127"/>
      <c r="J6" s="108"/>
      <c r="K6" s="107"/>
      <c r="L6" s="127"/>
      <c r="M6" s="127"/>
      <c r="N6" s="108"/>
      <c r="O6" s="108"/>
      <c r="P6" s="108"/>
      <c r="Q6" s="214"/>
      <c r="R6" s="214"/>
      <c r="S6" s="195">
        <v>0</v>
      </c>
      <c r="T6" s="33">
        <f t="shared" si="1"/>
        <v>0</v>
      </c>
      <c r="U6" s="59"/>
      <c r="V6" s="59"/>
      <c r="W6" s="59"/>
      <c r="X6" s="59"/>
      <c r="Y6" s="58"/>
    </row>
    <row r="7" spans="1:25" ht="48" customHeight="1" x14ac:dyDescent="0.25">
      <c r="A7" s="103" t="s">
        <v>144</v>
      </c>
      <c r="B7" s="104" t="s">
        <v>6</v>
      </c>
      <c r="C7" s="104" t="s">
        <v>42</v>
      </c>
      <c r="D7" s="31">
        <v>17640.259999999998</v>
      </c>
      <c r="E7" s="31">
        <f t="shared" si="0"/>
        <v>17640.259999999998</v>
      </c>
      <c r="F7" s="105">
        <f>(E7+((E7/2)*8))</f>
        <v>88201.299999999988</v>
      </c>
      <c r="G7" s="105">
        <f>(E7+((E7/2)*26))</f>
        <v>246963.63999999998</v>
      </c>
      <c r="H7" s="106">
        <f>3*F7</f>
        <v>264603.89999999997</v>
      </c>
      <c r="I7" s="128">
        <f>H7-U7</f>
        <v>74935.730399999971</v>
      </c>
      <c r="J7" s="121">
        <f>H7-V7</f>
        <v>97374.364799999981</v>
      </c>
      <c r="K7" s="117">
        <f>3*G7</f>
        <v>740890.91999999993</v>
      </c>
      <c r="L7" s="131">
        <f>K7-W7</f>
        <v>122775.90299999993</v>
      </c>
      <c r="M7" s="136">
        <f>K7-X7</f>
        <v>195901.80975000001</v>
      </c>
      <c r="N7" s="139"/>
      <c r="O7" s="211">
        <f>(E7/2)*26</f>
        <v>229323.37999999998</v>
      </c>
      <c r="P7" s="199"/>
      <c r="Q7" s="199"/>
      <c r="R7" s="202"/>
      <c r="S7" s="195">
        <v>0</v>
      </c>
      <c r="T7" s="33">
        <f t="shared" si="1"/>
        <v>0</v>
      </c>
      <c r="U7" s="60">
        <f>H13</f>
        <v>189668.16959999999</v>
      </c>
      <c r="V7" s="60">
        <f>H14</f>
        <v>167229.53519999998</v>
      </c>
      <c r="W7" s="60">
        <f>K13</f>
        <v>618115.01699999999</v>
      </c>
      <c r="X7" s="60">
        <f>K14</f>
        <v>544989.11024999991</v>
      </c>
    </row>
    <row r="8" spans="1:25" ht="47.25" customHeight="1" x14ac:dyDescent="0.25">
      <c r="A8" s="51" t="s">
        <v>145</v>
      </c>
      <c r="B8" s="11" t="s">
        <v>12</v>
      </c>
      <c r="C8" s="11" t="s">
        <v>112</v>
      </c>
      <c r="D8" s="32">
        <v>14803.72</v>
      </c>
      <c r="E8" s="31">
        <f t="shared" si="0"/>
        <v>13619.422399999999</v>
      </c>
      <c r="F8" s="53">
        <f>((E8/28)*112)</f>
        <v>54477.689599999998</v>
      </c>
      <c r="G8" s="53">
        <f>((E8/28)*365)</f>
        <v>177538.89914285712</v>
      </c>
      <c r="H8" s="57">
        <f t="shared" ref="H8:H13" si="2">3*F8</f>
        <v>163433.06880000001</v>
      </c>
      <c r="I8" s="129">
        <f>H8-U8</f>
        <v>-26235.100799999986</v>
      </c>
      <c r="J8" s="28"/>
      <c r="K8" s="117">
        <f>3*G8</f>
        <v>532616.69742857129</v>
      </c>
      <c r="L8" s="132">
        <f>K8-W8</f>
        <v>-85498.319571428699</v>
      </c>
      <c r="M8" s="137"/>
      <c r="N8" s="137"/>
      <c r="O8" s="200"/>
      <c r="P8" s="200"/>
      <c r="Q8" s="200"/>
      <c r="R8" s="200"/>
      <c r="S8" s="196">
        <v>0.08</v>
      </c>
      <c r="T8" s="33">
        <f t="shared" si="1"/>
        <v>1184.2975999999999</v>
      </c>
      <c r="U8" s="60">
        <f>H13</f>
        <v>189668.16959999999</v>
      </c>
      <c r="W8" s="60">
        <f>K13</f>
        <v>618115.01699999999</v>
      </c>
      <c r="X8" s="60">
        <f>K14</f>
        <v>544989.11024999991</v>
      </c>
    </row>
    <row r="9" spans="1:25" ht="57" customHeight="1" x14ac:dyDescent="0.25">
      <c r="A9" s="51" t="s">
        <v>121</v>
      </c>
      <c r="B9" s="11" t="s">
        <v>12</v>
      </c>
      <c r="C9" s="11" t="s">
        <v>112</v>
      </c>
      <c r="D9" s="32">
        <v>14803.72</v>
      </c>
      <c r="E9" s="31">
        <f t="shared" si="0"/>
        <v>13619.422399999999</v>
      </c>
      <c r="F9" s="101">
        <f>((E9/28)*112)/2</f>
        <v>27238.844799999999</v>
      </c>
      <c r="G9" s="101">
        <f>((E9/28)*365)/2</f>
        <v>88769.449571428559</v>
      </c>
      <c r="H9" s="57">
        <f>3*F9</f>
        <v>81716.534400000004</v>
      </c>
      <c r="I9" s="130"/>
      <c r="J9" s="61">
        <f>H9-V9</f>
        <v>-85513.00079999998</v>
      </c>
      <c r="K9" s="117">
        <f>3*G9</f>
        <v>266308.34871428565</v>
      </c>
      <c r="L9" s="133"/>
      <c r="M9" s="138">
        <f>K9-X9</f>
        <v>-278680.76153571426</v>
      </c>
      <c r="N9" s="138"/>
      <c r="O9" s="201"/>
      <c r="P9" s="201"/>
      <c r="Q9" s="201"/>
      <c r="R9" s="201"/>
      <c r="S9" s="196">
        <v>0.08</v>
      </c>
      <c r="T9" s="33">
        <f t="shared" si="1"/>
        <v>1184.2975999999999</v>
      </c>
      <c r="V9" s="60">
        <f>H14</f>
        <v>167229.53519999998</v>
      </c>
      <c r="X9" s="60">
        <f>K14</f>
        <v>544989.11024999991</v>
      </c>
    </row>
    <row r="10" spans="1:25" ht="48" customHeight="1" x14ac:dyDescent="0.25">
      <c r="A10" s="51" t="s">
        <v>122</v>
      </c>
      <c r="B10" s="11" t="s">
        <v>13</v>
      </c>
      <c r="C10" s="11" t="s">
        <v>34</v>
      </c>
      <c r="D10" s="32">
        <v>49281.57</v>
      </c>
      <c r="E10" s="31">
        <f t="shared" si="0"/>
        <v>43367.781600000002</v>
      </c>
      <c r="F10" s="53">
        <f>(((E10/98)*2)*112)</f>
        <v>99126.357942857154</v>
      </c>
      <c r="G10" s="53">
        <f>(((E10/98)*2)*365)</f>
        <v>323045.72008163267</v>
      </c>
      <c r="H10" s="57">
        <f t="shared" si="2"/>
        <v>297379.07382857148</v>
      </c>
      <c r="I10" s="128">
        <f>H10-U10</f>
        <v>107710.90422857148</v>
      </c>
      <c r="J10" s="28"/>
      <c r="K10" s="117">
        <f>3*G10</f>
        <v>969137.16024489794</v>
      </c>
      <c r="L10" s="131">
        <f>K10-W10</f>
        <v>351022.14324489795</v>
      </c>
      <c r="M10" s="139"/>
      <c r="N10" s="139"/>
      <c r="O10" s="202"/>
      <c r="P10" s="202"/>
      <c r="Q10" s="202"/>
      <c r="R10" s="202"/>
      <c r="S10" s="196">
        <v>0.12</v>
      </c>
      <c r="T10" s="33">
        <f t="shared" si="1"/>
        <v>5913.7883999999995</v>
      </c>
      <c r="U10" s="60">
        <f>H13</f>
        <v>189668.16959999999</v>
      </c>
      <c r="W10" s="60">
        <f>K13</f>
        <v>618115.01699999999</v>
      </c>
    </row>
    <row r="11" spans="1:25" ht="48" customHeight="1" x14ac:dyDescent="0.25">
      <c r="A11" s="51" t="s">
        <v>126</v>
      </c>
      <c r="B11" s="11" t="s">
        <v>13</v>
      </c>
      <c r="C11" s="11" t="s">
        <v>34</v>
      </c>
      <c r="D11" s="32"/>
      <c r="E11" s="31"/>
      <c r="F11" s="53">
        <f>F10</f>
        <v>99126.357942857154</v>
      </c>
      <c r="G11" s="53">
        <f>((E12/98)*365)+51253</f>
        <v>212775.86004081633</v>
      </c>
      <c r="H11" s="57">
        <f>H10</f>
        <v>297379.07382857148</v>
      </c>
      <c r="I11" s="128">
        <f>I10</f>
        <v>107710.90422857148</v>
      </c>
      <c r="J11" s="118"/>
      <c r="K11" s="117">
        <f>H11+(3*((E10/98)*253))</f>
        <v>633258.11703673471</v>
      </c>
      <c r="L11" s="131">
        <f>K11-W11</f>
        <v>15143.100036734715</v>
      </c>
      <c r="M11" s="136">
        <f>K11-X11</f>
        <v>88269.006786734797</v>
      </c>
      <c r="N11" s="193">
        <f>K11-Y11</f>
        <v>65830.372386734816</v>
      </c>
      <c r="O11" s="203"/>
      <c r="P11" s="203"/>
      <c r="Q11" s="203"/>
      <c r="R11" s="203"/>
      <c r="S11" s="196"/>
      <c r="T11" s="33"/>
      <c r="U11" s="60">
        <f>H13</f>
        <v>189668.16959999999</v>
      </c>
      <c r="W11" s="60">
        <f>K13</f>
        <v>618115.01699999999</v>
      </c>
      <c r="X11" s="60">
        <f>K14</f>
        <v>544989.11024999991</v>
      </c>
      <c r="Y11" s="60">
        <f>K15</f>
        <v>567427.74464999989</v>
      </c>
    </row>
    <row r="12" spans="1:25" ht="51.75" customHeight="1" x14ac:dyDescent="0.25">
      <c r="A12" s="51" t="s">
        <v>123</v>
      </c>
      <c r="B12" s="11" t="s">
        <v>13</v>
      </c>
      <c r="C12" s="11" t="s">
        <v>34</v>
      </c>
      <c r="D12" s="32">
        <v>49281.57</v>
      </c>
      <c r="E12" s="31">
        <f>D12-T12</f>
        <v>43367.781600000002</v>
      </c>
      <c r="F12" s="53">
        <f>((E12/98)*112)</f>
        <v>49563.178971428577</v>
      </c>
      <c r="G12" s="53">
        <f>((E12/98)*365)</f>
        <v>161522.86004081633</v>
      </c>
      <c r="H12" s="57">
        <f t="shared" ref="H12" si="3">3*F12</f>
        <v>148689.53691428574</v>
      </c>
      <c r="I12" s="129">
        <f>H12-U12</f>
        <v>-40978.632685714256</v>
      </c>
      <c r="J12" s="61">
        <f>H12-V12</f>
        <v>-18539.998285714246</v>
      </c>
      <c r="K12" s="117">
        <f>3*G12</f>
        <v>484568.58012244897</v>
      </c>
      <c r="L12" s="132">
        <f>K12-W12</f>
        <v>-133546.43687755102</v>
      </c>
      <c r="M12" s="138">
        <f>K12-X12</f>
        <v>-60420.530127550941</v>
      </c>
      <c r="N12" s="194">
        <f>K12-Y12</f>
        <v>-82859.164527550922</v>
      </c>
      <c r="O12" s="204"/>
      <c r="P12" s="204"/>
      <c r="Q12" s="204"/>
      <c r="R12" s="204"/>
      <c r="S12" s="196">
        <v>0.12</v>
      </c>
      <c r="T12" s="33">
        <f>D12*S12</f>
        <v>5913.7883999999995</v>
      </c>
      <c r="U12" s="60">
        <f>H13</f>
        <v>189668.16959999999</v>
      </c>
      <c r="V12" s="60">
        <f>H14</f>
        <v>167229.53519999998</v>
      </c>
      <c r="W12" s="60">
        <f>K13</f>
        <v>618115.01699999999</v>
      </c>
      <c r="X12" s="60">
        <f>K14</f>
        <v>544989.11024999991</v>
      </c>
      <c r="Y12" s="60">
        <f>K15</f>
        <v>567427.74464999989</v>
      </c>
    </row>
    <row r="13" spans="1:25" ht="45.95" customHeight="1" x14ac:dyDescent="0.25">
      <c r="A13" s="51" t="s">
        <v>124</v>
      </c>
      <c r="B13" s="11" t="s">
        <v>23</v>
      </c>
      <c r="C13" s="11" t="s">
        <v>35</v>
      </c>
      <c r="D13" s="32">
        <v>17368.88</v>
      </c>
      <c r="E13" s="32">
        <f>D13-T13</f>
        <v>15805.680800000002</v>
      </c>
      <c r="F13" s="142">
        <f>((E13/28)*112)</f>
        <v>63222.7232</v>
      </c>
      <c r="G13" s="142">
        <f>((E13/28)*365)</f>
        <v>206038.33900000001</v>
      </c>
      <c r="H13" s="143">
        <f t="shared" si="2"/>
        <v>189668.16959999999</v>
      </c>
      <c r="I13" s="144"/>
      <c r="J13" s="145"/>
      <c r="K13" s="146">
        <f>3*G13</f>
        <v>618115.01699999999</v>
      </c>
      <c r="L13" s="147"/>
      <c r="M13" s="147"/>
      <c r="N13" s="147"/>
      <c r="O13" s="205"/>
      <c r="P13" s="205"/>
      <c r="Q13" s="205"/>
      <c r="R13" s="205"/>
      <c r="S13" s="197">
        <v>0.09</v>
      </c>
      <c r="T13" s="33">
        <f>D13*S13</f>
        <v>1563.1992</v>
      </c>
      <c r="U13" s="60">
        <f>H13</f>
        <v>189668.16959999999</v>
      </c>
    </row>
    <row r="14" spans="1:25" ht="51" customHeight="1" x14ac:dyDescent="0.25">
      <c r="A14" s="148" t="s">
        <v>125</v>
      </c>
      <c r="B14" s="149" t="s">
        <v>23</v>
      </c>
      <c r="C14" s="149" t="s">
        <v>35</v>
      </c>
      <c r="D14" s="150">
        <v>15314.06</v>
      </c>
      <c r="E14" s="150">
        <f>D14-T14</f>
        <v>13935.794599999999</v>
      </c>
      <c r="F14" s="142">
        <f>((E14/28)*112)</f>
        <v>55743.178399999997</v>
      </c>
      <c r="G14" s="142">
        <f>((E14/28)*365)</f>
        <v>181663.03674999997</v>
      </c>
      <c r="H14" s="151">
        <f>3*F14</f>
        <v>167229.53519999998</v>
      </c>
      <c r="I14" s="152"/>
      <c r="J14" s="153"/>
      <c r="K14" s="154">
        <f>3*G14</f>
        <v>544989.11024999991</v>
      </c>
      <c r="L14" s="155"/>
      <c r="M14" s="155"/>
      <c r="N14" s="155"/>
      <c r="O14" s="206"/>
      <c r="P14" s="206"/>
      <c r="Q14" s="206"/>
      <c r="R14" s="206"/>
      <c r="S14" s="197">
        <v>0.09</v>
      </c>
      <c r="T14" s="33">
        <f>D14*S14</f>
        <v>1378.2654</v>
      </c>
    </row>
    <row r="15" spans="1:25" ht="51.75" customHeight="1" x14ac:dyDescent="0.25">
      <c r="A15" s="156" t="s">
        <v>131</v>
      </c>
      <c r="B15" s="157" t="s">
        <v>23</v>
      </c>
      <c r="C15" s="157" t="s">
        <v>35</v>
      </c>
      <c r="D15" s="158"/>
      <c r="E15" s="32"/>
      <c r="F15" s="165">
        <f>F13</f>
        <v>63222.7232</v>
      </c>
      <c r="G15" s="165"/>
      <c r="H15" s="166">
        <f>H13</f>
        <v>189668.16959999999</v>
      </c>
      <c r="I15" s="167"/>
      <c r="J15" s="168"/>
      <c r="K15" s="169">
        <f>H15+(3*((E14/28)*253))</f>
        <v>567427.74464999989</v>
      </c>
      <c r="L15" s="170"/>
      <c r="M15" s="170"/>
      <c r="N15" s="192"/>
      <c r="O15" s="170"/>
      <c r="P15" s="170"/>
      <c r="Q15" s="170"/>
      <c r="R15" s="170"/>
      <c r="S15" s="196"/>
      <c r="T15" s="33"/>
    </row>
    <row r="16" spans="1:25" ht="57.75" customHeight="1" thickBot="1" x14ac:dyDescent="0.3">
      <c r="A16" s="15" t="s">
        <v>163</v>
      </c>
      <c r="B16" s="16" t="s">
        <v>140</v>
      </c>
      <c r="C16" s="16" t="s">
        <v>141</v>
      </c>
      <c r="D16" s="134">
        <v>14080.41</v>
      </c>
      <c r="E16" s="218">
        <f>D16-T16</f>
        <v>12672.368999999999</v>
      </c>
      <c r="F16" s="159">
        <f>(E16*4)+(E16*7)</f>
        <v>139396.05899999998</v>
      </c>
      <c r="G16" s="159">
        <f>(E16*4)+(E16*7)+(E16*9)</f>
        <v>253447.37999999998</v>
      </c>
      <c r="H16" s="160">
        <f>3*F16</f>
        <v>418188.17699999991</v>
      </c>
      <c r="I16" s="161"/>
      <c r="J16" s="162"/>
      <c r="K16" s="163">
        <f>3*G16</f>
        <v>760342.1399999999</v>
      </c>
      <c r="L16" s="164"/>
      <c r="M16" s="164"/>
      <c r="N16" s="164"/>
      <c r="O16" s="207">
        <f>E16*13</f>
        <v>164740.79699999999</v>
      </c>
      <c r="P16" s="219">
        <f>(F16-F7)/((O7-O16)/12)</f>
        <v>9.5124270269586475</v>
      </c>
      <c r="Q16" s="217">
        <f>(O7-O16)/12</f>
        <v>5381.8819166666653</v>
      </c>
      <c r="R16" s="215">
        <f>(G16-((65.2/80.6)*G12))/G16</f>
        <v>0.48446430125969797</v>
      </c>
      <c r="S16" s="198">
        <v>0.1</v>
      </c>
      <c r="T16" s="33">
        <f>D16*S16</f>
        <v>1408.0410000000002</v>
      </c>
      <c r="U16" s="171"/>
    </row>
    <row r="17" spans="1:23" ht="14.1" customHeight="1" thickTop="1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W17" t="s">
        <v>115</v>
      </c>
    </row>
    <row r="18" spans="1:23" ht="3.75" customHeight="1" x14ac:dyDescent="0.25">
      <c r="A18" s="1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3" ht="9.75" hidden="1" customHeight="1" x14ac:dyDescent="0.25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23" hidden="1" x14ac:dyDescent="0.25">
      <c r="A20" s="2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3" x14ac:dyDescent="0.25">
      <c r="D21" t="s">
        <v>43</v>
      </c>
      <c r="U21" s="208"/>
    </row>
    <row r="22" spans="1:23" ht="18.75" customHeight="1" x14ac:dyDescent="0.25">
      <c r="D22" s="52" t="s">
        <v>44</v>
      </c>
      <c r="U22" s="209"/>
    </row>
    <row r="23" spans="1:23" x14ac:dyDescent="0.25">
      <c r="D23" t="s">
        <v>45</v>
      </c>
    </row>
    <row r="24" spans="1:23" x14ac:dyDescent="0.25">
      <c r="D24" t="s">
        <v>46</v>
      </c>
    </row>
    <row r="25" spans="1:23" x14ac:dyDescent="0.25">
      <c r="D25" t="s">
        <v>47</v>
      </c>
    </row>
  </sheetData>
  <autoFilter ref="A2:Y2" xr:uid="{00000000-0009-0000-0000-000001000000}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B1" zoomScale="90" zoomScaleNormal="90" workbookViewId="0">
      <selection activeCell="W7" sqref="W7"/>
    </sheetView>
  </sheetViews>
  <sheetFormatPr defaultColWidth="9.140625" defaultRowHeight="12.75" x14ac:dyDescent="0.2"/>
  <cols>
    <col min="1" max="1" width="40.140625" style="35" customWidth="1"/>
    <col min="2" max="2" width="22.140625" style="35" customWidth="1"/>
    <col min="3" max="3" width="12.42578125" style="35" customWidth="1"/>
    <col min="4" max="16384" width="9.140625" style="35"/>
  </cols>
  <sheetData>
    <row r="1" spans="1:6" ht="53.25" customHeight="1" thickTop="1" thickBot="1" x14ac:dyDescent="0.25">
      <c r="A1" s="34" t="s">
        <v>39</v>
      </c>
      <c r="B1" s="30" t="s">
        <v>151</v>
      </c>
      <c r="C1" s="22" t="s">
        <v>90</v>
      </c>
    </row>
    <row r="2" spans="1:6" ht="27.75" customHeight="1" thickTop="1" x14ac:dyDescent="0.2">
      <c r="A2" s="63" t="s">
        <v>41</v>
      </c>
      <c r="B2" s="36">
        <v>63</v>
      </c>
      <c r="C2" s="37">
        <f>BIA!F7</f>
        <v>88201.299999999988</v>
      </c>
    </row>
    <row r="3" spans="1:6" ht="29.25" customHeight="1" x14ac:dyDescent="0.2">
      <c r="A3" s="63" t="s">
        <v>48</v>
      </c>
      <c r="B3" s="38">
        <v>46</v>
      </c>
      <c r="C3" s="39">
        <f>BIA!F8</f>
        <v>54477.689599999998</v>
      </c>
    </row>
    <row r="4" spans="1:6" ht="28.5" customHeight="1" x14ac:dyDescent="0.2">
      <c r="A4" s="63" t="s">
        <v>49</v>
      </c>
      <c r="B4" s="38">
        <v>39</v>
      </c>
      <c r="C4" s="39">
        <f>BIA!F9</f>
        <v>27238.844799999999</v>
      </c>
    </row>
    <row r="5" spans="1:6" ht="27" customHeight="1" x14ac:dyDescent="0.2">
      <c r="A5" s="63" t="s">
        <v>50</v>
      </c>
      <c r="B5" s="38">
        <v>84</v>
      </c>
      <c r="C5" s="39">
        <f>BIA!F10</f>
        <v>99126.357942857154</v>
      </c>
    </row>
    <row r="6" spans="1:6" ht="30.75" customHeight="1" x14ac:dyDescent="0.2">
      <c r="A6" s="63" t="s">
        <v>51</v>
      </c>
      <c r="B6" s="38">
        <v>70</v>
      </c>
      <c r="C6" s="40">
        <f>BIA!F12</f>
        <v>49563.178971428577</v>
      </c>
    </row>
    <row r="7" spans="1:6" ht="29.25" customHeight="1" x14ac:dyDescent="0.2">
      <c r="A7" s="63" t="s">
        <v>52</v>
      </c>
      <c r="B7" s="38">
        <v>75</v>
      </c>
      <c r="C7" s="40">
        <f>BIA!F13</f>
        <v>63222.7232</v>
      </c>
    </row>
    <row r="8" spans="1:6" ht="28.5" customHeight="1" x14ac:dyDescent="0.2">
      <c r="A8" s="64" t="s">
        <v>53</v>
      </c>
      <c r="B8" s="38">
        <v>57</v>
      </c>
      <c r="C8" s="40">
        <f>BIA!F14</f>
        <v>55743.178399999997</v>
      </c>
    </row>
    <row r="9" spans="1:6" ht="28.5" customHeight="1" x14ac:dyDescent="0.2">
      <c r="A9" s="172" t="s">
        <v>150</v>
      </c>
      <c r="B9" s="173">
        <v>63</v>
      </c>
      <c r="C9" s="40">
        <f>BIA!F16</f>
        <v>139396.05899999998</v>
      </c>
    </row>
    <row r="10" spans="1:6" ht="24" customHeight="1" thickBot="1" x14ac:dyDescent="0.25">
      <c r="A10" s="66" t="s">
        <v>40</v>
      </c>
      <c r="B10" s="41">
        <v>21</v>
      </c>
      <c r="C10" s="42">
        <v>0</v>
      </c>
    </row>
    <row r="11" spans="1:6" ht="30.75" customHeight="1" thickTop="1" x14ac:dyDescent="0.2">
      <c r="A11" s="62" t="s">
        <v>54</v>
      </c>
      <c r="B11" s="43">
        <v>82</v>
      </c>
      <c r="C11" s="68">
        <f>BIA!F7</f>
        <v>88201.299999999988</v>
      </c>
    </row>
    <row r="12" spans="1:6" ht="27.75" customHeight="1" x14ac:dyDescent="0.2">
      <c r="A12" s="62" t="s">
        <v>55</v>
      </c>
      <c r="B12" s="44">
        <v>67</v>
      </c>
      <c r="C12" s="45">
        <f>BIA!F8</f>
        <v>54477.689599999998</v>
      </c>
    </row>
    <row r="13" spans="1:6" ht="35.25" customHeight="1" x14ac:dyDescent="0.2">
      <c r="A13" s="62" t="s">
        <v>56</v>
      </c>
      <c r="B13" s="44">
        <v>61</v>
      </c>
      <c r="C13" s="45">
        <f>BIA!F9</f>
        <v>27238.844799999999</v>
      </c>
    </row>
    <row r="14" spans="1:6" ht="30.75" customHeight="1" x14ac:dyDescent="0.2">
      <c r="A14" s="62" t="s">
        <v>57</v>
      </c>
      <c r="B14" s="44">
        <v>91</v>
      </c>
      <c r="C14" s="45">
        <f>BIA!F10</f>
        <v>99126.357942857154</v>
      </c>
      <c r="F14" s="46"/>
    </row>
    <row r="15" spans="1:6" ht="30.75" customHeight="1" x14ac:dyDescent="0.2">
      <c r="A15" s="62" t="s">
        <v>58</v>
      </c>
      <c r="B15" s="44">
        <v>83</v>
      </c>
      <c r="C15" s="47">
        <f>BIA!F12</f>
        <v>49563.178971428577</v>
      </c>
      <c r="F15" s="46"/>
    </row>
    <row r="16" spans="1:6" ht="30.75" customHeight="1" x14ac:dyDescent="0.2">
      <c r="A16" s="62" t="s">
        <v>59</v>
      </c>
      <c r="B16" s="44">
        <v>87</v>
      </c>
      <c r="C16" s="47">
        <f>BIA!F13</f>
        <v>63222.7232</v>
      </c>
      <c r="F16" s="46"/>
    </row>
    <row r="17" spans="1:3" ht="30.75" customHeight="1" x14ac:dyDescent="0.2">
      <c r="A17" s="65" t="s">
        <v>60</v>
      </c>
      <c r="B17" s="44">
        <v>80</v>
      </c>
      <c r="C17" s="47">
        <f>BIA!F14</f>
        <v>55743.178399999997</v>
      </c>
    </row>
    <row r="18" spans="1:3" ht="30.75" customHeight="1" x14ac:dyDescent="0.2">
      <c r="A18" s="174" t="s">
        <v>150</v>
      </c>
      <c r="B18" s="175">
        <v>82</v>
      </c>
      <c r="C18" s="47">
        <f>BIA!F16</f>
        <v>139396.05899999998</v>
      </c>
    </row>
    <row r="19" spans="1:3" ht="24.75" customHeight="1" thickBot="1" x14ac:dyDescent="0.25">
      <c r="A19" s="67" t="s">
        <v>61</v>
      </c>
      <c r="B19" s="48">
        <v>47</v>
      </c>
      <c r="C19" s="49">
        <v>0</v>
      </c>
    </row>
    <row r="20" spans="1:3" ht="7.5" customHeight="1" thickTop="1" x14ac:dyDescent="0.2"/>
    <row r="21" spans="1:3" ht="12.75" customHeight="1" x14ac:dyDescent="0.2">
      <c r="A21" s="46"/>
    </row>
    <row r="22" spans="1:3" x14ac:dyDescent="0.2">
      <c r="A22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zoomScale="90" zoomScaleNormal="90" workbookViewId="0">
      <selection activeCell="D21" sqref="D21"/>
    </sheetView>
  </sheetViews>
  <sheetFormatPr defaultRowHeight="15" x14ac:dyDescent="0.25"/>
  <cols>
    <col min="1" max="1" width="3" customWidth="1"/>
    <col min="2" max="2" width="3.85546875" hidden="1" customWidth="1"/>
    <col min="3" max="3" width="3.5703125" hidden="1" customWidth="1"/>
    <col min="4" max="4" width="52.5703125" style="69" customWidth="1"/>
    <col min="5" max="5" width="8.85546875" style="69" customWidth="1"/>
    <col min="6" max="6" width="9.42578125" style="69" customWidth="1"/>
    <col min="7" max="7" width="8.140625" style="69" customWidth="1"/>
    <col min="8" max="8" width="13" style="69" customWidth="1"/>
    <col min="9" max="9" width="2.42578125" customWidth="1"/>
    <col min="10" max="10" width="13" customWidth="1"/>
    <col min="11" max="11" width="14.85546875" customWidth="1"/>
    <col min="12" max="12" width="11.5703125" customWidth="1"/>
    <col min="13" max="13" width="12.5703125" customWidth="1"/>
    <col min="14" max="14" width="7.42578125" customWidth="1"/>
    <col min="15" max="15" width="9.140625" hidden="1" customWidth="1"/>
    <col min="16" max="16" width="36.140625" customWidth="1"/>
    <col min="17" max="17" width="121.140625" customWidth="1"/>
  </cols>
  <sheetData>
    <row r="1" spans="1:14" ht="29.25" customHeight="1" x14ac:dyDescent="0.25">
      <c r="E1" s="220" t="s">
        <v>101</v>
      </c>
      <c r="F1" s="221"/>
      <c r="G1" s="222"/>
      <c r="J1" s="226" t="s">
        <v>89</v>
      </c>
      <c r="K1" s="227"/>
      <c r="L1" s="227"/>
    </row>
    <row r="2" spans="1:14" x14ac:dyDescent="0.25">
      <c r="E2" s="223"/>
      <c r="F2" s="224"/>
      <c r="G2" s="225"/>
      <c r="H2" s="229" t="s">
        <v>91</v>
      </c>
      <c r="J2" s="228"/>
      <c r="K2" s="228"/>
      <c r="L2" s="228"/>
      <c r="M2" s="83"/>
    </row>
    <row r="3" spans="1:14" ht="29.25" customHeight="1" x14ac:dyDescent="0.25">
      <c r="D3" s="82" t="s">
        <v>69</v>
      </c>
      <c r="E3" s="81" t="s">
        <v>68</v>
      </c>
      <c r="F3" s="81" t="s">
        <v>67</v>
      </c>
      <c r="G3" s="81" t="s">
        <v>66</v>
      </c>
      <c r="H3" s="230"/>
      <c r="I3" s="80"/>
      <c r="J3" s="79" t="s">
        <v>65</v>
      </c>
      <c r="K3" s="79" t="s">
        <v>64</v>
      </c>
      <c r="L3" s="79" t="s">
        <v>63</v>
      </c>
      <c r="M3" s="78"/>
    </row>
    <row r="4" spans="1:14" ht="15.75" customHeight="1" x14ac:dyDescent="0.25">
      <c r="A4" s="69"/>
      <c r="B4" s="69"/>
      <c r="C4" s="69"/>
      <c r="D4" s="95" t="s">
        <v>75</v>
      </c>
      <c r="E4" s="72">
        <v>0.56000000000000005</v>
      </c>
      <c r="F4" s="72">
        <v>0.7</v>
      </c>
      <c r="G4" s="72">
        <v>0.63</v>
      </c>
      <c r="H4" s="76">
        <f>BIA!F7</f>
        <v>88201.299999999988</v>
      </c>
      <c r="J4" s="77">
        <f>((H4-M4)/((G4-0.21)))</f>
        <v>210003.09523809518</v>
      </c>
      <c r="K4" s="77">
        <f>((H4-M4)/((E4-0.21)))</f>
        <v>252003.7142857142</v>
      </c>
      <c r="L4" s="77">
        <f>((H4-M4)/((F4-0.21)))</f>
        <v>180002.65306122447</v>
      </c>
      <c r="M4" s="76">
        <v>0</v>
      </c>
      <c r="N4" s="75"/>
    </row>
    <row r="5" spans="1:14" x14ac:dyDescent="0.25">
      <c r="A5" s="69"/>
      <c r="B5" s="69"/>
      <c r="C5" s="69"/>
      <c r="D5" s="95" t="s">
        <v>77</v>
      </c>
      <c r="E5" s="72">
        <v>0.35</v>
      </c>
      <c r="F5" s="72">
        <v>0.56000000000000005</v>
      </c>
      <c r="G5" s="72">
        <v>0.46</v>
      </c>
      <c r="H5" s="76">
        <f>BIA!F8</f>
        <v>54477.689599999998</v>
      </c>
      <c r="J5" s="77">
        <f t="shared" ref="J5:J12" si="0">((H5-M5)/((G5-0.21)))</f>
        <v>217910.75839999999</v>
      </c>
      <c r="K5" s="77">
        <f t="shared" ref="K5:K12" si="1">((H5-M5)/((E5-0.21)))</f>
        <v>389126.35428571433</v>
      </c>
      <c r="L5" s="77">
        <f t="shared" ref="L5:L12" si="2">((H5-M5)/((F5-0.21)))</f>
        <v>155650.54171428567</v>
      </c>
      <c r="M5" s="76">
        <v>0</v>
      </c>
      <c r="N5" s="75"/>
    </row>
    <row r="6" spans="1:14" x14ac:dyDescent="0.25">
      <c r="A6" s="69"/>
      <c r="B6" s="69"/>
      <c r="C6" s="69"/>
      <c r="D6" s="95" t="s">
        <v>76</v>
      </c>
      <c r="E6" s="72">
        <v>0.28999999999999998</v>
      </c>
      <c r="F6" s="72">
        <v>0.5</v>
      </c>
      <c r="G6" s="72">
        <v>0.39</v>
      </c>
      <c r="H6" s="76">
        <f>BIA!F9</f>
        <v>27238.844799999999</v>
      </c>
      <c r="J6" s="77">
        <f t="shared" si="0"/>
        <v>151326.91555555552</v>
      </c>
      <c r="K6" s="77">
        <f t="shared" si="1"/>
        <v>340485.56000000006</v>
      </c>
      <c r="L6" s="77">
        <f t="shared" si="2"/>
        <v>93927.051034482749</v>
      </c>
      <c r="M6" s="76">
        <v>0</v>
      </c>
      <c r="N6" s="75"/>
    </row>
    <row r="7" spans="1:14" x14ac:dyDescent="0.25">
      <c r="A7" s="69"/>
      <c r="B7" s="69"/>
      <c r="C7" s="69"/>
      <c r="D7" s="95" t="s">
        <v>78</v>
      </c>
      <c r="E7" s="72">
        <v>0.61</v>
      </c>
      <c r="F7" s="72">
        <v>0.95</v>
      </c>
      <c r="G7" s="72">
        <v>0.84</v>
      </c>
      <c r="H7" s="76">
        <f>BIA!F10</f>
        <v>99126.357942857154</v>
      </c>
      <c r="J7" s="77">
        <f t="shared" si="0"/>
        <v>157343.42530612246</v>
      </c>
      <c r="K7" s="77">
        <f t="shared" si="1"/>
        <v>247815.89485714288</v>
      </c>
      <c r="L7" s="77">
        <f t="shared" si="2"/>
        <v>133954.53776061776</v>
      </c>
      <c r="M7" s="76">
        <v>0</v>
      </c>
      <c r="N7" s="75"/>
    </row>
    <row r="8" spans="1:14" x14ac:dyDescent="0.25">
      <c r="A8" s="69"/>
      <c r="B8" s="69"/>
      <c r="C8" s="69"/>
      <c r="D8" s="102" t="s">
        <v>102</v>
      </c>
      <c r="E8" s="72">
        <v>0.75</v>
      </c>
      <c r="F8" s="72">
        <v>0.84</v>
      </c>
      <c r="G8" s="72">
        <v>0.8</v>
      </c>
      <c r="H8" s="76">
        <f>BIA!F10</f>
        <v>99126.357942857154</v>
      </c>
      <c r="J8" s="77">
        <f t="shared" ref="J8" si="3">((H8-M8)/((G8-0.21)))</f>
        <v>168010.77617433414</v>
      </c>
      <c r="K8" s="77">
        <f t="shared" ref="K8" si="4">((H8-M8)/((E8-0.21)))</f>
        <v>183567.32952380955</v>
      </c>
      <c r="L8" s="77">
        <f t="shared" ref="L8" si="5">((H8-M8)/((F8-0.21)))</f>
        <v>157343.42530612246</v>
      </c>
      <c r="M8" s="76">
        <v>0</v>
      </c>
      <c r="N8" s="75"/>
    </row>
    <row r="9" spans="1:14" x14ac:dyDescent="0.25">
      <c r="A9" s="69"/>
      <c r="B9" s="69"/>
      <c r="C9" s="69"/>
      <c r="D9" s="95" t="s">
        <v>79</v>
      </c>
      <c r="E9" s="72">
        <v>0.45</v>
      </c>
      <c r="F9" s="72">
        <v>0.89</v>
      </c>
      <c r="G9" s="72">
        <v>0.7</v>
      </c>
      <c r="H9" s="76">
        <f>BIA!F12</f>
        <v>49563.178971428577</v>
      </c>
      <c r="J9" s="77">
        <f t="shared" si="0"/>
        <v>101149.34483965016</v>
      </c>
      <c r="K9" s="77">
        <f t="shared" si="1"/>
        <v>206513.24571428573</v>
      </c>
      <c r="L9" s="77">
        <f t="shared" si="2"/>
        <v>72887.027899159672</v>
      </c>
      <c r="M9" s="76">
        <v>0</v>
      </c>
      <c r="N9" s="75"/>
    </row>
    <row r="10" spans="1:14" x14ac:dyDescent="0.25">
      <c r="A10" s="69"/>
      <c r="B10" s="69"/>
      <c r="C10" s="69"/>
      <c r="D10" s="102" t="s">
        <v>103</v>
      </c>
      <c r="E10" s="72">
        <v>0.64</v>
      </c>
      <c r="F10" s="72">
        <v>0.76</v>
      </c>
      <c r="G10" s="72">
        <v>0.7</v>
      </c>
      <c r="H10" s="76">
        <f>BIA!F12</f>
        <v>49563.178971428577</v>
      </c>
      <c r="J10" s="77">
        <f t="shared" ref="J10" si="6">((H10-M10)/((G10-0.21)))</f>
        <v>101149.34483965016</v>
      </c>
      <c r="K10" s="77">
        <f t="shared" ref="K10" si="7">((H10-M10)/((E10-0.21)))</f>
        <v>115263.20691029901</v>
      </c>
      <c r="L10" s="77">
        <f t="shared" ref="L10" si="8">((H10-M10)/((F10-0.21)))</f>
        <v>90114.870857142858</v>
      </c>
      <c r="M10" s="76">
        <v>0</v>
      </c>
      <c r="N10" s="75"/>
    </row>
    <row r="11" spans="1:14" x14ac:dyDescent="0.25">
      <c r="A11" s="69"/>
      <c r="B11" s="69"/>
      <c r="C11" s="69"/>
      <c r="D11" s="95" t="s">
        <v>80</v>
      </c>
      <c r="E11" s="72">
        <v>0.66</v>
      </c>
      <c r="F11" s="72">
        <v>0.82</v>
      </c>
      <c r="G11" s="72">
        <v>0.75</v>
      </c>
      <c r="H11" s="76">
        <f>BIA!F13</f>
        <v>63222.7232</v>
      </c>
      <c r="J11" s="77">
        <f t="shared" si="0"/>
        <v>117079.11703703702</v>
      </c>
      <c r="K11" s="77">
        <f t="shared" si="1"/>
        <v>140494.94044444442</v>
      </c>
      <c r="L11" s="77">
        <f t="shared" si="2"/>
        <v>103643.80852459016</v>
      </c>
      <c r="M11" s="76">
        <v>0</v>
      </c>
      <c r="N11" s="75"/>
    </row>
    <row r="12" spans="1:14" x14ac:dyDescent="0.25">
      <c r="A12" s="69"/>
      <c r="B12" s="69"/>
      <c r="C12" s="69"/>
      <c r="D12" s="96" t="s">
        <v>81</v>
      </c>
      <c r="E12" s="72">
        <v>0.47</v>
      </c>
      <c r="F12" s="72">
        <v>0.66</v>
      </c>
      <c r="G12" s="72">
        <v>0.56999999999999995</v>
      </c>
      <c r="H12" s="76">
        <f>BIA!F14</f>
        <v>55743.178399999997</v>
      </c>
      <c r="J12" s="77">
        <f t="shared" si="0"/>
        <v>154842.16222222222</v>
      </c>
      <c r="K12" s="77">
        <f t="shared" si="1"/>
        <v>214396.83999999997</v>
      </c>
      <c r="L12" s="77">
        <f t="shared" si="2"/>
        <v>123873.72977777776</v>
      </c>
      <c r="M12" s="76">
        <v>0</v>
      </c>
      <c r="N12" s="75"/>
    </row>
    <row r="13" spans="1:14" x14ac:dyDescent="0.25">
      <c r="A13" s="69"/>
      <c r="B13" s="69"/>
      <c r="C13" s="69"/>
      <c r="D13" s="190" t="s">
        <v>152</v>
      </c>
      <c r="E13" s="72">
        <v>0.56000000000000005</v>
      </c>
      <c r="F13" s="72">
        <v>0.7</v>
      </c>
      <c r="G13" s="72">
        <v>0.63</v>
      </c>
      <c r="H13" s="76">
        <f>BIA!F16</f>
        <v>139396.05899999998</v>
      </c>
      <c r="J13" s="77">
        <f t="shared" ref="J13" si="9">((H13-M13)/((G13-0.21)))</f>
        <v>331895.37857142847</v>
      </c>
      <c r="K13" s="77">
        <f t="shared" ref="K13" si="10">((H13-M13)/((E13-0.21)))</f>
        <v>398274.45428571414</v>
      </c>
      <c r="L13" s="77">
        <f t="shared" ref="L13" si="11">((H13-M13)/((F13-0.21)))</f>
        <v>284481.75306122447</v>
      </c>
      <c r="M13" s="76">
        <v>0</v>
      </c>
      <c r="N13" s="75"/>
    </row>
    <row r="14" spans="1:14" x14ac:dyDescent="0.25">
      <c r="A14" s="69"/>
      <c r="B14" s="69"/>
      <c r="C14" s="69"/>
      <c r="D14" s="97" t="s">
        <v>82</v>
      </c>
      <c r="E14" s="189">
        <v>0.79</v>
      </c>
      <c r="F14" s="72">
        <v>0.86</v>
      </c>
      <c r="G14" s="72">
        <v>0.82</v>
      </c>
      <c r="H14" s="76">
        <f>BIA!F7</f>
        <v>88201.299999999988</v>
      </c>
      <c r="J14" s="77">
        <f>((H14-M14)/((G14-0.47)))</f>
        <v>252003.71428571426</v>
      </c>
      <c r="K14" s="77">
        <f>((H14-M14)/((E14-0.47)))</f>
        <v>275629.06249999988</v>
      </c>
      <c r="L14" s="77">
        <f>((H14-M14)/((F14-0.47)))</f>
        <v>226157.17948717944</v>
      </c>
      <c r="M14" s="76">
        <v>0</v>
      </c>
      <c r="N14" s="75"/>
    </row>
    <row r="15" spans="1:14" x14ac:dyDescent="0.25">
      <c r="A15" s="69"/>
      <c r="B15" s="69"/>
      <c r="C15" s="69"/>
      <c r="D15" s="97" t="s">
        <v>83</v>
      </c>
      <c r="E15" s="189">
        <v>0.82</v>
      </c>
      <c r="F15" s="72">
        <v>0.9</v>
      </c>
      <c r="G15" s="72">
        <v>0.87</v>
      </c>
      <c r="H15" s="76">
        <f>BIA!F13</f>
        <v>63222.7232</v>
      </c>
      <c r="J15" s="77">
        <f t="shared" ref="J15:J20" si="12">((H15-M15)/((G15-0.47)))</f>
        <v>158056.80799999999</v>
      </c>
      <c r="K15" s="77">
        <f t="shared" ref="K15:K20" si="13">((H15-M15)/((E15-0.47)))</f>
        <v>180636.35200000001</v>
      </c>
      <c r="L15" s="77">
        <f t="shared" ref="L15:L20" si="14">((H15-M15)/((F15-0.47)))</f>
        <v>147029.58883720927</v>
      </c>
      <c r="M15" s="76">
        <v>0</v>
      </c>
      <c r="N15" s="75"/>
    </row>
    <row r="16" spans="1:14" x14ac:dyDescent="0.25">
      <c r="A16" s="69"/>
      <c r="B16" s="69"/>
      <c r="C16" s="69"/>
      <c r="D16" s="97" t="s">
        <v>84</v>
      </c>
      <c r="E16" s="189">
        <v>0.87</v>
      </c>
      <c r="F16" s="72">
        <v>0.94</v>
      </c>
      <c r="G16" s="72">
        <v>0.91</v>
      </c>
      <c r="H16" s="76">
        <f>BIA!F10</f>
        <v>99126.357942857154</v>
      </c>
      <c r="J16" s="77">
        <f t="shared" si="12"/>
        <v>225287.17714285714</v>
      </c>
      <c r="K16" s="77">
        <f t="shared" si="13"/>
        <v>247815.89485714288</v>
      </c>
      <c r="L16" s="77">
        <f t="shared" si="14"/>
        <v>210907.14455927056</v>
      </c>
      <c r="M16" s="76">
        <v>0</v>
      </c>
      <c r="N16" s="75"/>
    </row>
    <row r="17" spans="1:14" x14ac:dyDescent="0.25">
      <c r="A17" s="69"/>
      <c r="B17" s="69"/>
      <c r="C17" s="69"/>
      <c r="D17" s="97" t="s">
        <v>85</v>
      </c>
      <c r="E17" s="189">
        <v>0.57999999999999996</v>
      </c>
      <c r="F17" s="72">
        <v>0.75</v>
      </c>
      <c r="G17" s="72">
        <v>0.67</v>
      </c>
      <c r="H17" s="76">
        <f>BIA!F8</f>
        <v>54477.689599999998</v>
      </c>
      <c r="J17" s="77">
        <f t="shared" si="12"/>
        <v>272388.44799999992</v>
      </c>
      <c r="K17" s="77">
        <f t="shared" si="13"/>
        <v>495251.72363636369</v>
      </c>
      <c r="L17" s="77">
        <f t="shared" si="14"/>
        <v>194563.17714285711</v>
      </c>
      <c r="M17" s="76">
        <v>0</v>
      </c>
      <c r="N17" s="75"/>
    </row>
    <row r="18" spans="1:14" x14ac:dyDescent="0.25">
      <c r="A18" s="69"/>
      <c r="B18" s="69"/>
      <c r="C18" s="69"/>
      <c r="D18" s="97" t="s">
        <v>86</v>
      </c>
      <c r="E18" s="189">
        <v>0.77</v>
      </c>
      <c r="F18" s="72">
        <v>0.88</v>
      </c>
      <c r="G18" s="72">
        <v>0.83</v>
      </c>
      <c r="H18" s="76">
        <f>BIA!F12</f>
        <v>49563.178971428577</v>
      </c>
      <c r="J18" s="77">
        <f t="shared" si="12"/>
        <v>137675.49714285717</v>
      </c>
      <c r="K18" s="77">
        <f t="shared" si="13"/>
        <v>165210.59657142856</v>
      </c>
      <c r="L18" s="77">
        <f t="shared" si="14"/>
        <v>120885.80236933798</v>
      </c>
      <c r="M18" s="76">
        <v>0</v>
      </c>
      <c r="N18" s="75"/>
    </row>
    <row r="19" spans="1:14" x14ac:dyDescent="0.25">
      <c r="A19" s="69"/>
      <c r="B19" s="69"/>
      <c r="C19" s="69"/>
      <c r="D19" s="97" t="s">
        <v>87</v>
      </c>
      <c r="E19" s="189">
        <v>0.52</v>
      </c>
      <c r="F19" s="72">
        <v>0.7</v>
      </c>
      <c r="G19" s="72">
        <v>0.61</v>
      </c>
      <c r="H19" s="76">
        <f>BIA!F9</f>
        <v>27238.844799999999</v>
      </c>
      <c r="J19" s="77">
        <f t="shared" si="12"/>
        <v>194563.17714285711</v>
      </c>
      <c r="K19" s="77">
        <f t="shared" si="13"/>
        <v>544776.89599999948</v>
      </c>
      <c r="L19" s="77">
        <f t="shared" si="14"/>
        <v>118429.76000000001</v>
      </c>
      <c r="M19" s="76">
        <v>0</v>
      </c>
      <c r="N19" s="75"/>
    </row>
    <row r="20" spans="1:14" x14ac:dyDescent="0.25">
      <c r="A20" s="69"/>
      <c r="B20" s="69"/>
      <c r="C20" s="69"/>
      <c r="D20" s="98" t="s">
        <v>88</v>
      </c>
      <c r="E20" s="189">
        <v>0.74</v>
      </c>
      <c r="F20" s="72">
        <v>0.85</v>
      </c>
      <c r="G20" s="72">
        <v>0.8</v>
      </c>
      <c r="H20" s="76">
        <f>BIA!F14</f>
        <v>55743.178399999997</v>
      </c>
      <c r="J20" s="77">
        <f t="shared" si="12"/>
        <v>168918.72242424238</v>
      </c>
      <c r="K20" s="77">
        <f t="shared" si="13"/>
        <v>206456.21629629628</v>
      </c>
      <c r="L20" s="77">
        <f t="shared" si="14"/>
        <v>146692.5747368421</v>
      </c>
      <c r="M20" s="76">
        <v>0</v>
      </c>
      <c r="N20" s="75"/>
    </row>
    <row r="21" spans="1:14" x14ac:dyDescent="0.25">
      <c r="A21" s="69"/>
      <c r="B21" s="69"/>
      <c r="C21" s="69"/>
      <c r="D21" s="191" t="s">
        <v>153</v>
      </c>
      <c r="E21" s="189">
        <v>0.79</v>
      </c>
      <c r="F21" s="72">
        <v>0.86</v>
      </c>
      <c r="G21" s="72">
        <v>0.82</v>
      </c>
      <c r="H21" s="76">
        <f>BIA!F16</f>
        <v>139396.05899999998</v>
      </c>
      <c r="J21" s="77">
        <f t="shared" ref="J21" si="15">((H21-M21)/((G21-0.47)))</f>
        <v>398274.45428571425</v>
      </c>
      <c r="K21" s="77">
        <f t="shared" ref="K21" si="16">((H21-M21)/((E21-0.47)))</f>
        <v>435612.68437499984</v>
      </c>
      <c r="L21" s="77">
        <f t="shared" ref="L21" si="17">((H21-M21)/((F21-0.47)))</f>
        <v>357425.79230769223</v>
      </c>
      <c r="M21" s="76">
        <v>0</v>
      </c>
      <c r="N21" s="75"/>
    </row>
    <row r="22" spans="1:14" ht="15.75" customHeight="1" x14ac:dyDescent="0.25">
      <c r="A22" s="69"/>
      <c r="B22" s="69"/>
      <c r="C22" s="69"/>
      <c r="D22" s="93" t="s">
        <v>93</v>
      </c>
      <c r="E22" s="72">
        <v>0.2</v>
      </c>
      <c r="F22" s="72">
        <v>0.21</v>
      </c>
      <c r="G22" s="100">
        <v>0.21</v>
      </c>
      <c r="H22" s="76"/>
      <c r="J22" s="77">
        <f>((H22-M22)/(-(G22-0.33)))/20</f>
        <v>0</v>
      </c>
      <c r="K22" s="77">
        <f>((H22-M22)/(-(E22-0.33)))/20</f>
        <v>0</v>
      </c>
      <c r="L22" s="77">
        <f>((H22-M22)/(-(F22-0.33)))/20</f>
        <v>0</v>
      </c>
      <c r="M22" s="76">
        <v>0</v>
      </c>
      <c r="N22" s="75"/>
    </row>
    <row r="23" spans="1:14" x14ac:dyDescent="0.25">
      <c r="D23" s="94" t="s">
        <v>92</v>
      </c>
      <c r="E23" s="73">
        <v>0.43</v>
      </c>
      <c r="F23" s="73">
        <v>0.51</v>
      </c>
      <c r="G23" s="99">
        <v>0.47</v>
      </c>
      <c r="H23" s="71"/>
    </row>
    <row r="25" spans="1:14" ht="13.5" customHeight="1" x14ac:dyDescent="0.25">
      <c r="A25" s="70"/>
      <c r="B25" s="70"/>
    </row>
    <row r="26" spans="1:14" ht="13.5" customHeight="1" x14ac:dyDescent="0.25">
      <c r="A26" s="70"/>
      <c r="B26" s="70"/>
    </row>
    <row r="27" spans="1:14" ht="12.75" customHeight="1" x14ac:dyDescent="0.25">
      <c r="A27" s="70"/>
      <c r="B27" s="70"/>
    </row>
    <row r="28" spans="1:14" ht="12.75" customHeight="1" x14ac:dyDescent="0.25">
      <c r="A28" s="70"/>
      <c r="B28" s="70"/>
    </row>
    <row r="29" spans="1:14" ht="13.5" customHeight="1" x14ac:dyDescent="0.25">
      <c r="A29" s="70"/>
      <c r="B29" s="70"/>
    </row>
    <row r="30" spans="1:14" ht="12.75" customHeight="1" x14ac:dyDescent="0.25">
      <c r="A30" s="70"/>
      <c r="B30" s="70"/>
    </row>
    <row r="31" spans="1:14" ht="12" customHeight="1" x14ac:dyDescent="0.25">
      <c r="A31" s="70"/>
    </row>
  </sheetData>
  <mergeCells count="3">
    <mergeCell ref="E1:G2"/>
    <mergeCell ref="J1:L2"/>
    <mergeCell ref="H2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9"/>
  <sheetViews>
    <sheetView topLeftCell="C1" zoomScaleNormal="100" workbookViewId="0">
      <selection activeCell="AJ25" sqref="AJ25"/>
    </sheetView>
  </sheetViews>
  <sheetFormatPr defaultRowHeight="15" x14ac:dyDescent="0.25"/>
  <cols>
    <col min="1" max="1" width="4.5703125" customWidth="1"/>
    <col min="2" max="2" width="5.42578125" customWidth="1"/>
    <col min="3" max="3" width="5" customWidth="1"/>
    <col min="4" max="4" width="34.140625" style="69" customWidth="1"/>
    <col min="5" max="5" width="6.42578125" style="69" hidden="1" customWidth="1"/>
    <col min="6" max="6" width="8.140625" style="69" hidden="1" customWidth="1"/>
    <col min="7" max="7" width="0.5703125" style="69" hidden="1" customWidth="1"/>
    <col min="8" max="8" width="2.42578125" style="69" hidden="1" customWidth="1"/>
    <col min="9" max="9" width="0.85546875" style="69" hidden="1" customWidth="1"/>
    <col min="10" max="10" width="0.5703125" hidden="1" customWidth="1"/>
    <col min="11" max="11" width="11.5703125" customWidth="1"/>
    <col min="12" max="12" width="10.42578125" customWidth="1"/>
    <col min="13" max="13" width="10.5703125" customWidth="1"/>
    <col min="14" max="14" width="0.85546875" hidden="1" customWidth="1"/>
  </cols>
  <sheetData>
    <row r="1" spans="1:30" ht="15" customHeight="1" x14ac:dyDescent="0.25">
      <c r="D1" s="226" t="s">
        <v>89</v>
      </c>
      <c r="E1" s="226"/>
      <c r="F1" s="226"/>
      <c r="G1" s="226"/>
      <c r="H1" s="226"/>
      <c r="I1" s="226"/>
      <c r="J1" s="226"/>
      <c r="K1" s="226"/>
      <c r="L1" s="226"/>
      <c r="M1" s="226"/>
      <c r="AD1" t="s">
        <v>71</v>
      </c>
    </row>
    <row r="2" spans="1:30" ht="11.25" customHeight="1" x14ac:dyDescent="0.25"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30" ht="24" customHeight="1" x14ac:dyDescent="0.25">
      <c r="A3" t="s">
        <v>70</v>
      </c>
      <c r="D3" s="84" t="s">
        <v>69</v>
      </c>
      <c r="E3" s="73"/>
      <c r="F3" s="73"/>
      <c r="G3" s="73"/>
      <c r="I3" s="92"/>
      <c r="K3" s="79" t="s">
        <v>65</v>
      </c>
      <c r="L3" s="79" t="s">
        <v>64</v>
      </c>
      <c r="M3" s="79" t="s">
        <v>63</v>
      </c>
    </row>
    <row r="4" spans="1:30" x14ac:dyDescent="0.25">
      <c r="A4" s="69">
        <v>4</v>
      </c>
      <c r="B4" s="69">
        <v>4</v>
      </c>
      <c r="C4" s="69">
        <v>4</v>
      </c>
      <c r="D4" s="88" t="s">
        <v>75</v>
      </c>
      <c r="E4" s="73"/>
      <c r="F4" s="73"/>
      <c r="G4" s="73"/>
      <c r="I4" s="72"/>
      <c r="K4" s="77">
        <f>'List x'!J4</f>
        <v>210003.09523809518</v>
      </c>
      <c r="L4" s="77">
        <f>'List x'!K4</f>
        <v>252003.7142857142</v>
      </c>
      <c r="M4" s="77">
        <f>'List x'!L4</f>
        <v>180002.65306122447</v>
      </c>
    </row>
    <row r="5" spans="1:30" ht="16.5" customHeight="1" x14ac:dyDescent="0.25">
      <c r="A5" s="69">
        <v>5</v>
      </c>
      <c r="B5" s="69">
        <v>5</v>
      </c>
      <c r="C5" s="69">
        <v>5</v>
      </c>
      <c r="D5" s="88" t="s">
        <v>77</v>
      </c>
      <c r="E5" s="73"/>
      <c r="F5" s="73"/>
      <c r="G5" s="73"/>
      <c r="I5" s="72"/>
      <c r="K5" s="77">
        <f>'List x'!J5</f>
        <v>217910.75839999999</v>
      </c>
      <c r="L5" s="77">
        <f>'List x'!K5</f>
        <v>389126.35428571433</v>
      </c>
      <c r="M5" s="77">
        <f>'List x'!L5</f>
        <v>155650.54171428567</v>
      </c>
    </row>
    <row r="6" spans="1:30" x14ac:dyDescent="0.25">
      <c r="A6" s="69">
        <v>6</v>
      </c>
      <c r="B6" s="69">
        <v>6</v>
      </c>
      <c r="C6" s="69">
        <v>6</v>
      </c>
      <c r="D6" s="88" t="s">
        <v>99</v>
      </c>
      <c r="E6" s="73"/>
      <c r="F6" s="73"/>
      <c r="G6" s="73"/>
      <c r="I6" s="72"/>
      <c r="K6" s="77">
        <f>'List x'!J6</f>
        <v>151326.91555555552</v>
      </c>
      <c r="L6" s="77">
        <f>'List x'!K6</f>
        <v>340485.56000000006</v>
      </c>
      <c r="M6" s="77">
        <f>'List x'!L6</f>
        <v>93927.051034482749</v>
      </c>
    </row>
    <row r="7" spans="1:30" x14ac:dyDescent="0.25">
      <c r="A7" s="69">
        <v>7</v>
      </c>
      <c r="B7" s="69">
        <v>7</v>
      </c>
      <c r="C7" s="69">
        <v>7</v>
      </c>
      <c r="D7" s="88" t="s">
        <v>78</v>
      </c>
      <c r="E7" s="73"/>
      <c r="F7" s="73"/>
      <c r="G7" s="73"/>
      <c r="I7" s="72"/>
      <c r="K7" s="77">
        <f>'List x'!J7</f>
        <v>157343.42530612246</v>
      </c>
      <c r="L7" s="77">
        <f>'List x'!K7</f>
        <v>247815.89485714288</v>
      </c>
      <c r="M7" s="77">
        <f>'List x'!L7</f>
        <v>133954.53776061776</v>
      </c>
    </row>
    <row r="8" spans="1:30" ht="16.5" customHeight="1" x14ac:dyDescent="0.25">
      <c r="A8" s="69">
        <v>8</v>
      </c>
      <c r="B8" s="69">
        <v>8</v>
      </c>
      <c r="C8" s="69">
        <v>8</v>
      </c>
      <c r="D8" s="88" t="s">
        <v>79</v>
      </c>
      <c r="E8" s="73"/>
      <c r="F8" s="73"/>
      <c r="G8" s="73"/>
      <c r="I8" s="72"/>
      <c r="K8" s="77">
        <f>'List x'!J9</f>
        <v>101149.34483965016</v>
      </c>
      <c r="L8" s="77">
        <f>'List x'!K9</f>
        <v>206513.24571428573</v>
      </c>
      <c r="M8" s="77">
        <f>'List x'!L9</f>
        <v>72887.027899159672</v>
      </c>
    </row>
    <row r="9" spans="1:30" x14ac:dyDescent="0.25">
      <c r="A9" s="69">
        <v>9</v>
      </c>
      <c r="B9" s="69">
        <v>9</v>
      </c>
      <c r="C9" s="69">
        <v>9</v>
      </c>
      <c r="D9" s="88" t="s">
        <v>80</v>
      </c>
      <c r="E9" s="73"/>
      <c r="F9" s="73"/>
      <c r="G9" s="73"/>
      <c r="I9" s="72"/>
      <c r="K9" s="77">
        <f>'List x'!J11</f>
        <v>117079.11703703702</v>
      </c>
      <c r="L9" s="77">
        <f>'List x'!K11</f>
        <v>140494.94044444442</v>
      </c>
      <c r="M9" s="77">
        <f>'List x'!L11</f>
        <v>103643.80852459016</v>
      </c>
    </row>
    <row r="10" spans="1:30" x14ac:dyDescent="0.25">
      <c r="A10" s="69">
        <v>10</v>
      </c>
      <c r="B10" s="69">
        <v>10</v>
      </c>
      <c r="C10" s="69">
        <v>10</v>
      </c>
      <c r="D10" s="89" t="s">
        <v>81</v>
      </c>
      <c r="E10" s="73"/>
      <c r="F10" s="73"/>
      <c r="G10" s="73"/>
      <c r="I10" s="72"/>
      <c r="K10" s="77">
        <f>'List x'!J12</f>
        <v>154842.16222222222</v>
      </c>
      <c r="L10" s="77">
        <f>'List x'!K12</f>
        <v>214396.83999999997</v>
      </c>
      <c r="M10" s="77">
        <f>'List x'!L12</f>
        <v>123873.72977777776</v>
      </c>
    </row>
    <row r="11" spans="1:30" x14ac:dyDescent="0.25">
      <c r="A11" s="69">
        <v>11</v>
      </c>
      <c r="B11" s="69">
        <v>11</v>
      </c>
      <c r="C11" s="69">
        <v>11</v>
      </c>
      <c r="D11" s="90" t="s">
        <v>82</v>
      </c>
      <c r="E11" s="73"/>
      <c r="F11" s="73"/>
      <c r="G11" s="73"/>
      <c r="I11" s="72"/>
      <c r="K11" s="77">
        <f>'List x'!J14</f>
        <v>252003.71428571426</v>
      </c>
      <c r="L11" s="77">
        <f>'List x'!K14</f>
        <v>275629.06249999988</v>
      </c>
      <c r="M11" s="77">
        <f>'List x'!L14</f>
        <v>226157.17948717944</v>
      </c>
    </row>
    <row r="12" spans="1:30" x14ac:dyDescent="0.25">
      <c r="A12" s="69">
        <v>3</v>
      </c>
      <c r="B12" s="69">
        <v>3</v>
      </c>
      <c r="C12" s="69">
        <v>3</v>
      </c>
      <c r="D12" s="102" t="s">
        <v>102</v>
      </c>
      <c r="E12" s="74"/>
      <c r="F12" s="74"/>
      <c r="G12" s="74"/>
      <c r="H12" s="86"/>
      <c r="I12" s="74"/>
      <c r="K12" s="77">
        <f>'List x'!J8</f>
        <v>168010.77617433414</v>
      </c>
      <c r="L12" s="77">
        <f>'List x'!K8</f>
        <v>183567.32952380955</v>
      </c>
      <c r="M12" s="77">
        <f>'List x'!L8</f>
        <v>157343.42530612246</v>
      </c>
    </row>
    <row r="13" spans="1:30" x14ac:dyDescent="0.25">
      <c r="A13" s="69">
        <v>16</v>
      </c>
      <c r="B13" s="69">
        <v>16</v>
      </c>
      <c r="C13" s="69">
        <v>16</v>
      </c>
      <c r="D13" s="90" t="s">
        <v>94</v>
      </c>
      <c r="E13" s="73"/>
      <c r="F13" s="73"/>
      <c r="G13" s="73"/>
      <c r="I13" s="72"/>
      <c r="K13" s="77">
        <f>'List x'!J15</f>
        <v>158056.80799999999</v>
      </c>
      <c r="L13" s="77">
        <f>'List x'!K15</f>
        <v>180636.35200000001</v>
      </c>
      <c r="M13" s="77">
        <f>'List x'!L15</f>
        <v>147029.58883720927</v>
      </c>
    </row>
    <row r="14" spans="1:30" x14ac:dyDescent="0.25">
      <c r="A14" s="69">
        <v>2</v>
      </c>
      <c r="B14" s="69">
        <v>2</v>
      </c>
      <c r="C14" s="69">
        <v>2</v>
      </c>
      <c r="D14" s="102" t="s">
        <v>103</v>
      </c>
      <c r="E14" s="73"/>
      <c r="F14" s="73"/>
      <c r="G14" s="73"/>
      <c r="I14" s="72"/>
      <c r="K14" s="77">
        <f>'List x'!J10</f>
        <v>101149.34483965016</v>
      </c>
      <c r="L14" s="77">
        <f>'List x'!K10</f>
        <v>115263.20691029901</v>
      </c>
      <c r="M14" s="77">
        <f>'List x'!L10</f>
        <v>90114.870857142858</v>
      </c>
    </row>
    <row r="15" spans="1:30" x14ac:dyDescent="0.25">
      <c r="A15" s="69">
        <v>14</v>
      </c>
      <c r="B15" s="69">
        <v>14</v>
      </c>
      <c r="C15" s="69">
        <v>14</v>
      </c>
      <c r="D15" s="90" t="s">
        <v>95</v>
      </c>
      <c r="E15" s="73"/>
      <c r="F15" s="73"/>
      <c r="G15" s="73"/>
      <c r="I15" s="72"/>
      <c r="K15" s="77">
        <f>'List x'!J16</f>
        <v>225287.17714285714</v>
      </c>
      <c r="L15" s="77">
        <f>'List x'!K16</f>
        <v>247815.89485714288</v>
      </c>
      <c r="M15" s="77">
        <f>'List x'!L16</f>
        <v>210907.14455927056</v>
      </c>
    </row>
    <row r="16" spans="1:30" x14ac:dyDescent="0.25">
      <c r="A16" s="69">
        <v>12</v>
      </c>
      <c r="B16" s="69">
        <v>12</v>
      </c>
      <c r="C16" s="69">
        <v>12</v>
      </c>
      <c r="D16" s="90" t="s">
        <v>96</v>
      </c>
      <c r="E16" s="73"/>
      <c r="F16" s="73"/>
      <c r="G16" s="73"/>
      <c r="I16" s="72"/>
      <c r="K16" s="77">
        <f>'List x'!J17</f>
        <v>272388.44799999992</v>
      </c>
      <c r="L16" s="77">
        <f>'List x'!K17</f>
        <v>495251.72363636369</v>
      </c>
      <c r="M16" s="77">
        <f>'List x'!L17</f>
        <v>194563.17714285711</v>
      </c>
    </row>
    <row r="17" spans="1:13" ht="15.75" customHeight="1" x14ac:dyDescent="0.25">
      <c r="A17" s="69">
        <v>15</v>
      </c>
      <c r="B17" s="69">
        <v>15</v>
      </c>
      <c r="C17" s="69">
        <v>15</v>
      </c>
      <c r="D17" s="90" t="s">
        <v>97</v>
      </c>
      <c r="E17" s="73"/>
      <c r="F17" s="73"/>
      <c r="G17" s="73"/>
      <c r="I17" s="72"/>
      <c r="K17" s="77">
        <f>'List x'!J18</f>
        <v>137675.49714285717</v>
      </c>
      <c r="L17" s="77">
        <f>'List x'!K18</f>
        <v>165210.59657142856</v>
      </c>
      <c r="M17" s="77">
        <f>'List x'!L18</f>
        <v>120885.80236933798</v>
      </c>
    </row>
    <row r="18" spans="1:13" x14ac:dyDescent="0.25">
      <c r="A18" s="69">
        <v>13</v>
      </c>
      <c r="B18" s="69">
        <v>13</v>
      </c>
      <c r="C18" s="69">
        <v>13</v>
      </c>
      <c r="D18" s="90" t="s">
        <v>100</v>
      </c>
      <c r="E18" s="73"/>
      <c r="F18" s="73"/>
      <c r="G18" s="73"/>
      <c r="I18" s="72"/>
      <c r="K18" s="77">
        <f>'List x'!J19</f>
        <v>194563.17714285711</v>
      </c>
      <c r="L18" s="77">
        <f>'List x'!K19</f>
        <v>544776.89599999948</v>
      </c>
      <c r="M18" s="77">
        <f>'List x'!L19</f>
        <v>118429.76000000001</v>
      </c>
    </row>
    <row r="19" spans="1:13" ht="16.5" customHeight="1" x14ac:dyDescent="0.25">
      <c r="A19" s="69"/>
      <c r="B19" s="69"/>
      <c r="C19" s="69"/>
      <c r="D19" s="85"/>
      <c r="E19" s="73"/>
      <c r="F19" s="73"/>
      <c r="G19" s="73"/>
      <c r="I19" s="72"/>
      <c r="K19" s="77"/>
      <c r="L19" s="77"/>
      <c r="M19" s="77"/>
    </row>
    <row r="20" spans="1:13" x14ac:dyDescent="0.25">
      <c r="A20" s="69"/>
      <c r="B20" s="69"/>
      <c r="C20" s="69"/>
      <c r="D20" s="85"/>
      <c r="E20" s="72"/>
      <c r="F20" s="72"/>
      <c r="G20" s="72"/>
      <c r="H20" s="75"/>
      <c r="I20" s="72"/>
      <c r="K20" s="77"/>
      <c r="L20" s="77"/>
      <c r="M20" s="77"/>
    </row>
    <row r="21" spans="1:13" ht="18" customHeight="1" x14ac:dyDescent="0.25">
      <c r="A21" s="69">
        <v>1</v>
      </c>
      <c r="B21" s="69">
        <v>1</v>
      </c>
      <c r="C21" s="69">
        <v>1</v>
      </c>
      <c r="D21" s="190" t="s">
        <v>152</v>
      </c>
      <c r="E21" s="72"/>
      <c r="F21" s="72"/>
      <c r="G21" s="72"/>
      <c r="H21" s="75"/>
      <c r="I21" s="72"/>
      <c r="K21" s="77">
        <f>'List x'!J13</f>
        <v>331895.37857142847</v>
      </c>
      <c r="L21" s="77">
        <f>'List x'!K13</f>
        <v>398274.45428571414</v>
      </c>
      <c r="M21" s="77">
        <f>'List x'!L13</f>
        <v>284481.75306122447</v>
      </c>
    </row>
    <row r="22" spans="1:13" ht="24" x14ac:dyDescent="0.25">
      <c r="A22" s="69"/>
      <c r="B22" s="69"/>
      <c r="C22" s="69"/>
      <c r="D22" s="191" t="s">
        <v>153</v>
      </c>
      <c r="E22" s="72"/>
      <c r="F22" s="72"/>
      <c r="G22" s="72"/>
      <c r="H22" s="75"/>
      <c r="I22" s="72"/>
      <c r="K22" s="77">
        <f>'List x'!J21</f>
        <v>398274.45428571425</v>
      </c>
      <c r="L22" s="77">
        <f>'List x'!K21</f>
        <v>435612.68437499984</v>
      </c>
      <c r="M22" s="77">
        <f>'List x'!L21</f>
        <v>357425.79230769223</v>
      </c>
    </row>
    <row r="23" spans="1:13" x14ac:dyDescent="0.25">
      <c r="A23" s="69"/>
      <c r="B23" s="69"/>
      <c r="C23" s="69"/>
      <c r="D23" s="85"/>
      <c r="E23" s="72"/>
      <c r="F23" s="72"/>
      <c r="G23" s="72"/>
      <c r="I23" s="72"/>
      <c r="K23" s="77"/>
      <c r="L23" s="77"/>
      <c r="M23" s="77"/>
    </row>
    <row r="24" spans="1:13" x14ac:dyDescent="0.25">
      <c r="A24" s="69"/>
      <c r="B24" s="69"/>
      <c r="C24" s="69"/>
      <c r="D24" s="85"/>
      <c r="E24" s="72"/>
      <c r="F24" s="72"/>
      <c r="G24" s="72"/>
      <c r="I24" s="72"/>
      <c r="K24" s="77"/>
      <c r="L24" s="77"/>
      <c r="M24" s="77"/>
    </row>
    <row r="25" spans="1:13" x14ac:dyDescent="0.25">
      <c r="A25" s="69">
        <v>17</v>
      </c>
      <c r="B25" s="69">
        <v>17</v>
      </c>
      <c r="C25" s="69">
        <v>17</v>
      </c>
      <c r="D25" s="91" t="s">
        <v>98</v>
      </c>
      <c r="E25" s="73"/>
      <c r="F25" s="73"/>
      <c r="G25" s="73"/>
      <c r="I25" s="72"/>
      <c r="K25" s="77">
        <f>'List x'!J20</f>
        <v>168918.72242424238</v>
      </c>
      <c r="L25" s="77">
        <f>'List x'!K20</f>
        <v>206456.21629629628</v>
      </c>
      <c r="M25" s="77">
        <f>'List x'!L20</f>
        <v>146692.5747368421</v>
      </c>
    </row>
    <row r="26" spans="1:13" x14ac:dyDescent="0.25">
      <c r="D26" s="87"/>
      <c r="E26" s="87"/>
      <c r="F26" s="87"/>
      <c r="G26" s="87"/>
    </row>
    <row r="28" spans="1:13" x14ac:dyDescent="0.25">
      <c r="M28" t="s">
        <v>105</v>
      </c>
    </row>
    <row r="35" spans="1:1" ht="12.75" customHeight="1" x14ac:dyDescent="0.25"/>
    <row r="36" spans="1:1" ht="15" customHeight="1" x14ac:dyDescent="0.25">
      <c r="A36" s="70" t="s">
        <v>62</v>
      </c>
    </row>
    <row r="37" spans="1:1" ht="12.75" customHeight="1" x14ac:dyDescent="0.25">
      <c r="A37" s="70" t="s">
        <v>72</v>
      </c>
    </row>
    <row r="38" spans="1:1" ht="12.75" customHeight="1" x14ac:dyDescent="0.25">
      <c r="A38" s="70" t="s">
        <v>73</v>
      </c>
    </row>
    <row r="39" spans="1:1" ht="12" customHeight="1" x14ac:dyDescent="0.25">
      <c r="A39" s="70" t="s">
        <v>74</v>
      </c>
    </row>
  </sheetData>
  <mergeCells count="1">
    <mergeCell ref="D1:M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C1" zoomScale="90" zoomScaleNormal="90" workbookViewId="0">
      <selection activeCell="V7" sqref="V7"/>
    </sheetView>
  </sheetViews>
  <sheetFormatPr defaultColWidth="9.140625" defaultRowHeight="12.75" x14ac:dyDescent="0.2"/>
  <cols>
    <col min="1" max="1" width="36.5703125" style="35" customWidth="1"/>
    <col min="2" max="2" width="22.140625" style="35" customWidth="1"/>
    <col min="3" max="3" width="12.42578125" style="35" customWidth="1"/>
    <col min="4" max="16384" width="9.140625" style="35"/>
  </cols>
  <sheetData>
    <row r="1" spans="1:6" ht="53.25" customHeight="1" thickTop="1" thickBot="1" x14ac:dyDescent="0.25">
      <c r="A1" s="34" t="s">
        <v>39</v>
      </c>
      <c r="B1" s="30" t="s">
        <v>117</v>
      </c>
      <c r="C1" s="22" t="s">
        <v>116</v>
      </c>
    </row>
    <row r="2" spans="1:6" ht="27.75" customHeight="1" thickTop="1" x14ac:dyDescent="0.2">
      <c r="A2" s="63" t="s">
        <v>41</v>
      </c>
      <c r="B2" s="36"/>
      <c r="C2" s="37"/>
    </row>
    <row r="3" spans="1:6" ht="29.25" customHeight="1" x14ac:dyDescent="0.2">
      <c r="A3" s="63" t="s">
        <v>48</v>
      </c>
      <c r="B3" s="38"/>
      <c r="C3" s="39"/>
    </row>
    <row r="4" spans="1:6" ht="28.5" customHeight="1" x14ac:dyDescent="0.2">
      <c r="A4" s="63" t="s">
        <v>49</v>
      </c>
      <c r="B4" s="38"/>
      <c r="C4" s="39"/>
    </row>
    <row r="5" spans="1:6" ht="27" customHeight="1" x14ac:dyDescent="0.2">
      <c r="A5" s="63" t="s">
        <v>50</v>
      </c>
      <c r="B5" s="38"/>
      <c r="C5" s="39"/>
    </row>
    <row r="6" spans="1:6" ht="30.75" customHeight="1" x14ac:dyDescent="0.2">
      <c r="A6" s="63" t="s">
        <v>51</v>
      </c>
      <c r="B6" s="38"/>
      <c r="C6" s="40"/>
    </row>
    <row r="7" spans="1:6" ht="29.25" customHeight="1" x14ac:dyDescent="0.2">
      <c r="A7" s="63" t="s">
        <v>52</v>
      </c>
      <c r="B7" s="38"/>
      <c r="C7" s="40"/>
    </row>
    <row r="8" spans="1:6" ht="28.5" customHeight="1" x14ac:dyDescent="0.2">
      <c r="A8" s="64" t="s">
        <v>53</v>
      </c>
      <c r="B8" s="38"/>
      <c r="C8" s="40"/>
    </row>
    <row r="9" spans="1:6" ht="24" customHeight="1" thickBot="1" x14ac:dyDescent="0.25">
      <c r="A9" s="66" t="s">
        <v>40</v>
      </c>
      <c r="B9" s="41"/>
      <c r="C9" s="42"/>
    </row>
    <row r="10" spans="1:6" ht="30.75" customHeight="1" thickTop="1" x14ac:dyDescent="0.2">
      <c r="A10" s="62" t="s">
        <v>54</v>
      </c>
      <c r="B10" s="43">
        <v>65.2</v>
      </c>
      <c r="C10" s="68">
        <f>BIA!G7</f>
        <v>246963.63999999998</v>
      </c>
    </row>
    <row r="11" spans="1:6" ht="27.75" customHeight="1" x14ac:dyDescent="0.2">
      <c r="A11" s="62" t="s">
        <v>55</v>
      </c>
      <c r="B11" s="44"/>
      <c r="C11" s="45">
        <f>BIA!G8</f>
        <v>177538.89914285712</v>
      </c>
    </row>
    <row r="12" spans="1:6" ht="35.25" customHeight="1" x14ac:dyDescent="0.2">
      <c r="A12" s="62" t="s">
        <v>56</v>
      </c>
      <c r="B12" s="44"/>
      <c r="C12" s="45">
        <f>BIA!G9</f>
        <v>88769.449571428559</v>
      </c>
    </row>
    <row r="13" spans="1:6" ht="30.75" customHeight="1" x14ac:dyDescent="0.2">
      <c r="A13" s="62" t="s">
        <v>57</v>
      </c>
      <c r="B13" s="44">
        <v>84.6</v>
      </c>
      <c r="C13" s="45">
        <f>BIA!G10</f>
        <v>323045.72008163267</v>
      </c>
      <c r="F13" s="46"/>
    </row>
    <row r="14" spans="1:6" ht="30.75" customHeight="1" x14ac:dyDescent="0.2">
      <c r="A14" s="62" t="s">
        <v>58</v>
      </c>
      <c r="B14" s="44">
        <v>80.599999999999994</v>
      </c>
      <c r="C14" s="47">
        <f>BIA!G12</f>
        <v>161522.86004081633</v>
      </c>
      <c r="F14" s="46"/>
    </row>
    <row r="15" spans="1:6" ht="30.75" customHeight="1" x14ac:dyDescent="0.2">
      <c r="A15" s="62" t="s">
        <v>118</v>
      </c>
      <c r="B15" s="44">
        <v>71</v>
      </c>
      <c r="C15" s="47">
        <f>BIA!G13</f>
        <v>206038.33900000001</v>
      </c>
      <c r="F15" s="46"/>
    </row>
    <row r="16" spans="1:6" ht="30.75" customHeight="1" x14ac:dyDescent="0.2">
      <c r="A16" s="65" t="s">
        <v>119</v>
      </c>
      <c r="B16" s="44">
        <v>69</v>
      </c>
      <c r="C16" s="47">
        <f>BIA!G14</f>
        <v>181663.03674999997</v>
      </c>
    </row>
    <row r="17" spans="1:3" ht="30.75" customHeight="1" x14ac:dyDescent="0.2">
      <c r="A17" s="174" t="s">
        <v>149</v>
      </c>
      <c r="B17" s="175">
        <v>65.2</v>
      </c>
      <c r="C17" s="47">
        <f>BIA!G16</f>
        <v>253447.37999999998</v>
      </c>
    </row>
    <row r="18" spans="1:3" ht="24.75" customHeight="1" thickBot="1" x14ac:dyDescent="0.25">
      <c r="A18" s="67" t="s">
        <v>61</v>
      </c>
      <c r="B18" s="48">
        <v>21.6</v>
      </c>
      <c r="C18" s="49">
        <v>0</v>
      </c>
    </row>
    <row r="19" spans="1:3" ht="7.5" customHeight="1" thickTop="1" x14ac:dyDescent="0.2"/>
    <row r="20" spans="1:3" ht="12.75" customHeight="1" x14ac:dyDescent="0.2">
      <c r="A20" s="46"/>
    </row>
    <row r="21" spans="1:3" x14ac:dyDescent="0.2">
      <c r="A21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H1" zoomScale="90" zoomScaleNormal="90" workbookViewId="0">
      <selection activeCell="AB10" sqref="AB1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9" zoomScale="90" zoomScaleNormal="90" workbookViewId="0">
      <selection activeCell="J36" sqref="J3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E7" zoomScale="70" zoomScaleNormal="70" workbookViewId="0">
      <selection activeCell="AE26" sqref="AE2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L22" zoomScale="90" zoomScaleNormal="90" workbookViewId="0">
      <selection activeCell="AJ33" sqref="AJ3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J1" zoomScale="80" zoomScaleNormal="80" workbookViewId="0">
      <selection activeCell="AG9" sqref="AG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C4" zoomScale="90" zoomScaleNormal="90" workbookViewId="0">
      <selection activeCell="J35" sqref="J3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J1" zoomScale="90" zoomScaleNormal="90" workbookViewId="0">
      <selection activeCell="Q88" sqref="Q8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2" zoomScale="80" zoomScaleNormal="80" workbookViewId="0">
      <selection activeCell="AJ40" sqref="AJ4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přípravků</vt:lpstr>
      <vt:lpstr>BIA</vt:lpstr>
      <vt:lpstr>CEA - eff.frontier 16 týd.</vt:lpstr>
      <vt:lpstr>List x</vt:lpstr>
      <vt:lpstr>CEA ICER 16 týdnů</vt:lpstr>
      <vt:lpstr>CEA - eff.frontier 1 rok</vt:lpstr>
      <vt:lpstr>obrázky1</vt:lpstr>
      <vt:lpstr>obrázky2</vt:lpstr>
      <vt:lpstr>obrázky3</vt:lpstr>
      <vt:lpstr>obrázky4</vt:lpstr>
      <vt:lpstr>obrázky 5</vt:lpstr>
      <vt:lpstr>obrázky6</vt:lpstr>
      <vt:lpstr>obrázky7</vt:lpstr>
      <vt:lpstr>obrázky8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Duda Jaroslav, Mgr.</cp:lastModifiedBy>
  <dcterms:created xsi:type="dcterms:W3CDTF">2023-05-03T18:48:29Z</dcterms:created>
  <dcterms:modified xsi:type="dcterms:W3CDTF">2024-12-09T10:57:24Z</dcterms:modified>
</cp:coreProperties>
</file>