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6435"/>
  </bookViews>
  <sheets>
    <sheet name="Ceny za léčbu" sheetId="1" r:id="rId1"/>
    <sheet name="obrázky1" sheetId="11" r:id="rId2"/>
    <sheet name="obrázky2" sheetId="1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4" i="1"/>
  <c r="K13" i="1"/>
  <c r="J15" i="1"/>
  <c r="J14" i="1"/>
  <c r="J13" i="1"/>
  <c r="K12" i="1"/>
  <c r="K11" i="1"/>
  <c r="K10" i="1"/>
  <c r="J12" i="1"/>
  <c r="J11" i="1"/>
  <c r="J10" i="1"/>
  <c r="K9" i="1"/>
  <c r="K7" i="1"/>
  <c r="K8" i="1"/>
  <c r="J9" i="1"/>
  <c r="J8" i="1"/>
  <c r="J7" i="1"/>
  <c r="E13" i="1"/>
  <c r="I13" i="1" s="1"/>
  <c r="I9" i="1"/>
  <c r="I8" i="1"/>
  <c r="E11" i="1"/>
  <c r="I11" i="1" s="1"/>
  <c r="E10" i="1"/>
  <c r="I10" i="1" s="1"/>
  <c r="E12" i="1"/>
  <c r="I12" i="1" s="1"/>
  <c r="E9" i="1"/>
  <c r="E8" i="1"/>
  <c r="E6" i="1"/>
  <c r="I6" i="1" s="1"/>
  <c r="E5" i="1"/>
  <c r="I5" i="1" s="1"/>
  <c r="M15" i="1" l="1"/>
  <c r="E15" i="1" s="1"/>
  <c r="I15" i="1" s="1"/>
  <c r="M14" i="1"/>
  <c r="E14" i="1" s="1"/>
  <c r="I14" i="1" s="1"/>
  <c r="M7" i="1"/>
  <c r="E7" i="1" s="1"/>
  <c r="I7" i="1" s="1"/>
  <c r="M4" i="1"/>
  <c r="E4" i="1" s="1"/>
  <c r="I4" i="1" s="1"/>
</calcChain>
</file>

<file path=xl/comments1.xml><?xml version="1.0" encoding="utf-8"?>
<comments xmlns="http://schemas.openxmlformats.org/spreadsheetml/2006/main">
  <authors>
    <author>Uživatel systému Windows</author>
  </authors>
  <commentList>
    <comment ref="D7" authorId="0">
      <text>
        <r>
          <rPr>
            <sz val="9"/>
            <color indexed="81"/>
            <rFont val="Tahoma"/>
            <family val="2"/>
            <charset val="238"/>
          </rPr>
          <t xml:space="preserve">Dle Žádosti  HOK  FNOL k Minjuvi - viz pozn. 6
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 xml:space="preserve">Dle Žádosti  HOK  FNOL k Minjuvi - viz pozn. 6
</t>
        </r>
      </text>
    </comment>
    <comment ref="D9" authorId="0">
      <text>
        <r>
          <rPr>
            <sz val="9"/>
            <color indexed="81"/>
            <rFont val="Tahoma"/>
            <family val="2"/>
            <charset val="238"/>
          </rPr>
          <t xml:space="preserve">Dle Žádosti  HOK  FNOL k Minjuvi - viz pozn. 6
</t>
        </r>
      </text>
    </comment>
    <comment ref="D10" authorId="0">
      <text>
        <r>
          <rPr>
            <sz val="9"/>
            <color indexed="81"/>
            <rFont val="Tahoma"/>
            <family val="2"/>
            <charset val="238"/>
          </rPr>
          <t xml:space="preserve">Dle Žádosti  HOK  FNOL k Minjuvi - viz pozn. 6
</t>
        </r>
      </text>
    </comment>
    <comment ref="D11" authorId="0">
      <text>
        <r>
          <rPr>
            <sz val="9"/>
            <color indexed="81"/>
            <rFont val="Tahoma"/>
            <family val="2"/>
            <charset val="238"/>
          </rPr>
          <t xml:space="preserve">Dle Žádosti  HOK  FNOL k Minjuvi - viz pozn. 6
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 xml:space="preserve">Dle Žádosti  HOK  FNOL k Minjuvi - viz pozn. 6
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 xml:space="preserve">Dle Žádosti  HOK  FNOL k Minjuvi - viz pozn. 6
</t>
        </r>
      </text>
    </comment>
    <comment ref="D14" authorId="0">
      <text>
        <r>
          <rPr>
            <sz val="9"/>
            <color indexed="81"/>
            <rFont val="Tahoma"/>
            <family val="2"/>
            <charset val="238"/>
          </rPr>
          <t xml:space="preserve">Dle Žádosti  HOK  FNOL k Minjuvi - viz pozn. 6
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 xml:space="preserve">Dle Žádosti  HOK  FNOL k Minjuvi - viz pozn. 6
</t>
        </r>
      </text>
    </comment>
  </commentList>
</comments>
</file>

<file path=xl/sharedStrings.xml><?xml version="1.0" encoding="utf-8"?>
<sst xmlns="http://schemas.openxmlformats.org/spreadsheetml/2006/main" count="28" uniqueCount="28">
  <si>
    <t>modelový pacient:</t>
  </si>
  <si>
    <t>80 kg</t>
  </si>
  <si>
    <r>
      <t>2m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BSA</t>
    </r>
  </si>
  <si>
    <r>
      <t>mg za cyklus</t>
    </r>
    <r>
      <rPr>
        <sz val="9"/>
        <color theme="1"/>
        <rFont val="Calibri"/>
        <family val="2"/>
        <charset val="238"/>
        <scheme val="minor"/>
      </rPr>
      <t xml:space="preserve">                  (při BSA 2 m</t>
    </r>
    <r>
      <rPr>
        <vertAlign val="superscript"/>
        <sz val="9"/>
        <color theme="1"/>
        <rFont val="Calibri"/>
        <family val="2"/>
        <charset val="238"/>
        <scheme val="minor"/>
      </rPr>
      <t>2</t>
    </r>
    <r>
      <rPr>
        <sz val="9"/>
        <color theme="1"/>
        <rFont val="Calibri"/>
        <family val="2"/>
        <charset val="238"/>
        <scheme val="minor"/>
      </rPr>
      <t>)</t>
    </r>
  </si>
  <si>
    <r>
      <t xml:space="preserve">cena za cyklus </t>
    </r>
    <r>
      <rPr>
        <sz val="10"/>
        <color theme="1"/>
        <rFont val="Calibri"/>
        <family val="2"/>
        <charset val="238"/>
        <scheme val="minor"/>
      </rPr>
      <t>(při BSA 2 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  <scheme val="minor"/>
      </rPr>
      <t>)</t>
    </r>
  </si>
  <si>
    <t>bonus</t>
  </si>
  <si>
    <r>
      <t xml:space="preserve">počet balení za cykl. </t>
    </r>
    <r>
      <rPr>
        <sz val="8"/>
        <color theme="1"/>
        <rFont val="Calibri"/>
        <family val="2"/>
        <charset val="238"/>
        <scheme val="minor"/>
      </rPr>
      <t>(počít. celé lahv.!)</t>
    </r>
  </si>
  <si>
    <t>cena s DPH (NCSD) k 15.8.2023</t>
  </si>
  <si>
    <t>cena s DPH (NCSD) k 15.8.2023 vč. bonusu</t>
  </si>
  <si>
    <r>
      <t>dávkování dle SPC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(1 měsíc = 30,42 dne = 1,086 cyklu)</t>
    </r>
  </si>
  <si>
    <t>LENALIDOMID SANDOZ cps 21x25mg (všech 12 cyklů při RDI 100%)</t>
  </si>
  <si>
    <t>cena za léčbu (jen LP) při přislušném dávkování a délce podávání</t>
  </si>
  <si>
    <t>LENALIDOMID SANDOZ cps 21x25mg (7,6 měsíce při RDI 100%)</t>
  </si>
  <si>
    <t>LENALIDOMID SANDOZ cps 21x25mg (5,3 měsíce při RDI 100%)</t>
  </si>
  <si>
    <t>25 mg denně 1. až 21. den každého cyklu - celkem 12 cyklů                                          (1 cyklus = 28 dní)</t>
  </si>
  <si>
    <t>12 mg/kg těl. hmot.  - 1. cyklus: inf. 1., 4., 8., 15. a 22. den cyklu, 2. a 3. cyklus: inf. 1., 8., 15. a 22. den každého cyklu, 4. cyklus až do progrese onem.: inf. 1. a 15. den každého cyklu                                           (1 cyklus = 28 dní)</t>
  </si>
  <si>
    <r>
      <t xml:space="preserve">celková cena za léčbu (LP MINJUVI + LENALIDOMID) přísluš. režimem 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/>
    </r>
  </si>
  <si>
    <r>
      <rPr>
        <b/>
        <sz val="12"/>
        <color theme="1"/>
        <rFont val="Calibri"/>
        <family val="2"/>
        <charset val="238"/>
        <scheme val="minor"/>
      </rPr>
      <t xml:space="preserve">léčivý přípravek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(hmotnost pac., délka podávání, RDI)   </t>
    </r>
    <r>
      <rPr>
        <b/>
        <sz val="11"/>
        <color theme="1"/>
        <rFont val="Calibri"/>
        <family val="2"/>
        <charset val="238"/>
        <scheme val="minor"/>
      </rPr>
      <t xml:space="preserve">  </t>
    </r>
    <r>
      <rPr>
        <b/>
        <i/>
        <sz val="11"/>
        <color theme="1"/>
        <rFont val="Calibri"/>
        <family val="2"/>
        <charset val="238"/>
        <scheme val="minor"/>
      </rPr>
      <t>modrým podbarvením jsou zvýrazněny nejpravděpodobnější  scénáře dle profilu pacienta uvedené v žádosti  HOK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6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</t>
    </r>
  </si>
  <si>
    <t>MINJUVI 200mg inf. 1x                                        (51-66kg, 11,6 měs., RDI 100%)</t>
  </si>
  <si>
    <t>MINJUVI 200mg inf. 1x                                            (67-83kg, 11,6 měs., RDI 100%)</t>
  </si>
  <si>
    <t>MINJUVI 200mg inf. 1x                                          (84-100kg, 11,6 měs., RDI 100%)</t>
  </si>
  <si>
    <t>MINJUVI 200mg inf. 1x                                          (51-66kg, 7,6 měs., RDI 100%)</t>
  </si>
  <si>
    <t>MINJUVI 200mg inf. 1x                                         (67-83kg, 7,6 měs., RDI 100%)</t>
  </si>
  <si>
    <t>MINJUVI 200mg inf. 1x                                          (84-100kg, 7,6 měs., RDI 100%)</t>
  </si>
  <si>
    <t>MINJUVI 200mg inf. 1x                                         (51-66kg, 5,3 měs., RDI 100%)</t>
  </si>
  <si>
    <t>MINJUVI 200mg inf. 1x                                        (67-83kg, 5,3 měs., RDI 100%)</t>
  </si>
  <si>
    <t>MINJUVI 200mg inf. 1x                                        (84-100kg, 5,3 měs., RDI 100%)</t>
  </si>
  <si>
    <t>% nákladů na lenalidomid z ceny celého režimu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</si>
</sst>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#,##0\ &quot;Kč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vertAlign val="super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2" borderId="0" xfId="0" applyFill="1"/>
    <xf numFmtId="0" fontId="2" fillId="2" borderId="14" xfId="0" applyFont="1" applyFill="1" applyBorder="1" applyAlignment="1">
      <alignment horizontal="center" vertical="center" wrapText="1"/>
    </xf>
    <xf numFmtId="0" fontId="0" fillId="0" borderId="0" xfId="0" applyFill="1"/>
    <xf numFmtId="0" fontId="2" fillId="2" borderId="1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10" fontId="0" fillId="0" borderId="23" xfId="0" applyNumberFormat="1" applyBorder="1"/>
    <xf numFmtId="10" fontId="0" fillId="0" borderId="24" xfId="0" applyNumberFormat="1" applyBorder="1"/>
    <xf numFmtId="164" fontId="0" fillId="0" borderId="18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5" fontId="4" fillId="0" borderId="7" xfId="0" applyNumberFormat="1" applyFont="1" applyBorder="1" applyAlignment="1">
      <alignment horizontal="center" vertical="center"/>
    </xf>
    <xf numFmtId="165" fontId="4" fillId="3" borderId="7" xfId="0" applyNumberFormat="1" applyFont="1" applyFill="1" applyBorder="1" applyAlignment="1">
      <alignment horizontal="center" vertical="center"/>
    </xf>
    <xf numFmtId="165" fontId="4" fillId="3" borderId="11" xfId="0" applyNumberFormat="1" applyFont="1" applyFill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0" fillId="0" borderId="0" xfId="0" applyAlignment="1"/>
    <xf numFmtId="164" fontId="0" fillId="0" borderId="22" xfId="0" applyNumberFormat="1" applyBorder="1" applyAlignment="1">
      <alignment horizontal="center" vertical="center"/>
    </xf>
    <xf numFmtId="10" fontId="0" fillId="0" borderId="29" xfId="0" applyNumberFormat="1" applyBorder="1"/>
    <xf numFmtId="0" fontId="0" fillId="0" borderId="18" xfId="0" applyBorder="1" applyAlignment="1">
      <alignment horizontal="center" vertical="center"/>
    </xf>
    <xf numFmtId="44" fontId="1" fillId="0" borderId="1" xfId="1" applyFont="1" applyFill="1" applyBorder="1" applyAlignment="1">
      <alignment vertical="center"/>
    </xf>
    <xf numFmtId="165" fontId="13" fillId="0" borderId="30" xfId="0" applyNumberFormat="1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165" fontId="4" fillId="0" borderId="5" xfId="0" applyNumberFormat="1" applyFont="1" applyBorder="1" applyAlignment="1">
      <alignment vertical="center"/>
    </xf>
    <xf numFmtId="165" fontId="4" fillId="0" borderId="7" xfId="0" applyNumberFormat="1" applyFont="1" applyBorder="1" applyAlignment="1">
      <alignment vertical="center"/>
    </xf>
    <xf numFmtId="44" fontId="1" fillId="0" borderId="9" xfId="1" applyFont="1" applyFill="1" applyBorder="1" applyAlignment="1">
      <alignment vertical="center"/>
    </xf>
    <xf numFmtId="164" fontId="0" fillId="0" borderId="9" xfId="0" applyNumberFormat="1" applyBorder="1" applyAlignment="1">
      <alignment horizontal="center" vertical="center"/>
    </xf>
    <xf numFmtId="165" fontId="13" fillId="0" borderId="17" xfId="0" applyNumberFormat="1" applyFont="1" applyBorder="1" applyAlignment="1">
      <alignment horizontal="center" vertical="center"/>
    </xf>
    <xf numFmtId="10" fontId="0" fillId="0" borderId="25" xfId="0" applyNumberFormat="1" applyBorder="1"/>
    <xf numFmtId="10" fontId="13" fillId="0" borderId="23" xfId="0" applyNumberFormat="1" applyFont="1" applyBorder="1" applyAlignment="1">
      <alignment vertical="center"/>
    </xf>
    <xf numFmtId="10" fontId="13" fillId="0" borderId="24" xfId="0" applyNumberFormat="1" applyFont="1" applyBorder="1" applyAlignment="1">
      <alignment vertical="center"/>
    </xf>
    <xf numFmtId="10" fontId="13" fillId="0" borderId="24" xfId="0" applyNumberFormat="1" applyFont="1" applyBorder="1" applyAlignment="1">
      <alignment horizontal="center" vertical="center"/>
    </xf>
    <xf numFmtId="10" fontId="13" fillId="0" borderId="25" xfId="0" applyNumberFormat="1" applyFont="1" applyBorder="1" applyAlignment="1">
      <alignment horizontal="center" vertical="center"/>
    </xf>
    <xf numFmtId="0" fontId="0" fillId="4" borderId="0" xfId="0" applyFill="1"/>
    <xf numFmtId="0" fontId="7" fillId="4" borderId="0" xfId="0" applyFont="1" applyFill="1" applyBorder="1" applyAlignment="1">
      <alignment horizontal="center" vertical="center" wrapText="1"/>
    </xf>
    <xf numFmtId="164" fontId="0" fillId="4" borderId="0" xfId="0" applyNumberFormat="1" applyFill="1"/>
    <xf numFmtId="0" fontId="0" fillId="0" borderId="2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169335</xdr:colOff>
      <xdr:row>16</xdr:row>
      <xdr:rowOff>105834</xdr:rowOff>
    </xdr:from>
    <xdr:to>
      <xdr:col>11</xdr:col>
      <xdr:colOff>438151</xdr:colOff>
      <xdr:row>21</xdr:row>
      <xdr:rowOff>66675</xdr:rowOff>
    </xdr:to>
    <xdr:sp macro="" textlink="">
      <xdr:nvSpPr>
        <xdr:cNvPr id="2" name="TextovéPole 1"/>
        <xdr:cNvSpPr txBox="1"/>
      </xdr:nvSpPr>
      <xdr:spPr>
        <a:xfrm>
          <a:off x="2883960" y="5897034"/>
          <a:ext cx="7241116" cy="92286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Podíl pacientů, kteří dokončili všech úvodních 12 cyklů s oběma LP byl ve studi L-MIND jen 37 %, 5 % pacientů ukončilo léčbu jen lenalidomidem před dokončením úvodních 12 cyklů a 57 % nedokončilo úvodních 12 cyklů s oběma LP. Podíl pacientů s jakoukoliv redukcí dávkování lenalidomidu bylo cca 46 %, </a:t>
          </a:r>
          <a:r>
            <a:rPr lang="cs-CZ" sz="1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79 % pacientů dočasně přerušilo podávání tafasitamabu (73,4 % z nich bylo kvůli nežádoucím účinkům</a:t>
          </a:r>
          <a:r>
            <a:rPr lang="cs-CZ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 Dle zdrojů pod pozn.  8 a 27.</a:t>
          </a:r>
        </a:p>
        <a:p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38100</xdr:rowOff>
    </xdr:from>
    <xdr:to>
      <xdr:col>30</xdr:col>
      <xdr:colOff>47624</xdr:colOff>
      <xdr:row>39</xdr:row>
      <xdr:rowOff>47625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14299" y="38100"/>
          <a:ext cx="18221325" cy="7439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 editAs="oneCell">
    <xdr:from>
      <xdr:col>0</xdr:col>
      <xdr:colOff>297391</xdr:colOff>
      <xdr:row>0</xdr:row>
      <xdr:rowOff>142875</xdr:rowOff>
    </xdr:from>
    <xdr:to>
      <xdr:col>7</xdr:col>
      <xdr:colOff>276225</xdr:colOff>
      <xdr:row>15</xdr:row>
      <xdr:rowOff>133350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391" y="142875"/>
          <a:ext cx="4246034" cy="284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372534</xdr:colOff>
      <xdr:row>23</xdr:row>
      <xdr:rowOff>20108</xdr:rowOff>
    </xdr:from>
    <xdr:to>
      <xdr:col>12</xdr:col>
      <xdr:colOff>29127</xdr:colOff>
      <xdr:row>24</xdr:row>
      <xdr:rowOff>9525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534" y="4401608"/>
          <a:ext cx="6971793" cy="179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360892</xdr:colOff>
      <xdr:row>24</xdr:row>
      <xdr:rowOff>8465</xdr:rowOff>
    </xdr:from>
    <xdr:to>
      <xdr:col>12</xdr:col>
      <xdr:colOff>66675</xdr:colOff>
      <xdr:row>26</xdr:row>
      <xdr:rowOff>94191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892" y="4580465"/>
          <a:ext cx="7020983" cy="466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370417</xdr:colOff>
      <xdr:row>27</xdr:row>
      <xdr:rowOff>165100</xdr:rowOff>
    </xdr:from>
    <xdr:to>
      <xdr:col>12</xdr:col>
      <xdr:colOff>38100</xdr:colOff>
      <xdr:row>29</xdr:row>
      <xdr:rowOff>79375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417" y="5308600"/>
          <a:ext cx="6982883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285750</xdr:colOff>
      <xdr:row>5</xdr:row>
      <xdr:rowOff>76201</xdr:rowOff>
    </xdr:from>
    <xdr:to>
      <xdr:col>5</xdr:col>
      <xdr:colOff>219075</xdr:colOff>
      <xdr:row>6</xdr:row>
      <xdr:rowOff>95251</xdr:rowOff>
    </xdr:to>
    <xdr:sp macro="" textlink="">
      <xdr:nvSpPr>
        <xdr:cNvPr id="8" name="Ovál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/>
      </xdr:nvSpPr>
      <xdr:spPr>
        <a:xfrm>
          <a:off x="285750" y="1028701"/>
          <a:ext cx="2981325" cy="209550"/>
        </a:xfrm>
        <a:prstGeom prst="ellipse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0</xdr:col>
      <xdr:colOff>333376</xdr:colOff>
      <xdr:row>27</xdr:row>
      <xdr:rowOff>129116</xdr:rowOff>
    </xdr:from>
    <xdr:to>
      <xdr:col>11</xdr:col>
      <xdr:colOff>571500</xdr:colOff>
      <xdr:row>29</xdr:row>
      <xdr:rowOff>95249</xdr:rowOff>
    </xdr:to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 txBox="1"/>
      </xdr:nvSpPr>
      <xdr:spPr>
        <a:xfrm>
          <a:off x="333376" y="5272616"/>
          <a:ext cx="6943724" cy="347133"/>
        </a:xfrm>
        <a:prstGeom prst="rect">
          <a:avLst/>
        </a:prstGeom>
        <a:noFill/>
        <a:ln w="2857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 editAs="oneCell">
    <xdr:from>
      <xdr:col>0</xdr:col>
      <xdr:colOff>323850</xdr:colOff>
      <xdr:row>15</xdr:row>
      <xdr:rowOff>95250</xdr:rowOff>
    </xdr:from>
    <xdr:to>
      <xdr:col>12</xdr:col>
      <xdr:colOff>95250</xdr:colOff>
      <xdr:row>23</xdr:row>
      <xdr:rowOff>47625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0"/>
          <a:ext cx="7086600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351227</xdr:colOff>
      <xdr:row>26</xdr:row>
      <xdr:rowOff>133350</xdr:rowOff>
    </xdr:from>
    <xdr:to>
      <xdr:col>6</xdr:col>
      <xdr:colOff>476250</xdr:colOff>
      <xdr:row>27</xdr:row>
      <xdr:rowOff>95249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227" y="5086350"/>
          <a:ext cx="3782623" cy="15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457201</xdr:colOff>
      <xdr:row>26</xdr:row>
      <xdr:rowOff>104775</xdr:rowOff>
    </xdr:from>
    <xdr:to>
      <xdr:col>9</xdr:col>
      <xdr:colOff>476250</xdr:colOff>
      <xdr:row>27</xdr:row>
      <xdr:rowOff>102191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1" y="5057775"/>
          <a:ext cx="1847849" cy="187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352425</xdr:colOff>
      <xdr:row>26</xdr:row>
      <xdr:rowOff>104775</xdr:rowOff>
    </xdr:from>
    <xdr:to>
      <xdr:col>11</xdr:col>
      <xdr:colOff>565150</xdr:colOff>
      <xdr:row>27</xdr:row>
      <xdr:rowOff>89958</xdr:rowOff>
    </xdr:to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 txBox="1"/>
      </xdr:nvSpPr>
      <xdr:spPr>
        <a:xfrm>
          <a:off x="352425" y="5057775"/>
          <a:ext cx="6918325" cy="175683"/>
        </a:xfrm>
        <a:prstGeom prst="rect">
          <a:avLst/>
        </a:prstGeom>
        <a:noFill/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7</xdr:col>
      <xdr:colOff>352425</xdr:colOff>
      <xdr:row>1</xdr:row>
      <xdr:rowOff>66674</xdr:rowOff>
    </xdr:from>
    <xdr:to>
      <xdr:col>12</xdr:col>
      <xdr:colOff>19050</xdr:colOff>
      <xdr:row>14</xdr:row>
      <xdr:rowOff>171449</xdr:rowOff>
    </xdr:to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SpPr txBox="1"/>
      </xdr:nvSpPr>
      <xdr:spPr>
        <a:xfrm>
          <a:off x="4619625" y="257174"/>
          <a:ext cx="2714625" cy="258127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 u="sng"/>
            <a:t>CAVE! </a:t>
          </a:r>
        </a:p>
        <a:p>
          <a:r>
            <a:rPr lang="cs-CZ" sz="1100" b="1"/>
            <a:t>- v ČR je k datu 15.8.2023 hrazen z</a:t>
          </a:r>
          <a:r>
            <a:rPr lang="cs-CZ" sz="1100" b="1" baseline="0"/>
            <a:t> 2. liniových preferovaných režimů jen režim</a:t>
          </a:r>
        </a:p>
        <a:p>
          <a:r>
            <a:rPr lang="cs-CZ" sz="1100" b="1" baseline="0"/>
            <a:t>s polatuzumabem  vedotinem (aktuálně je zahajováno jeho uvedení na trh), </a:t>
          </a:r>
        </a:p>
        <a:p>
          <a:r>
            <a:rPr lang="cs-CZ" sz="1100" b="1" baseline="0"/>
            <a:t>- ostatní 2. liniové doporučené režimy jsou (kromě rituximabu) chemoterapeutické,</a:t>
          </a:r>
        </a:p>
        <a:p>
          <a:r>
            <a:rPr lang="cs-CZ" sz="1100" b="1" baseline="0"/>
            <a:t>- z 3. liniových terapií není k datu 15.8.2023 na trhu žádná terapie a nemá v ČR úhradu (selixenor a  epcoritamab nemají v EU na DLBCL aktuálně aní registraci),</a:t>
          </a:r>
        </a:p>
        <a:p>
          <a:r>
            <a:rPr lang="cs-CZ" sz="1100" b="1" baseline="0"/>
            <a:t>- </a:t>
          </a:r>
          <a:r>
            <a:rPr lang="cs-CZ" sz="1100" b="1" u="sng" baseline="0"/>
            <a:t>LP s lenalidomidem nemají v ČR </a:t>
          </a:r>
          <a:r>
            <a:rPr lang="cs-CZ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 datu 15.8.2023 indikaci na DLBCL (ta je uvedena jen v SPC LP MINJUVI) , ani </a:t>
          </a:r>
          <a:r>
            <a:rPr lang="cs-CZ" sz="1100" b="1" u="sng" baseline="0"/>
            <a:t>úhradu na něj</a:t>
          </a:r>
          <a:r>
            <a:rPr lang="cs-CZ" sz="1100" b="1" baseline="0"/>
            <a:t>.</a:t>
          </a:r>
          <a:endParaRPr lang="cs-CZ" sz="1100" b="1"/>
        </a:p>
      </xdr:txBody>
    </xdr:sp>
    <xdr:clientData/>
  </xdr:twoCellAnchor>
  <xdr:twoCellAnchor editAs="oneCell">
    <xdr:from>
      <xdr:col>13</xdr:col>
      <xdr:colOff>171450</xdr:colOff>
      <xdr:row>7</xdr:row>
      <xdr:rowOff>114300</xdr:rowOff>
    </xdr:from>
    <xdr:to>
      <xdr:col>25</xdr:col>
      <xdr:colOff>19050</xdr:colOff>
      <xdr:row>20</xdr:row>
      <xdr:rowOff>28575</xdr:rowOff>
    </xdr:to>
    <xdr:pic>
      <xdr:nvPicPr>
        <xdr:cNvPr id="16" name="Obrázek 15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447800"/>
          <a:ext cx="71628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47625</xdr:rowOff>
    </xdr:from>
    <xdr:to>
      <xdr:col>20</xdr:col>
      <xdr:colOff>438150</xdr:colOff>
      <xdr:row>36</xdr:row>
      <xdr:rowOff>105833</xdr:rowOff>
    </xdr:to>
    <xdr:sp macro="" textlink="">
      <xdr:nvSpPr>
        <xdr:cNvPr id="2" name="TextovéPole 1"/>
        <xdr:cNvSpPr txBox="1"/>
      </xdr:nvSpPr>
      <xdr:spPr>
        <a:xfrm>
          <a:off x="171450" y="47625"/>
          <a:ext cx="12543367" cy="69162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 editAs="oneCell">
    <xdr:from>
      <xdr:col>0</xdr:col>
      <xdr:colOff>586316</xdr:colOff>
      <xdr:row>2</xdr:row>
      <xdr:rowOff>30693</xdr:rowOff>
    </xdr:from>
    <xdr:to>
      <xdr:col>17</xdr:col>
      <xdr:colOff>433916</xdr:colOff>
      <xdr:row>23</xdr:row>
      <xdr:rowOff>168677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316" y="411693"/>
          <a:ext cx="10282767" cy="4138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264584</xdr:colOff>
      <xdr:row>18</xdr:row>
      <xdr:rowOff>21167</xdr:rowOff>
    </xdr:from>
    <xdr:to>
      <xdr:col>12</xdr:col>
      <xdr:colOff>222251</xdr:colOff>
      <xdr:row>19</xdr:row>
      <xdr:rowOff>116417</xdr:rowOff>
    </xdr:to>
    <xdr:sp macro="" textlink="">
      <xdr:nvSpPr>
        <xdr:cNvPr id="4" name="Ovál 3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/>
      </xdr:nvSpPr>
      <xdr:spPr>
        <a:xfrm>
          <a:off x="6402917" y="3450167"/>
          <a:ext cx="1185334" cy="285750"/>
        </a:xfrm>
        <a:prstGeom prst="ellipse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0</xdr:col>
      <xdr:colOff>603250</xdr:colOff>
      <xdr:row>24</xdr:row>
      <xdr:rowOff>169333</xdr:rowOff>
    </xdr:from>
    <xdr:to>
      <xdr:col>17</xdr:col>
      <xdr:colOff>444500</xdr:colOff>
      <xdr:row>32</xdr:row>
      <xdr:rowOff>42333</xdr:rowOff>
    </xdr:to>
    <xdr:sp macro="" textlink="">
      <xdr:nvSpPr>
        <xdr:cNvPr id="5" name="TextovéPole 4"/>
        <xdr:cNvSpPr txBox="1"/>
      </xdr:nvSpPr>
      <xdr:spPr>
        <a:xfrm>
          <a:off x="603250" y="4741333"/>
          <a:ext cx="10276417" cy="1397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400" b="1"/>
            <a:t>U pacientů, kteří dostávali tafasitamab plus lenalidomid jako léčbu 2. linie (n=40), byl medián PFS 23,5 měsíce (95% CI: 7,4-NR), medián DoR byl 43,9 měsíců (95% CI: 9,1-NR) a medián OS byl 45,7 měsíce (95% CI: 24,6-NR). </a:t>
          </a:r>
        </a:p>
        <a:p>
          <a:endParaRPr lang="cs-CZ" sz="800" b="1"/>
        </a:p>
        <a:p>
          <a:r>
            <a:rPr lang="cs-CZ" sz="1400" b="1"/>
            <a:t>U pacientů užívajících tafasitamab plus lenalidomid jako léčbu 3. nebo pozdější linie (n=40) byl medián PFS 7,6 měsíce (95% CI: 2,7-NR), medián DoR nebyl dosažen (95% CI: 15,0-NR ) a medián OS byl 15,5 měsíce (95% CI: 8,6-NR).</a:t>
          </a:r>
        </a:p>
      </xdr:txBody>
    </xdr:sp>
    <xdr:clientData/>
  </xdr:twoCellAnchor>
  <xdr:twoCellAnchor>
    <xdr:from>
      <xdr:col>0</xdr:col>
      <xdr:colOff>613832</xdr:colOff>
      <xdr:row>27</xdr:row>
      <xdr:rowOff>158750</xdr:rowOff>
    </xdr:from>
    <xdr:to>
      <xdr:col>17</xdr:col>
      <xdr:colOff>296332</xdr:colOff>
      <xdr:row>30</xdr:row>
      <xdr:rowOff>74084</xdr:rowOff>
    </xdr:to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 txBox="1"/>
      </xdr:nvSpPr>
      <xdr:spPr>
        <a:xfrm>
          <a:off x="613832" y="5302250"/>
          <a:ext cx="10117667" cy="486834"/>
        </a:xfrm>
        <a:prstGeom prst="rect">
          <a:avLst/>
        </a:prstGeom>
        <a:noFill/>
        <a:ln w="2857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12</xdr:col>
      <xdr:colOff>243417</xdr:colOff>
      <xdr:row>27</xdr:row>
      <xdr:rowOff>158750</xdr:rowOff>
    </xdr:from>
    <xdr:to>
      <xdr:col>17</xdr:col>
      <xdr:colOff>317500</xdr:colOff>
      <xdr:row>29</xdr:row>
      <xdr:rowOff>95250</xdr:rowOff>
    </xdr:to>
    <xdr:sp macro="" textlink="">
      <xdr:nvSpPr>
        <xdr:cNvPr id="7" name="Ovál 6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/>
      </xdr:nvSpPr>
      <xdr:spPr>
        <a:xfrm>
          <a:off x="7609417" y="5302250"/>
          <a:ext cx="3143250" cy="317500"/>
        </a:xfrm>
        <a:prstGeom prst="ellipse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7"/>
  <sheetViews>
    <sheetView tabSelected="1" zoomScale="90" zoomScaleNormal="9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R9" sqref="R9"/>
    </sheetView>
  </sheetViews>
  <sheetFormatPr defaultRowHeight="15" x14ac:dyDescent="0.25"/>
  <cols>
    <col min="1" max="1" width="1.28515625" customWidth="1"/>
    <col min="2" max="2" width="39.42578125" customWidth="1"/>
    <col min="3" max="3" width="24.85546875" customWidth="1"/>
    <col min="4" max="4" width="14.85546875" customWidth="1"/>
    <col min="5" max="5" width="13.7109375" customWidth="1"/>
    <col min="6" max="6" width="0.140625" customWidth="1"/>
    <col min="7" max="7" width="10.28515625" hidden="1" customWidth="1"/>
    <col min="8" max="8" width="15.140625" hidden="1" customWidth="1"/>
    <col min="9" max="9" width="18.140625" customWidth="1"/>
    <col min="10" max="10" width="19.5703125" customWidth="1"/>
    <col min="11" max="11" width="13.28515625" customWidth="1"/>
    <col min="13" max="13" width="11.85546875" customWidth="1"/>
  </cols>
  <sheetData>
    <row r="1" spans="2:13" ht="1.5" customHeight="1" x14ac:dyDescent="0.25">
      <c r="G1" s="9"/>
      <c r="H1" s="7" t="s">
        <v>0</v>
      </c>
      <c r="I1" s="7" t="s">
        <v>1</v>
      </c>
      <c r="J1" s="7" t="s">
        <v>2</v>
      </c>
      <c r="K1" s="7"/>
    </row>
    <row r="2" spans="2:13" ht="0.75" customHeight="1" thickBot="1" x14ac:dyDescent="0.3"/>
    <row r="3" spans="2:13" ht="77.25" customHeight="1" thickTop="1" thickBot="1" x14ac:dyDescent="0.3">
      <c r="B3" s="2" t="s">
        <v>17</v>
      </c>
      <c r="C3" s="5" t="s">
        <v>9</v>
      </c>
      <c r="D3" s="12" t="s">
        <v>7</v>
      </c>
      <c r="E3" s="12" t="s">
        <v>8</v>
      </c>
      <c r="F3" s="5" t="s">
        <v>3</v>
      </c>
      <c r="G3" s="5" t="s">
        <v>6</v>
      </c>
      <c r="H3" s="5" t="s">
        <v>4</v>
      </c>
      <c r="I3" s="10" t="s">
        <v>11</v>
      </c>
      <c r="J3" s="8" t="s">
        <v>16</v>
      </c>
      <c r="K3" s="19" t="s">
        <v>27</v>
      </c>
      <c r="L3" s="11" t="s">
        <v>5</v>
      </c>
      <c r="M3" s="48"/>
    </row>
    <row r="4" spans="2:13" ht="33" customHeight="1" thickTop="1" x14ac:dyDescent="0.25">
      <c r="B4" s="51" t="s">
        <v>10</v>
      </c>
      <c r="C4" s="32" t="s">
        <v>14</v>
      </c>
      <c r="D4" s="15">
        <v>733.19</v>
      </c>
      <c r="E4" s="15">
        <f>D4-M4</f>
        <v>733.19</v>
      </c>
      <c r="F4" s="28"/>
      <c r="G4" s="28"/>
      <c r="H4" s="15"/>
      <c r="I4" s="30">
        <f>12*E4</f>
        <v>8798.2800000000007</v>
      </c>
      <c r="J4" s="38"/>
      <c r="K4" s="44"/>
      <c r="L4" s="13"/>
      <c r="M4" s="50">
        <f>L4*D4</f>
        <v>0</v>
      </c>
    </row>
    <row r="5" spans="2:13" ht="32.25" customHeight="1" x14ac:dyDescent="0.25">
      <c r="B5" s="52" t="s">
        <v>12</v>
      </c>
      <c r="C5" s="33"/>
      <c r="D5" s="16">
        <v>733.19</v>
      </c>
      <c r="E5" s="16">
        <f>D5-M5</f>
        <v>733.19</v>
      </c>
      <c r="F5" s="1"/>
      <c r="G5" s="1"/>
      <c r="H5" s="18"/>
      <c r="I5" s="31">
        <f>(8*E5)+((E5/21)*8)</f>
        <v>6144.8304761904765</v>
      </c>
      <c r="J5" s="39"/>
      <c r="K5" s="45"/>
      <c r="L5" s="27"/>
      <c r="M5" s="50"/>
    </row>
    <row r="6" spans="2:13" ht="30" customHeight="1" x14ac:dyDescent="0.25">
      <c r="B6" s="52" t="s">
        <v>13</v>
      </c>
      <c r="C6" s="34"/>
      <c r="D6" s="16">
        <v>733.19</v>
      </c>
      <c r="E6" s="16">
        <f>D6-M6</f>
        <v>733.19</v>
      </c>
      <c r="F6" s="6"/>
      <c r="G6" s="6"/>
      <c r="H6" s="26"/>
      <c r="I6" s="31">
        <f>(6*E6)</f>
        <v>4399.1400000000003</v>
      </c>
      <c r="J6" s="39"/>
      <c r="K6" s="45"/>
      <c r="L6" s="27"/>
      <c r="M6" s="50"/>
    </row>
    <row r="7" spans="2:13" ht="30" customHeight="1" x14ac:dyDescent="0.25">
      <c r="B7" s="52" t="s">
        <v>18</v>
      </c>
      <c r="C7" s="35" t="s">
        <v>15</v>
      </c>
      <c r="D7" s="29">
        <v>15813</v>
      </c>
      <c r="E7" s="24">
        <f>D7-M7</f>
        <v>15813</v>
      </c>
      <c r="F7" s="1"/>
      <c r="G7" s="1"/>
      <c r="H7" s="4"/>
      <c r="I7" s="31">
        <f>(9*4*E7)+(10*2*4*E7)</f>
        <v>1834308</v>
      </c>
      <c r="J7" s="21">
        <f>I7+I4</f>
        <v>1843106.28</v>
      </c>
      <c r="K7" s="46">
        <f>I4/J7</f>
        <v>4.7736151167582152E-3</v>
      </c>
      <c r="L7" s="14"/>
      <c r="M7" s="50">
        <f>L7*D7</f>
        <v>0</v>
      </c>
    </row>
    <row r="8" spans="2:13" ht="30" customHeight="1" x14ac:dyDescent="0.25">
      <c r="B8" s="52" t="s">
        <v>19</v>
      </c>
      <c r="C8" s="36"/>
      <c r="D8" s="29">
        <v>15813</v>
      </c>
      <c r="E8" s="24">
        <f>D8-M8</f>
        <v>15813</v>
      </c>
      <c r="F8" s="6"/>
      <c r="G8" s="1"/>
      <c r="H8" s="4"/>
      <c r="I8" s="31">
        <f>(9*5*E8)+(10*2*5*E8)</f>
        <v>2292885</v>
      </c>
      <c r="J8" s="21">
        <f>I8+I4</f>
        <v>2301683.2799999998</v>
      </c>
      <c r="K8" s="46">
        <f>I4/J8</f>
        <v>3.8225415618433835E-3</v>
      </c>
      <c r="L8" s="14"/>
      <c r="M8" s="50"/>
    </row>
    <row r="9" spans="2:13" ht="30" customHeight="1" x14ac:dyDescent="0.25">
      <c r="B9" s="52" t="s">
        <v>20</v>
      </c>
      <c r="C9" s="36"/>
      <c r="D9" s="29">
        <v>15813</v>
      </c>
      <c r="E9" s="24">
        <f>D9-M9</f>
        <v>15813</v>
      </c>
      <c r="F9" s="6"/>
      <c r="G9" s="1"/>
      <c r="H9" s="4"/>
      <c r="I9" s="31">
        <f>(9*6*E9)+(10*2*6*E9)</f>
        <v>2751462</v>
      </c>
      <c r="J9" s="21">
        <f>I9+I4</f>
        <v>2760260.28</v>
      </c>
      <c r="K9" s="46">
        <f>I4/J9</f>
        <v>3.1874820152829942E-3</v>
      </c>
      <c r="L9" s="14"/>
      <c r="M9" s="50"/>
    </row>
    <row r="10" spans="2:13" ht="30" customHeight="1" x14ac:dyDescent="0.25">
      <c r="B10" s="53" t="s">
        <v>21</v>
      </c>
      <c r="C10" s="36"/>
      <c r="D10" s="29">
        <v>15813</v>
      </c>
      <c r="E10" s="24">
        <f>D10-M10</f>
        <v>15813</v>
      </c>
      <c r="F10" s="6"/>
      <c r="G10" s="1"/>
      <c r="H10" s="4"/>
      <c r="I10" s="31">
        <f>(9*4*E10)+(5*2*4*E10)+(1*1*4*E10)</f>
        <v>1265040</v>
      </c>
      <c r="J10" s="22">
        <f>I10+I5</f>
        <v>1271184.8304761904</v>
      </c>
      <c r="K10" s="46">
        <f>I5/J10</f>
        <v>4.8339394310492213E-3</v>
      </c>
      <c r="L10" s="14"/>
      <c r="M10" s="50"/>
    </row>
    <row r="11" spans="2:13" ht="30" customHeight="1" x14ac:dyDescent="0.25">
      <c r="B11" s="53" t="s">
        <v>22</v>
      </c>
      <c r="C11" s="36"/>
      <c r="D11" s="29">
        <v>15813</v>
      </c>
      <c r="E11" s="24">
        <f>D11-M11</f>
        <v>15813</v>
      </c>
      <c r="F11" s="6"/>
      <c r="G11" s="1"/>
      <c r="H11" s="4"/>
      <c r="I11" s="31">
        <f>(9*5*E11)+(5*2*5*E11)+(1*1*5*E11)</f>
        <v>1581300</v>
      </c>
      <c r="J11" s="22">
        <f>I11+I5</f>
        <v>1587444.8304761904</v>
      </c>
      <c r="K11" s="46">
        <f>I5/J11</f>
        <v>3.8708938781495759E-3</v>
      </c>
      <c r="L11" s="14"/>
      <c r="M11" s="50"/>
    </row>
    <row r="12" spans="2:13" ht="30" customHeight="1" x14ac:dyDescent="0.25">
      <c r="B12" s="53" t="s">
        <v>23</v>
      </c>
      <c r="C12" s="36"/>
      <c r="D12" s="29">
        <v>15813</v>
      </c>
      <c r="E12" s="24">
        <f>D12-M12</f>
        <v>15813</v>
      </c>
      <c r="F12" s="6"/>
      <c r="G12" s="1"/>
      <c r="H12" s="4"/>
      <c r="I12" s="31">
        <f>(9*6*E12)+(5*2*6*E12)+(1*1*6*E12)</f>
        <v>1897560</v>
      </c>
      <c r="J12" s="22">
        <f>I12+I5</f>
        <v>1903704.8304761904</v>
      </c>
      <c r="K12" s="46">
        <f>I5/J12</f>
        <v>3.227827327965237E-3</v>
      </c>
      <c r="L12" s="14"/>
      <c r="M12" s="50"/>
    </row>
    <row r="13" spans="2:13" ht="30" customHeight="1" x14ac:dyDescent="0.25">
      <c r="B13" s="53" t="s">
        <v>24</v>
      </c>
      <c r="C13" s="36"/>
      <c r="D13" s="29">
        <v>15813</v>
      </c>
      <c r="E13" s="24">
        <f>D13-M13</f>
        <v>15813</v>
      </c>
      <c r="F13" s="6"/>
      <c r="G13" s="1"/>
      <c r="H13" s="4"/>
      <c r="I13" s="31">
        <f>(9*4*E13)+(3*2*4*E13)</f>
        <v>948780</v>
      </c>
      <c r="J13" s="22">
        <f>I13+I6</f>
        <v>953179.14</v>
      </c>
      <c r="K13" s="46">
        <f>I6/J13</f>
        <v>4.6152289904288091E-3</v>
      </c>
      <c r="L13" s="14"/>
      <c r="M13" s="50"/>
    </row>
    <row r="14" spans="2:13" ht="30" customHeight="1" x14ac:dyDescent="0.25">
      <c r="B14" s="53" t="s">
        <v>25</v>
      </c>
      <c r="C14" s="36"/>
      <c r="D14" s="29">
        <v>15813</v>
      </c>
      <c r="E14" s="16">
        <f>D14-M14</f>
        <v>15813</v>
      </c>
      <c r="F14" s="6"/>
      <c r="G14" s="1"/>
      <c r="H14" s="4"/>
      <c r="I14" s="31">
        <f>(9*5*E14)+(3*2*5*E14)</f>
        <v>1185975</v>
      </c>
      <c r="J14" s="22">
        <f>I14+I6</f>
        <v>1190374.1399999999</v>
      </c>
      <c r="K14" s="46">
        <f>I6/J14</f>
        <v>3.6955943952209857E-3</v>
      </c>
      <c r="L14" s="14"/>
      <c r="M14" s="50">
        <f>L14*D14</f>
        <v>0</v>
      </c>
    </row>
    <row r="15" spans="2:13" ht="32.25" customHeight="1" thickBot="1" x14ac:dyDescent="0.3">
      <c r="B15" s="54" t="s">
        <v>26</v>
      </c>
      <c r="C15" s="37"/>
      <c r="D15" s="40">
        <v>15813</v>
      </c>
      <c r="E15" s="41">
        <f>D15-M15</f>
        <v>15813</v>
      </c>
      <c r="F15" s="3"/>
      <c r="G15" s="3"/>
      <c r="H15" s="17"/>
      <c r="I15" s="42">
        <f>(9*6*E15)+(3*2*6*E15)</f>
        <v>1423170</v>
      </c>
      <c r="J15" s="23">
        <f>I15+I6</f>
        <v>1427569.14</v>
      </c>
      <c r="K15" s="47">
        <f>I6/J15</f>
        <v>3.0815600286792418E-3</v>
      </c>
      <c r="L15" s="43"/>
      <c r="M15" s="50">
        <f>L15*D15</f>
        <v>0</v>
      </c>
    </row>
    <row r="16" spans="2:13" ht="9" hidden="1" customHeight="1" thickTop="1" x14ac:dyDescent="0.25"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spans="2:13" ht="15.75" thickTop="1" x14ac:dyDescent="0.25"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</row>
    <row r="18" spans="2:13" x14ac:dyDescent="0.25">
      <c r="B18" s="49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2:13" x14ac:dyDescent="0.25"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2:13" x14ac:dyDescent="0.25"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</row>
    <row r="21" spans="2:13" x14ac:dyDescent="0.25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</row>
    <row r="22" spans="2:13" x14ac:dyDescent="0.25"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2:13" x14ac:dyDescent="0.25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</row>
    <row r="24" spans="2:13" x14ac:dyDescent="0.25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5" spans="2:13" ht="93" customHeight="1" x14ac:dyDescent="0.25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</row>
    <row r="26" spans="2:13" x14ac:dyDescent="0.25"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</row>
    <row r="27" spans="2:13" x14ac:dyDescent="0.25">
      <c r="M27" s="48"/>
    </row>
  </sheetData>
  <mergeCells count="2">
    <mergeCell ref="C4:C6"/>
    <mergeCell ref="C7:C15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1:E43"/>
  <sheetViews>
    <sheetView zoomScaleNormal="100" workbookViewId="0">
      <selection activeCell="E42" sqref="E42"/>
    </sheetView>
  </sheetViews>
  <sheetFormatPr defaultRowHeight="15" x14ac:dyDescent="0.25"/>
  <sheetData>
    <row r="41" spans="3:5" x14ac:dyDescent="0.25">
      <c r="D41" s="20"/>
    </row>
    <row r="42" spans="3:5" x14ac:dyDescent="0.25">
      <c r="E42" s="25"/>
    </row>
    <row r="43" spans="3:5" x14ac:dyDescent="0.25">
      <c r="C43" s="20"/>
      <c r="D43" s="20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90" zoomScaleNormal="90" workbookViewId="0">
      <selection activeCell="C40" sqref="C40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Ceny za léčbu</vt:lpstr>
      <vt:lpstr>obrázky1</vt:lpstr>
      <vt:lpstr>obrázky2</vt:lpstr>
    </vt:vector>
  </TitlesOfParts>
  <Company>FN Olomouc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Klobouk Jan, Mgr.</dc:creator>
  <cp:lastModifiedBy>Dudovi</cp:lastModifiedBy>
  <cp:lastPrinted>2022-07-09T09:16:57Z</cp:lastPrinted>
  <dcterms:created xsi:type="dcterms:W3CDTF">2022-06-13T12:17:50Z</dcterms:created>
  <dcterms:modified xsi:type="dcterms:W3CDTF">2023-08-16T19:08:27Z</dcterms:modified>
</cp:coreProperties>
</file>